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ml.chartshapes+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drawings/drawing5.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7.xml" ContentType="application/vnd.openxmlformats-officedocument.drawing+xml"/>
  <Override PartName="/xl/charts/chart47.xml" ContentType="application/vnd.openxmlformats-officedocument.drawingml.chart+xml"/>
  <Override PartName="/xl/drawings/drawing8.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ml.chartshapes+xml"/>
  <Override PartName="/xl/charts/chart51.xml" ContentType="application/vnd.openxmlformats-officedocument.drawingml.chart+xml"/>
  <Override PartName="/xl/drawings/drawing10.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james\Documents\"/>
    </mc:Choice>
  </mc:AlternateContent>
  <bookViews>
    <workbookView xWindow="0" yWindow="0" windowWidth="15360" windowHeight="7560" tabRatio="726"/>
  </bookViews>
  <sheets>
    <sheet name="Guide" sheetId="4" r:id="rId1"/>
    <sheet name="Snapshot" sheetId="27" r:id="rId2"/>
    <sheet name="Situation Analysis" sheetId="12" r:id="rId3"/>
    <sheet name="Funds analysis" sheetId="21" r:id="rId4"/>
    <sheet name="Cluster indicator 2015" sheetId="28" r:id="rId5"/>
    <sheet name="Database" sheetId="10" r:id="rId6"/>
    <sheet name="Ending Project" sheetId="30" state="hidden" r:id="rId7"/>
    <sheet name="Agency funds received" sheetId="25" r:id="rId8"/>
    <sheet name="UNICEF" sheetId="29" state="hidden" r:id="rId9"/>
    <sheet name="List" sheetId="9" state="hidden" r:id="rId10"/>
  </sheets>
  <externalReferences>
    <externalReference r:id="rId11"/>
    <externalReference r:id="rId12"/>
  </externalReferences>
  <definedNames>
    <definedName name="_xlnm._FilterDatabase" localSheetId="7" hidden="1">'Agency funds received'!$C$4:$AE$74</definedName>
    <definedName name="_xlnm._FilterDatabase" localSheetId="5" hidden="1">Database!$A$4:$CX$289</definedName>
    <definedName name="aa" localSheetId="7">#REF!</definedName>
    <definedName name="aa" localSheetId="4">#REF!</definedName>
    <definedName name="aa" localSheetId="3">#REF!</definedName>
    <definedName name="aa" localSheetId="2">#REF!</definedName>
    <definedName name="aa" localSheetId="8">#REF!</definedName>
    <definedName name="aa">#REF!</definedName>
    <definedName name="Camp">List!$E$23:$E$26</definedName>
    <definedName name="Donor_Results">#REF!</definedName>
    <definedName name="List" localSheetId="7">'Agency funds received'!$C$83:$C$86</definedName>
    <definedName name="List" localSheetId="4">#REF!</definedName>
    <definedName name="List" localSheetId="8">#REF!</definedName>
    <definedName name="List">#REF!</definedName>
    <definedName name="_xlnm.Print_Area" localSheetId="7">'Agency funds received'!$A$1:$AE$74</definedName>
    <definedName name="_xlnm.Print_Area" localSheetId="5">Database!$B$2:$CQ$289</definedName>
    <definedName name="_xlnm.Print_Area" localSheetId="3">'Funds analysis'!$A$1:$P$159</definedName>
    <definedName name="_xlnm.Print_Area" localSheetId="2">'Situation Analysis'!$A$1:$K$812</definedName>
    <definedName name="_xlnm.Print_Area" localSheetId="1">Snapshot!$A$1:$O$39</definedName>
    <definedName name="_xlnm.Print_Titles" localSheetId="5">Database!$B:$F,Database!$2:$4</definedName>
    <definedName name="Village">List!$F$23:$F$25</definedName>
  </definedNames>
  <calcPr calcId="152511"/>
  <pivotCaches>
    <pivotCache cacheId="0" r:id="rId13"/>
    <pivotCache cacheId="1" r:id="rId14"/>
    <pivotCache cacheId="2" r:id="rId15"/>
  </pivotCaches>
</workbook>
</file>

<file path=xl/calcChain.xml><?xml version="1.0" encoding="utf-8"?>
<calcChain xmlns="http://schemas.openxmlformats.org/spreadsheetml/2006/main">
  <c r="CA171" i="10" l="1"/>
  <c r="CA175" i="10"/>
  <c r="T249" i="10" l="1"/>
  <c r="T256" i="10"/>
  <c r="T261" i="10"/>
  <c r="T262" i="10"/>
  <c r="T263" i="10"/>
  <c r="T289" i="10"/>
  <c r="T288" i="10"/>
  <c r="T258" i="10"/>
  <c r="T264" i="10"/>
  <c r="T276" i="10"/>
  <c r="T201" i="10"/>
  <c r="T259" i="10"/>
  <c r="T204" i="10"/>
  <c r="T267" i="10"/>
  <c r="T272" i="10"/>
  <c r="T268" i="10"/>
  <c r="T269" i="10"/>
  <c r="T270" i="10"/>
  <c r="T271" i="10"/>
  <c r="T274" i="10"/>
  <c r="T275" i="10"/>
  <c r="T273" i="10"/>
  <c r="T209" i="10"/>
  <c r="T210" i="10"/>
  <c r="T211" i="10"/>
  <c r="T212" i="10"/>
  <c r="T213" i="10"/>
  <c r="T214" i="10"/>
  <c r="T215" i="10"/>
  <c r="T219" i="10"/>
  <c r="T218" i="10"/>
  <c r="T222" i="10"/>
  <c r="T223" i="10"/>
  <c r="T224" i="10"/>
  <c r="T228" i="10"/>
  <c r="T229" i="10"/>
  <c r="T235" i="10"/>
  <c r="T238" i="10"/>
  <c r="T239" i="10"/>
  <c r="T241" i="10"/>
  <c r="T242" i="10"/>
  <c r="T244" i="10"/>
  <c r="T246" i="10"/>
  <c r="T247" i="10"/>
  <c r="T227" i="10"/>
  <c r="T233" i="10"/>
  <c r="T234" i="10"/>
  <c r="T243" i="10"/>
  <c r="T220" i="10"/>
  <c r="T232" i="10"/>
  <c r="T240" i="10"/>
  <c r="T85" i="10"/>
  <c r="T86" i="10"/>
  <c r="T102" i="10"/>
  <c r="T171" i="10"/>
  <c r="T175" i="10"/>
  <c r="T169" i="10"/>
  <c r="T170" i="10"/>
  <c r="T172" i="10"/>
  <c r="T173" i="10"/>
  <c r="T174" i="10"/>
  <c r="T176" i="10"/>
  <c r="T179" i="10"/>
  <c r="T181" i="10"/>
  <c r="T178" i="10"/>
  <c r="T177" i="10"/>
  <c r="T180" i="10"/>
  <c r="T200" i="10"/>
  <c r="T225" i="10"/>
  <c r="T230" i="10"/>
  <c r="T76" i="10"/>
  <c r="T78" i="10"/>
  <c r="T74" i="10"/>
  <c r="T75" i="10"/>
  <c r="T77" i="10"/>
  <c r="T79" i="10"/>
  <c r="T80" i="10"/>
  <c r="T81" i="10"/>
  <c r="T82" i="10"/>
  <c r="T83" i="10"/>
  <c r="T84" i="10"/>
  <c r="T87" i="10"/>
  <c r="T89" i="10"/>
  <c r="T90" i="10"/>
  <c r="T92" i="10"/>
  <c r="T95" i="10"/>
  <c r="T96" i="10"/>
  <c r="T99" i="10"/>
  <c r="T101" i="10"/>
  <c r="T103" i="10"/>
  <c r="T104" i="10"/>
  <c r="T105" i="10"/>
  <c r="T106" i="10"/>
  <c r="T108" i="10"/>
  <c r="T88" i="10"/>
  <c r="T91" i="10"/>
  <c r="T93" i="10"/>
  <c r="T94" i="10"/>
  <c r="T97" i="10"/>
  <c r="T100" i="10"/>
  <c r="T107" i="10"/>
  <c r="T98" i="10"/>
  <c r="T217" i="10"/>
  <c r="T216" i="10"/>
  <c r="T277" i="10"/>
  <c r="T278" i="10"/>
  <c r="T281" i="10"/>
  <c r="T282" i="10"/>
  <c r="T265" i="10"/>
  <c r="T280" i="10"/>
  <c r="T279" i="10"/>
  <c r="T187" i="10"/>
  <c r="T193" i="10"/>
  <c r="T182" i="10"/>
  <c r="T183" i="10"/>
  <c r="T184" i="10"/>
  <c r="T188" i="10"/>
  <c r="T192" i="10"/>
  <c r="T194" i="10"/>
  <c r="T196" i="10"/>
  <c r="T197" i="10"/>
  <c r="T185" i="10"/>
  <c r="T186" i="10"/>
  <c r="T189" i="10"/>
  <c r="T190" i="10"/>
  <c r="T191" i="10"/>
  <c r="T195" i="10"/>
  <c r="T206" i="10"/>
  <c r="T205" i="10"/>
  <c r="T208" i="10"/>
  <c r="T207" i="10"/>
  <c r="T251" i="10"/>
  <c r="T260" i="10"/>
  <c r="T266" i="10"/>
  <c r="T287" i="10"/>
  <c r="T250" i="10"/>
  <c r="T286" i="10"/>
  <c r="T198" i="10"/>
  <c r="T202" i="10"/>
  <c r="T203" i="10"/>
  <c r="T199" i="10"/>
  <c r="T226" i="10"/>
  <c r="T231" i="10"/>
  <c r="T236" i="10"/>
  <c r="T245" i="10"/>
  <c r="T221" i="10"/>
  <c r="T237" i="10"/>
  <c r="T252" i="10"/>
  <c r="T254" i="10"/>
  <c r="T257" i="10"/>
  <c r="T283" i="10"/>
  <c r="T284" i="10"/>
  <c r="T253" i="10"/>
  <c r="T255" i="10"/>
  <c r="T285" i="10"/>
  <c r="T15" i="10"/>
  <c r="T29" i="10"/>
  <c r="T36" i="10"/>
  <c r="T57" i="10"/>
  <c r="T60" i="10"/>
  <c r="T13" i="10"/>
  <c r="T16" i="10"/>
  <c r="T17" i="10"/>
  <c r="T38" i="10"/>
  <c r="T69" i="10"/>
  <c r="T18" i="10"/>
  <c r="T34" i="10"/>
  <c r="T52" i="10"/>
  <c r="T65" i="10"/>
  <c r="T66" i="10"/>
  <c r="T21" i="10"/>
  <c r="T31" i="10"/>
  <c r="T32" i="10"/>
  <c r="T42" i="10"/>
  <c r="T45" i="10"/>
  <c r="T47" i="10"/>
  <c r="T48" i="10"/>
  <c r="T58" i="10"/>
  <c r="T62" i="10"/>
  <c r="T6" i="10"/>
  <c r="T12" i="10"/>
  <c r="T46" i="10"/>
  <c r="T49" i="10"/>
  <c r="T55" i="10"/>
  <c r="T56" i="10"/>
  <c r="T71" i="10"/>
  <c r="T123" i="10"/>
  <c r="T159" i="10"/>
  <c r="T122" i="10"/>
  <c r="T126" i="10"/>
  <c r="T117" i="10"/>
  <c r="T150" i="10"/>
  <c r="T155" i="10"/>
  <c r="T124" i="10"/>
  <c r="T163" i="10"/>
  <c r="T145" i="10"/>
  <c r="T114" i="10"/>
  <c r="T125" i="10"/>
  <c r="T135" i="10"/>
  <c r="T154" i="10"/>
  <c r="T143" i="10"/>
  <c r="T116" i="10"/>
  <c r="T132" i="10"/>
  <c r="T153" i="10"/>
  <c r="T167" i="10"/>
  <c r="T121" i="10"/>
  <c r="T119" i="10"/>
  <c r="T152" i="10"/>
  <c r="T164" i="10"/>
  <c r="T129" i="10"/>
  <c r="T146" i="10"/>
  <c r="T160" i="10"/>
  <c r="T136" i="10"/>
  <c r="T162" i="10"/>
  <c r="T20" i="10"/>
  <c r="T19" i="10"/>
  <c r="T7" i="10"/>
  <c r="T72" i="10"/>
  <c r="T35" i="10"/>
  <c r="T24" i="10"/>
  <c r="T54" i="10"/>
  <c r="T37" i="10"/>
  <c r="T10" i="10"/>
  <c r="T40" i="10"/>
  <c r="T33" i="10"/>
  <c r="T70" i="10"/>
  <c r="T68" i="10"/>
  <c r="T11" i="10"/>
  <c r="T25" i="10"/>
  <c r="T27" i="10"/>
  <c r="T26" i="10"/>
  <c r="T9" i="10"/>
  <c r="T5" i="10"/>
  <c r="T39" i="10"/>
  <c r="T41" i="10"/>
  <c r="T44" i="10"/>
  <c r="T23" i="10"/>
  <c r="T14" i="10"/>
  <c r="T30" i="10"/>
  <c r="T50" i="10"/>
  <c r="T53" i="10"/>
  <c r="T67" i="10"/>
  <c r="T43" i="10"/>
  <c r="T73" i="10"/>
  <c r="T8" i="10"/>
  <c r="T64" i="10"/>
  <c r="T63" i="10"/>
  <c r="T51" i="10"/>
  <c r="T22" i="10"/>
  <c r="T59" i="10"/>
  <c r="T61" i="10"/>
  <c r="T28" i="10"/>
  <c r="T115" i="10"/>
  <c r="T151" i="10"/>
  <c r="T127" i="10"/>
  <c r="T120" i="10"/>
  <c r="T137" i="10"/>
  <c r="T139" i="10"/>
  <c r="T138" i="10"/>
  <c r="T147" i="10"/>
  <c r="T165" i="10"/>
  <c r="T131" i="10"/>
  <c r="T133" i="10"/>
  <c r="T140" i="10"/>
  <c r="T148" i="10"/>
  <c r="T161" i="10"/>
  <c r="T112" i="10"/>
  <c r="T111" i="10"/>
  <c r="T130" i="10"/>
  <c r="T156" i="10"/>
  <c r="T118" i="10"/>
  <c r="T110" i="10"/>
  <c r="T149" i="10"/>
  <c r="T168" i="10"/>
  <c r="T109" i="10"/>
  <c r="T113" i="10"/>
  <c r="T141" i="10"/>
  <c r="T144" i="10"/>
  <c r="T128" i="10"/>
  <c r="T166" i="10"/>
  <c r="T157" i="10"/>
  <c r="T142" i="10"/>
  <c r="T134" i="10"/>
  <c r="T158" i="10"/>
  <c r="T248" i="10"/>
  <c r="L3" i="10" l="1"/>
  <c r="F3" i="10" l="1"/>
  <c r="K20" i="25" l="1"/>
  <c r="K21" i="25"/>
  <c r="K22" i="25"/>
  <c r="K19" i="25"/>
  <c r="K17" i="25"/>
  <c r="K18" i="25"/>
  <c r="Z18" i="25"/>
  <c r="Y18" i="25"/>
  <c r="X18" i="25" s="1"/>
  <c r="CW249" i="10" l="1"/>
  <c r="CX249" i="10"/>
  <c r="CW256" i="10"/>
  <c r="CX256" i="10"/>
  <c r="AR256" i="10" s="1"/>
  <c r="CW261" i="10"/>
  <c r="CX261" i="10"/>
  <c r="CW262" i="10"/>
  <c r="CX262" i="10"/>
  <c r="AR262" i="10" s="1"/>
  <c r="CW263" i="10"/>
  <c r="CX263" i="10"/>
  <c r="CW289" i="10"/>
  <c r="CX289" i="10"/>
  <c r="AR289" i="10" s="1"/>
  <c r="CW288" i="10"/>
  <c r="CX288" i="10"/>
  <c r="CW258" i="10"/>
  <c r="AR258" i="10" s="1"/>
  <c r="CX258" i="10"/>
  <c r="CW264" i="10"/>
  <c r="CX264" i="10"/>
  <c r="CW276" i="10"/>
  <c r="AR276" i="10" s="1"/>
  <c r="CX276" i="10"/>
  <c r="CW201" i="10"/>
  <c r="CX201" i="10"/>
  <c r="CW259" i="10"/>
  <c r="CX259" i="10"/>
  <c r="CW204" i="10"/>
  <c r="CX204" i="10"/>
  <c r="CW267" i="10"/>
  <c r="CX267" i="10"/>
  <c r="CW272" i="10"/>
  <c r="CX272" i="10"/>
  <c r="CW268" i="10"/>
  <c r="CX268" i="10"/>
  <c r="AR268" i="10" s="1"/>
  <c r="CW269" i="10"/>
  <c r="CX269" i="10"/>
  <c r="CW270" i="10"/>
  <c r="CX270" i="10"/>
  <c r="AR270" i="10" s="1"/>
  <c r="CW271" i="10"/>
  <c r="CX271" i="10"/>
  <c r="CW274" i="10"/>
  <c r="CX274" i="10"/>
  <c r="AR274" i="10" s="1"/>
  <c r="CW275" i="10"/>
  <c r="CX275" i="10"/>
  <c r="CW273" i="10"/>
  <c r="CX273" i="10"/>
  <c r="AR273" i="10" s="1"/>
  <c r="CW209" i="10"/>
  <c r="CX209" i="10"/>
  <c r="CW210" i="10"/>
  <c r="CX210" i="10"/>
  <c r="AR210" i="10" s="1"/>
  <c r="CW211" i="10"/>
  <c r="CX211" i="10"/>
  <c r="CW212" i="10"/>
  <c r="CX212" i="10"/>
  <c r="AR212" i="10" s="1"/>
  <c r="CW213" i="10"/>
  <c r="CX213" i="10"/>
  <c r="CW214" i="10"/>
  <c r="CX214" i="10"/>
  <c r="AR214" i="10" s="1"/>
  <c r="CW215" i="10"/>
  <c r="CX215" i="10"/>
  <c r="CW219" i="10"/>
  <c r="AR219" i="10" s="1"/>
  <c r="CX219" i="10"/>
  <c r="CW218" i="10"/>
  <c r="CX218" i="10"/>
  <c r="CW222" i="10"/>
  <c r="CX222" i="10"/>
  <c r="AR222" i="10" s="1"/>
  <c r="CW223" i="10"/>
  <c r="CX223" i="10"/>
  <c r="CW224" i="10"/>
  <c r="CX224" i="10"/>
  <c r="AR224" i="10" s="1"/>
  <c r="CW228" i="10"/>
  <c r="CX228" i="10"/>
  <c r="CW229" i="10"/>
  <c r="CX229" i="10"/>
  <c r="AR229" i="10" s="1"/>
  <c r="CW235" i="10"/>
  <c r="CX235" i="10"/>
  <c r="CW238" i="10"/>
  <c r="CX238" i="10"/>
  <c r="AR238" i="10" s="1"/>
  <c r="CW239" i="10"/>
  <c r="CX239" i="10"/>
  <c r="CW241" i="10"/>
  <c r="CX241" i="10"/>
  <c r="AR241" i="10" s="1"/>
  <c r="CW242" i="10"/>
  <c r="CX242" i="10"/>
  <c r="CW244" i="10"/>
  <c r="CX244" i="10"/>
  <c r="AR244" i="10" s="1"/>
  <c r="CW246" i="10"/>
  <c r="CX246" i="10"/>
  <c r="CW247" i="10"/>
  <c r="CX247" i="10"/>
  <c r="AR247" i="10" s="1"/>
  <c r="CW227" i="10"/>
  <c r="CX227" i="10"/>
  <c r="CW233" i="10"/>
  <c r="CX233" i="10"/>
  <c r="AR233" i="10" s="1"/>
  <c r="CW234" i="10"/>
  <c r="CX234" i="10"/>
  <c r="CW243" i="10"/>
  <c r="CX243" i="10"/>
  <c r="CW220" i="10"/>
  <c r="CX220" i="10"/>
  <c r="CW232" i="10"/>
  <c r="CX232" i="10"/>
  <c r="CW240" i="10"/>
  <c r="CX240" i="10"/>
  <c r="CW85" i="10"/>
  <c r="CX85" i="10"/>
  <c r="CW86" i="10"/>
  <c r="CX86" i="10"/>
  <c r="CW102" i="10"/>
  <c r="CX102" i="10"/>
  <c r="CW171" i="10"/>
  <c r="CX171" i="10"/>
  <c r="CW175" i="10"/>
  <c r="AR175" i="10" s="1"/>
  <c r="CX175" i="10"/>
  <c r="CW169" i="10"/>
  <c r="CX169" i="10"/>
  <c r="CW170" i="10"/>
  <c r="CX170" i="10"/>
  <c r="CW172" i="10"/>
  <c r="CX172" i="10"/>
  <c r="CW173" i="10"/>
  <c r="CX173" i="10"/>
  <c r="AR173" i="10" s="1"/>
  <c r="CW174" i="10"/>
  <c r="CX174" i="10"/>
  <c r="CW176" i="10"/>
  <c r="CX176" i="10"/>
  <c r="CW179" i="10"/>
  <c r="CX179" i="10"/>
  <c r="CW181" i="10"/>
  <c r="CX181" i="10"/>
  <c r="CW178" i="10"/>
  <c r="CX178" i="10"/>
  <c r="CW177" i="10"/>
  <c r="CX177" i="10"/>
  <c r="AR177" i="10" s="1"/>
  <c r="CW180" i="10"/>
  <c r="CX180" i="10"/>
  <c r="CW200" i="10"/>
  <c r="CX200" i="10"/>
  <c r="CW225" i="10"/>
  <c r="CX225" i="10"/>
  <c r="CW230" i="10"/>
  <c r="CX230" i="10"/>
  <c r="CW76" i="10"/>
  <c r="CX76" i="10"/>
  <c r="CW78" i="10"/>
  <c r="CX78" i="10"/>
  <c r="CW74" i="10"/>
  <c r="CX74" i="10"/>
  <c r="CW75" i="10"/>
  <c r="CX75" i="10"/>
  <c r="CW77" i="10"/>
  <c r="CX77" i="10"/>
  <c r="CW79" i="10"/>
  <c r="CX79" i="10"/>
  <c r="CW80" i="10"/>
  <c r="CX80" i="10"/>
  <c r="CW81" i="10"/>
  <c r="CX81" i="10"/>
  <c r="CW82" i="10"/>
  <c r="CX82" i="10"/>
  <c r="CW83" i="10"/>
  <c r="CX83" i="10"/>
  <c r="CW84" i="10"/>
  <c r="CX84" i="10"/>
  <c r="CW87" i="10"/>
  <c r="CX87" i="10"/>
  <c r="CW89" i="10"/>
  <c r="CX89" i="10"/>
  <c r="CW90" i="10"/>
  <c r="CX90" i="10"/>
  <c r="CW92" i="10"/>
  <c r="CX92" i="10"/>
  <c r="CW95" i="10"/>
  <c r="CX95" i="10"/>
  <c r="CW96" i="10"/>
  <c r="CX96" i="10"/>
  <c r="CW99" i="10"/>
  <c r="CX99" i="10"/>
  <c r="CW101" i="10"/>
  <c r="CX101" i="10"/>
  <c r="CW103" i="10"/>
  <c r="CX103" i="10"/>
  <c r="CW104" i="10"/>
  <c r="CX104" i="10"/>
  <c r="CW105" i="10"/>
  <c r="CX105" i="10"/>
  <c r="CW106" i="10"/>
  <c r="CX106" i="10"/>
  <c r="CW108" i="10"/>
  <c r="CX108" i="10"/>
  <c r="AR108" i="10" s="1"/>
  <c r="CW88" i="10"/>
  <c r="CX88" i="10"/>
  <c r="CW91" i="10"/>
  <c r="CX91" i="10"/>
  <c r="AR91" i="10" s="1"/>
  <c r="CW93" i="10"/>
  <c r="CX93" i="10"/>
  <c r="CW94" i="10"/>
  <c r="CX94" i="10"/>
  <c r="AR94" i="10" s="1"/>
  <c r="CW97" i="10"/>
  <c r="CX97" i="10"/>
  <c r="CW100" i="10"/>
  <c r="CX100" i="10"/>
  <c r="AR100" i="10" s="1"/>
  <c r="CW107" i="10"/>
  <c r="CX107" i="10"/>
  <c r="CW98" i="10"/>
  <c r="CX98" i="10"/>
  <c r="AR98" i="10" s="1"/>
  <c r="CW217" i="10"/>
  <c r="CX217" i="10"/>
  <c r="CW216" i="10"/>
  <c r="CX216" i="10"/>
  <c r="AR216" i="10" s="1"/>
  <c r="CW277" i="10"/>
  <c r="CX277" i="10"/>
  <c r="CW278" i="10"/>
  <c r="AR278" i="10" s="1"/>
  <c r="CX278" i="10"/>
  <c r="CW281" i="10"/>
  <c r="CX281" i="10"/>
  <c r="CW282" i="10"/>
  <c r="AR282" i="10" s="1"/>
  <c r="CX282" i="10"/>
  <c r="CW265" i="10"/>
  <c r="CX265" i="10"/>
  <c r="CW280" i="10"/>
  <c r="CX280" i="10"/>
  <c r="CW279" i="10"/>
  <c r="CX279" i="10"/>
  <c r="CW187" i="10"/>
  <c r="AR187" i="10" s="1"/>
  <c r="CX187" i="10"/>
  <c r="CW193" i="10"/>
  <c r="CX193" i="10"/>
  <c r="CW182" i="10"/>
  <c r="CX182" i="10"/>
  <c r="AR182" i="10" s="1"/>
  <c r="CW183" i="10"/>
  <c r="CX183" i="10"/>
  <c r="CW184" i="10"/>
  <c r="CX184" i="10"/>
  <c r="AR184" i="10" s="1"/>
  <c r="CW188" i="10"/>
  <c r="CX188" i="10"/>
  <c r="CW192" i="10"/>
  <c r="CX192" i="10"/>
  <c r="AR192" i="10" s="1"/>
  <c r="CW194" i="10"/>
  <c r="CX194" i="10"/>
  <c r="CW196" i="10"/>
  <c r="CX196" i="10"/>
  <c r="AR196" i="10" s="1"/>
  <c r="CW197" i="10"/>
  <c r="CX197" i="10"/>
  <c r="CW185" i="10"/>
  <c r="CX185" i="10"/>
  <c r="AR185" i="10" s="1"/>
  <c r="CW186" i="10"/>
  <c r="CX186" i="10"/>
  <c r="CW189" i="10"/>
  <c r="CX189" i="10"/>
  <c r="AR189" i="10" s="1"/>
  <c r="CW190" i="10"/>
  <c r="CX190" i="10"/>
  <c r="CW191" i="10"/>
  <c r="CX191" i="10"/>
  <c r="AR191" i="10" s="1"/>
  <c r="CW195" i="10"/>
  <c r="CX195" i="10"/>
  <c r="CW206" i="10"/>
  <c r="AR206" i="10" s="1"/>
  <c r="CX206" i="10"/>
  <c r="CW205" i="10"/>
  <c r="CX205" i="10"/>
  <c r="CW208" i="10"/>
  <c r="CX208" i="10"/>
  <c r="AR208" i="10" s="1"/>
  <c r="CW207" i="10"/>
  <c r="CX207" i="10"/>
  <c r="CW251" i="10"/>
  <c r="AR251" i="10" s="1"/>
  <c r="CX251" i="10"/>
  <c r="CW260" i="10"/>
  <c r="CX260" i="10"/>
  <c r="CW266" i="10"/>
  <c r="AR266" i="10" s="1"/>
  <c r="CX266" i="10"/>
  <c r="CW287" i="10"/>
  <c r="CX287" i="10"/>
  <c r="CW250" i="10"/>
  <c r="CX250" i="10"/>
  <c r="AR250" i="10" s="1"/>
  <c r="CW286" i="10"/>
  <c r="CX286" i="10"/>
  <c r="CW198" i="10"/>
  <c r="AR198" i="10" s="1"/>
  <c r="CX198" i="10"/>
  <c r="CW202" i="10"/>
  <c r="CX202" i="10"/>
  <c r="CW203" i="10"/>
  <c r="AR203" i="10" s="1"/>
  <c r="CX203" i="10"/>
  <c r="CW199" i="10"/>
  <c r="CX199" i="10"/>
  <c r="CW226" i="10"/>
  <c r="AR226" i="10" s="1"/>
  <c r="CX226" i="10"/>
  <c r="CW231" i="10"/>
  <c r="CX231" i="10"/>
  <c r="CW236" i="10"/>
  <c r="CX236" i="10"/>
  <c r="AR236" i="10" s="1"/>
  <c r="CW245" i="10"/>
  <c r="CX245" i="10"/>
  <c r="CW221" i="10"/>
  <c r="CX221" i="10"/>
  <c r="AR221" i="10" s="1"/>
  <c r="CW237" i="10"/>
  <c r="CX237" i="10"/>
  <c r="CW252" i="10"/>
  <c r="AR252" i="10" s="1"/>
  <c r="CX252" i="10"/>
  <c r="CW254" i="10"/>
  <c r="CX254" i="10"/>
  <c r="CW257" i="10"/>
  <c r="AR257" i="10" s="1"/>
  <c r="CX257" i="10"/>
  <c r="CW283" i="10"/>
  <c r="CX283" i="10"/>
  <c r="CW284" i="10"/>
  <c r="CX284" i="10"/>
  <c r="AR284" i="10" s="1"/>
  <c r="CW253" i="10"/>
  <c r="CX253" i="10"/>
  <c r="CW255" i="10"/>
  <c r="CX255" i="10"/>
  <c r="AR255" i="10" s="1"/>
  <c r="CW285" i="10"/>
  <c r="CX285" i="10"/>
  <c r="CW15" i="10"/>
  <c r="CX15" i="10"/>
  <c r="AR15" i="10" s="1"/>
  <c r="CW29" i="10"/>
  <c r="CX29" i="10"/>
  <c r="CW36" i="10"/>
  <c r="CX36" i="10"/>
  <c r="AR36" i="10" s="1"/>
  <c r="CW57" i="10"/>
  <c r="CX57" i="10"/>
  <c r="AR57" i="10" s="1"/>
  <c r="CW60" i="10"/>
  <c r="CX60" i="10"/>
  <c r="AR60" i="10" s="1"/>
  <c r="CW13" i="10"/>
  <c r="CX13" i="10"/>
  <c r="CW16" i="10"/>
  <c r="CX16" i="10"/>
  <c r="AR16" i="10" s="1"/>
  <c r="CW17" i="10"/>
  <c r="CX17" i="10"/>
  <c r="AR17" i="10" s="1"/>
  <c r="CW38" i="10"/>
  <c r="CX38" i="10"/>
  <c r="AR38" i="10" s="1"/>
  <c r="CW69" i="10"/>
  <c r="CX69" i="10"/>
  <c r="AR69" i="10" s="1"/>
  <c r="CW18" i="10"/>
  <c r="CX18" i="10"/>
  <c r="AR18" i="10" s="1"/>
  <c r="CW34" i="10"/>
  <c r="CX34" i="10"/>
  <c r="AR34" i="10" s="1"/>
  <c r="CW52" i="10"/>
  <c r="CX52" i="10"/>
  <c r="AR52" i="10" s="1"/>
  <c r="CW65" i="10"/>
  <c r="CX65" i="10"/>
  <c r="AR65" i="10" s="1"/>
  <c r="CW66" i="10"/>
  <c r="CX66" i="10"/>
  <c r="AR66" i="10" s="1"/>
  <c r="CW21" i="10"/>
  <c r="CX21" i="10"/>
  <c r="AR21" i="10" s="1"/>
  <c r="CW31" i="10"/>
  <c r="CX31" i="10"/>
  <c r="AR31" i="10" s="1"/>
  <c r="CW32" i="10"/>
  <c r="CX32" i="10"/>
  <c r="CW42" i="10"/>
  <c r="CX42" i="10"/>
  <c r="AR42" i="10" s="1"/>
  <c r="CW45" i="10"/>
  <c r="CX45" i="10"/>
  <c r="AR45" i="10" s="1"/>
  <c r="CW47" i="10"/>
  <c r="CX47" i="10"/>
  <c r="AR47" i="10" s="1"/>
  <c r="CW48" i="10"/>
  <c r="CX48" i="10"/>
  <c r="CW58" i="10"/>
  <c r="CX58" i="10"/>
  <c r="AR58" i="10" s="1"/>
  <c r="CW62" i="10"/>
  <c r="CX62" i="10"/>
  <c r="CW6" i="10"/>
  <c r="CX6" i="10"/>
  <c r="AR6" i="10" s="1"/>
  <c r="CW12" i="10"/>
  <c r="CX12" i="10"/>
  <c r="AR12" i="10" s="1"/>
  <c r="CW46" i="10"/>
  <c r="CX46" i="10"/>
  <c r="AR46" i="10" s="1"/>
  <c r="CW49" i="10"/>
  <c r="CX49" i="10"/>
  <c r="AR49" i="10" s="1"/>
  <c r="CW55" i="10"/>
  <c r="CX55" i="10"/>
  <c r="AR55" i="10" s="1"/>
  <c r="CW56" i="10"/>
  <c r="CX56" i="10"/>
  <c r="CW71" i="10"/>
  <c r="CX71" i="10"/>
  <c r="AR71" i="10" s="1"/>
  <c r="CW123" i="10"/>
  <c r="CX123" i="10"/>
  <c r="AR123" i="10" s="1"/>
  <c r="CW159" i="10"/>
  <c r="CX159" i="10"/>
  <c r="AR159" i="10" s="1"/>
  <c r="CW122" i="10"/>
  <c r="CX122" i="10"/>
  <c r="CW126" i="10"/>
  <c r="CX126" i="10"/>
  <c r="AR126" i="10" s="1"/>
  <c r="CW117" i="10"/>
  <c r="CX117" i="10"/>
  <c r="AR117" i="10" s="1"/>
  <c r="CW150" i="10"/>
  <c r="CX150" i="10"/>
  <c r="AR150" i="10" s="1"/>
  <c r="CW155" i="10"/>
  <c r="CX155" i="10"/>
  <c r="CW124" i="10"/>
  <c r="CX124" i="10"/>
  <c r="AR124" i="10" s="1"/>
  <c r="CW163" i="10"/>
  <c r="CX163" i="10"/>
  <c r="CW145" i="10"/>
  <c r="CX145" i="10"/>
  <c r="AR145" i="10" s="1"/>
  <c r="CW114" i="10"/>
  <c r="CX114" i="10"/>
  <c r="AR114" i="10" s="1"/>
  <c r="CW125" i="10"/>
  <c r="CX125" i="10"/>
  <c r="AR125" i="10" s="1"/>
  <c r="CW135" i="10"/>
  <c r="CX135" i="10"/>
  <c r="AR135" i="10" s="1"/>
  <c r="CW154" i="10"/>
  <c r="CX154" i="10"/>
  <c r="AR154" i="10" s="1"/>
  <c r="CW143" i="10"/>
  <c r="CX143" i="10"/>
  <c r="AR143" i="10" s="1"/>
  <c r="CW116" i="10"/>
  <c r="CX116" i="10"/>
  <c r="AR116" i="10" s="1"/>
  <c r="CW132" i="10"/>
  <c r="CX132" i="10"/>
  <c r="CW153" i="10"/>
  <c r="CX153" i="10"/>
  <c r="AR153" i="10" s="1"/>
  <c r="CW167" i="10"/>
  <c r="CX167" i="10"/>
  <c r="CW121" i="10"/>
  <c r="CX121" i="10"/>
  <c r="AR121" i="10" s="1"/>
  <c r="CW119" i="10"/>
  <c r="CX119" i="10"/>
  <c r="CW152" i="10"/>
  <c r="CX152" i="10"/>
  <c r="AR152" i="10" s="1"/>
  <c r="CW164" i="10"/>
  <c r="CX164" i="10"/>
  <c r="AR164" i="10" s="1"/>
  <c r="CW129" i="10"/>
  <c r="CX129" i="10"/>
  <c r="AR129" i="10" s="1"/>
  <c r="CW146" i="10"/>
  <c r="CX146" i="10"/>
  <c r="AR146" i="10" s="1"/>
  <c r="CW160" i="10"/>
  <c r="CX160" i="10"/>
  <c r="AR160" i="10" s="1"/>
  <c r="CW136" i="10"/>
  <c r="CX136" i="10"/>
  <c r="CW162" i="10"/>
  <c r="CX162" i="10"/>
  <c r="AR162" i="10" s="1"/>
  <c r="CW20" i="10"/>
  <c r="CX20" i="10"/>
  <c r="AR20" i="10" s="1"/>
  <c r="CW19" i="10"/>
  <c r="CX19" i="10"/>
  <c r="AR19" i="10" s="1"/>
  <c r="CW7" i="10"/>
  <c r="CX7" i="10"/>
  <c r="CW72" i="10"/>
  <c r="CX72" i="10"/>
  <c r="AR72" i="10" s="1"/>
  <c r="CW35" i="10"/>
  <c r="CX35" i="10"/>
  <c r="AR35" i="10" s="1"/>
  <c r="CW24" i="10"/>
  <c r="CX24" i="10"/>
  <c r="AR24" i="10" s="1"/>
  <c r="CW54" i="10"/>
  <c r="CX54" i="10"/>
  <c r="AR54" i="10" s="1"/>
  <c r="CW37" i="10"/>
  <c r="CX37" i="10"/>
  <c r="AR37" i="10" s="1"/>
  <c r="CW10" i="10"/>
  <c r="CX10" i="10"/>
  <c r="AR10" i="10" s="1"/>
  <c r="CW40" i="10"/>
  <c r="CX40" i="10"/>
  <c r="AR40" i="10" s="1"/>
  <c r="CW33" i="10"/>
  <c r="CX33" i="10"/>
  <c r="CW70" i="10"/>
  <c r="CX70" i="10"/>
  <c r="AR70" i="10" s="1"/>
  <c r="CW68" i="10"/>
  <c r="CX68" i="10"/>
  <c r="AR68" i="10" s="1"/>
  <c r="CW11" i="10"/>
  <c r="CX11" i="10"/>
  <c r="AR11" i="10" s="1"/>
  <c r="CW25" i="10"/>
  <c r="CX25" i="10"/>
  <c r="AR25" i="10" s="1"/>
  <c r="CW27" i="10"/>
  <c r="CX27" i="10"/>
  <c r="AR27" i="10" s="1"/>
  <c r="CW26" i="10"/>
  <c r="CX26" i="10"/>
  <c r="CW9" i="10"/>
  <c r="CX9" i="10"/>
  <c r="AR9" i="10" s="1"/>
  <c r="CW5" i="10"/>
  <c r="CX5" i="10"/>
  <c r="AR5" i="10" s="1"/>
  <c r="CW39" i="10"/>
  <c r="CX39" i="10"/>
  <c r="AR39" i="10" s="1"/>
  <c r="CW41" i="10"/>
  <c r="CX41" i="10"/>
  <c r="AR41" i="10" s="1"/>
  <c r="CW44" i="10"/>
  <c r="CX44" i="10"/>
  <c r="AR44" i="10" s="1"/>
  <c r="CW23" i="10"/>
  <c r="CX23" i="10"/>
  <c r="AR23" i="10" s="1"/>
  <c r="CW14" i="10"/>
  <c r="CX14" i="10"/>
  <c r="AR14" i="10" s="1"/>
  <c r="CW30" i="10"/>
  <c r="CX30" i="10"/>
  <c r="AR30" i="10" s="1"/>
  <c r="CW50" i="10"/>
  <c r="CX50" i="10"/>
  <c r="AR50" i="10" s="1"/>
  <c r="CW53" i="10"/>
  <c r="CX53" i="10"/>
  <c r="CW67" i="10"/>
  <c r="CX67" i="10"/>
  <c r="AR67" i="10" s="1"/>
  <c r="CW43" i="10"/>
  <c r="CX43" i="10"/>
  <c r="CW73" i="10"/>
  <c r="CX73" i="10"/>
  <c r="AR73" i="10" s="1"/>
  <c r="CW8" i="10"/>
  <c r="CX8" i="10"/>
  <c r="AR8" i="10" s="1"/>
  <c r="CW64" i="10"/>
  <c r="CX64" i="10"/>
  <c r="AR64" i="10" s="1"/>
  <c r="CW63" i="10"/>
  <c r="CX63" i="10"/>
  <c r="CW51" i="10"/>
  <c r="CX51" i="10"/>
  <c r="AR51" i="10" s="1"/>
  <c r="CW22" i="10"/>
  <c r="CX22" i="10"/>
  <c r="CW59" i="10"/>
  <c r="CX59" i="10"/>
  <c r="AR59" i="10" s="1"/>
  <c r="CW61" i="10"/>
  <c r="CX61" i="10"/>
  <c r="AR61" i="10" s="1"/>
  <c r="CW28" i="10"/>
  <c r="CX28" i="10"/>
  <c r="AR28" i="10" s="1"/>
  <c r="CW115" i="10"/>
  <c r="CX115" i="10"/>
  <c r="CW151" i="10"/>
  <c r="CX151" i="10"/>
  <c r="AR151" i="10" s="1"/>
  <c r="CW127" i="10"/>
  <c r="CX127" i="10"/>
  <c r="AR127" i="10" s="1"/>
  <c r="CW120" i="10"/>
  <c r="CX120" i="10"/>
  <c r="AR120" i="10" s="1"/>
  <c r="CW137" i="10"/>
  <c r="CX137" i="10"/>
  <c r="AR137" i="10" s="1"/>
  <c r="CW139" i="10"/>
  <c r="CX139" i="10"/>
  <c r="AR139" i="10" s="1"/>
  <c r="CW138" i="10"/>
  <c r="CX138" i="10"/>
  <c r="CW147" i="10"/>
  <c r="CX147" i="10"/>
  <c r="AR147" i="10" s="1"/>
  <c r="CW165" i="10"/>
  <c r="CX165" i="10"/>
  <c r="CW131" i="10"/>
  <c r="CX131" i="10"/>
  <c r="AR131" i="10" s="1"/>
  <c r="CW133" i="10"/>
  <c r="CX133" i="10"/>
  <c r="AR133" i="10" s="1"/>
  <c r="CW140" i="10"/>
  <c r="CX140" i="10"/>
  <c r="AR140" i="10" s="1"/>
  <c r="CW148" i="10"/>
  <c r="CX148" i="10"/>
  <c r="AR148" i="10" s="1"/>
  <c r="CW161" i="10"/>
  <c r="CX161" i="10"/>
  <c r="AR161" i="10" s="1"/>
  <c r="CW112" i="10"/>
  <c r="CX112" i="10"/>
  <c r="CW111" i="10"/>
  <c r="CX111" i="10"/>
  <c r="AR111" i="10" s="1"/>
  <c r="CW130" i="10"/>
  <c r="CX130" i="10"/>
  <c r="AR130" i="10" s="1"/>
  <c r="CW156" i="10"/>
  <c r="CX156" i="10"/>
  <c r="AR156" i="10" s="1"/>
  <c r="CW118" i="10"/>
  <c r="CX118" i="10"/>
  <c r="AR118" i="10" s="1"/>
  <c r="CW110" i="10"/>
  <c r="CX110" i="10"/>
  <c r="AR110" i="10" s="1"/>
  <c r="CW149" i="10"/>
  <c r="CX149" i="10"/>
  <c r="CW168" i="10"/>
  <c r="CX168" i="10"/>
  <c r="AR168" i="10" s="1"/>
  <c r="CW109" i="10"/>
  <c r="CX109" i="10"/>
  <c r="AR109" i="10" s="1"/>
  <c r="CW113" i="10"/>
  <c r="CX113" i="10"/>
  <c r="AR113" i="10" s="1"/>
  <c r="CW141" i="10"/>
  <c r="CX141" i="10"/>
  <c r="AR141" i="10" s="1"/>
  <c r="CW144" i="10"/>
  <c r="CX144" i="10"/>
  <c r="AR144" i="10" s="1"/>
  <c r="CW128" i="10"/>
  <c r="CX128" i="10"/>
  <c r="CW166" i="10"/>
  <c r="CX166" i="10"/>
  <c r="AR166" i="10" s="1"/>
  <c r="CW157" i="10"/>
  <c r="CX157" i="10"/>
  <c r="AR157" i="10" s="1"/>
  <c r="CW142" i="10"/>
  <c r="CX142" i="10"/>
  <c r="AR142" i="10" s="1"/>
  <c r="CW134" i="10"/>
  <c r="CX134" i="10"/>
  <c r="CW158" i="10"/>
  <c r="CX158" i="10"/>
  <c r="AR158" i="10" s="1"/>
  <c r="CW290" i="10"/>
  <c r="CX290" i="10"/>
  <c r="CW291" i="10"/>
  <c r="CX291" i="10"/>
  <c r="CX248" i="10"/>
  <c r="AR248" i="10" s="1"/>
  <c r="CW248" i="10"/>
  <c r="AR105" i="10" l="1"/>
  <c r="AR99" i="10"/>
  <c r="AR87" i="10"/>
  <c r="AR79" i="10"/>
  <c r="AR232" i="10"/>
  <c r="AR267" i="10"/>
  <c r="AR134" i="10"/>
  <c r="AR138" i="10"/>
  <c r="AR115" i="10"/>
  <c r="AR22" i="10"/>
  <c r="AR53" i="10"/>
  <c r="AR7" i="10"/>
  <c r="AR167" i="10"/>
  <c r="AR155" i="10"/>
  <c r="AR13" i="10"/>
  <c r="AR285" i="10"/>
  <c r="AR237" i="10"/>
  <c r="AR286" i="10"/>
  <c r="AR195" i="10"/>
  <c r="AR186" i="10"/>
  <c r="AR197" i="10"/>
  <c r="AR188" i="10"/>
  <c r="AR183" i="10"/>
  <c r="AR279" i="10"/>
  <c r="AR265" i="10"/>
  <c r="AR107" i="10"/>
  <c r="AR97" i="10"/>
  <c r="AR93" i="10"/>
  <c r="AR88" i="10"/>
  <c r="AR106" i="10"/>
  <c r="AR104" i="10"/>
  <c r="AR101" i="10"/>
  <c r="AR96" i="10"/>
  <c r="AR92" i="10"/>
  <c r="AR89" i="10"/>
  <c r="AR84" i="10"/>
  <c r="AR82" i="10"/>
  <c r="AR80" i="10"/>
  <c r="AR77" i="10"/>
  <c r="AR74" i="10"/>
  <c r="AR225" i="10"/>
  <c r="AR180" i="10"/>
  <c r="AR178" i="10"/>
  <c r="AR174" i="10"/>
  <c r="AR172" i="10"/>
  <c r="AR169" i="10"/>
  <c r="AR86" i="10"/>
  <c r="AR240" i="10"/>
  <c r="AR220" i="10"/>
  <c r="AR234" i="10"/>
  <c r="AR227" i="10"/>
  <c r="AR246" i="10"/>
  <c r="AR242" i="10"/>
  <c r="AR239" i="10"/>
  <c r="AR235" i="10"/>
  <c r="AR228" i="10"/>
  <c r="AR223" i="10"/>
  <c r="AR218" i="10"/>
  <c r="AR215" i="10"/>
  <c r="AR213" i="10"/>
  <c r="AR211" i="10"/>
  <c r="AR209" i="10"/>
  <c r="AR275" i="10"/>
  <c r="AR271" i="10"/>
  <c r="AR269" i="10"/>
  <c r="AR204" i="10"/>
  <c r="AR288" i="10"/>
  <c r="AR263" i="10"/>
  <c r="AR261" i="10"/>
  <c r="AR249" i="10"/>
  <c r="AR280" i="10"/>
  <c r="AR103" i="10"/>
  <c r="AR95" i="10"/>
  <c r="AR90" i="10"/>
  <c r="AR83" i="10"/>
  <c r="AR81" i="10"/>
  <c r="AR75" i="10"/>
  <c r="AR230" i="10"/>
  <c r="AR176" i="10"/>
  <c r="AR170" i="10"/>
  <c r="AR102" i="10"/>
  <c r="AR85" i="10"/>
  <c r="AR243" i="10"/>
  <c r="AR259" i="10"/>
  <c r="AR78" i="10"/>
  <c r="AR200" i="10"/>
  <c r="AR181" i="10"/>
  <c r="AR128" i="10"/>
  <c r="AR149" i="10"/>
  <c r="AR112" i="10"/>
  <c r="AR165" i="10"/>
  <c r="AR63" i="10"/>
  <c r="AR43" i="10"/>
  <c r="AR26" i="10"/>
  <c r="AR33" i="10"/>
  <c r="AR136" i="10"/>
  <c r="AR119" i="10"/>
  <c r="AR132" i="10"/>
  <c r="AR163" i="10"/>
  <c r="AR122" i="10"/>
  <c r="AR56" i="10"/>
  <c r="AR62" i="10"/>
  <c r="AR48" i="10"/>
  <c r="AR32" i="10"/>
  <c r="AR29" i="10"/>
  <c r="AR253" i="10"/>
  <c r="AR245" i="10"/>
  <c r="AR199" i="10"/>
  <c r="AR207" i="10"/>
  <c r="AR205" i="10"/>
  <c r="AR190" i="10"/>
  <c r="AR194" i="10"/>
  <c r="AR283" i="10"/>
  <c r="AR254" i="10"/>
  <c r="AR231" i="10"/>
  <c r="AR202" i="10"/>
  <c r="AR287" i="10"/>
  <c r="AR260" i="10"/>
  <c r="AR193" i="10"/>
  <c r="AR281" i="10"/>
  <c r="AR277" i="10"/>
  <c r="AR217" i="10"/>
  <c r="AR76" i="10"/>
  <c r="AR179" i="10"/>
  <c r="AR171" i="10"/>
  <c r="AR272" i="10"/>
  <c r="AR201" i="10"/>
  <c r="AR264" i="10"/>
  <c r="BB249" i="10"/>
  <c r="BD249" i="10"/>
  <c r="BB256" i="10"/>
  <c r="BC256" i="10" s="1"/>
  <c r="BD256" i="10"/>
  <c r="BB261" i="10"/>
  <c r="BD261" i="10"/>
  <c r="BB262" i="10"/>
  <c r="BD262" i="10"/>
  <c r="BB263" i="10"/>
  <c r="BD263" i="10"/>
  <c r="BB289" i="10"/>
  <c r="BC289" i="10" s="1"/>
  <c r="BD289" i="10"/>
  <c r="BB288" i="10"/>
  <c r="BD288" i="10"/>
  <c r="BB258" i="10"/>
  <c r="BC258" i="10" s="1"/>
  <c r="BD258" i="10"/>
  <c r="BB264" i="10"/>
  <c r="BC264" i="10" s="1"/>
  <c r="BD264" i="10"/>
  <c r="BB276" i="10"/>
  <c r="BC276" i="10" s="1"/>
  <c r="BD276" i="10"/>
  <c r="BB201" i="10"/>
  <c r="BC201" i="10" s="1"/>
  <c r="BD201" i="10"/>
  <c r="BB259" i="10"/>
  <c r="BC259" i="10" s="1"/>
  <c r="BD259" i="10"/>
  <c r="BB204" i="10"/>
  <c r="BD204" i="10"/>
  <c r="BB267" i="10"/>
  <c r="BC267" i="10" s="1"/>
  <c r="BD267" i="10"/>
  <c r="BB272" i="10"/>
  <c r="BC272" i="10" s="1"/>
  <c r="BD272" i="10"/>
  <c r="BB268" i="10"/>
  <c r="BC268" i="10" s="1"/>
  <c r="BD268" i="10"/>
  <c r="BB269" i="10"/>
  <c r="BC269" i="10" s="1"/>
  <c r="BD269" i="10"/>
  <c r="BB270" i="10"/>
  <c r="BC270" i="10" s="1"/>
  <c r="BD270" i="10"/>
  <c r="BB271" i="10"/>
  <c r="BC271" i="10" s="1"/>
  <c r="BD271" i="10"/>
  <c r="BB274" i="10"/>
  <c r="BD274" i="10"/>
  <c r="BB275" i="10"/>
  <c r="BD275" i="10"/>
  <c r="BB273" i="10"/>
  <c r="BC273" i="10" s="1"/>
  <c r="BD273" i="10"/>
  <c r="BB209" i="10"/>
  <c r="BD209" i="10"/>
  <c r="BB210" i="10"/>
  <c r="BD210" i="10"/>
  <c r="BB211" i="10"/>
  <c r="BD211" i="10"/>
  <c r="BB212" i="10"/>
  <c r="BD212" i="10"/>
  <c r="BB213" i="10"/>
  <c r="BD213" i="10"/>
  <c r="BB214" i="10"/>
  <c r="BD214" i="10"/>
  <c r="BB215" i="10"/>
  <c r="BD215" i="10"/>
  <c r="BB219" i="10"/>
  <c r="BC219" i="10" s="1"/>
  <c r="BD219" i="10"/>
  <c r="BB218" i="10"/>
  <c r="BD218" i="10"/>
  <c r="BB222" i="10"/>
  <c r="BD222" i="10"/>
  <c r="BB223" i="10"/>
  <c r="BD223" i="10"/>
  <c r="BB224" i="10"/>
  <c r="BD224" i="10"/>
  <c r="BB228" i="10"/>
  <c r="BC228" i="10" s="1"/>
  <c r="BD228" i="10"/>
  <c r="BB229" i="10"/>
  <c r="BD229" i="10"/>
  <c r="BB235" i="10"/>
  <c r="BD235" i="10"/>
  <c r="BB238" i="10"/>
  <c r="BC238" i="10" s="1"/>
  <c r="BD238" i="10"/>
  <c r="BB239" i="10"/>
  <c r="BC239" i="10" s="1"/>
  <c r="BD239" i="10"/>
  <c r="BB241" i="10"/>
  <c r="BC241" i="10" s="1"/>
  <c r="BD241" i="10"/>
  <c r="BB242" i="10"/>
  <c r="BD242" i="10"/>
  <c r="BB244" i="10"/>
  <c r="BD244" i="10"/>
  <c r="BB246" i="10"/>
  <c r="BC246" i="10" s="1"/>
  <c r="BD246" i="10"/>
  <c r="BB247" i="10"/>
  <c r="BC247" i="10" s="1"/>
  <c r="BD247" i="10"/>
  <c r="BB227" i="10"/>
  <c r="BD227" i="10"/>
  <c r="BB233" i="10"/>
  <c r="BC233" i="10" s="1"/>
  <c r="BD233" i="10"/>
  <c r="BB234" i="10"/>
  <c r="BD234" i="10"/>
  <c r="BB243" i="10"/>
  <c r="BC243" i="10" s="1"/>
  <c r="BD243" i="10"/>
  <c r="BB220" i="10"/>
  <c r="BD220" i="10"/>
  <c r="BB232" i="10"/>
  <c r="BD232" i="10"/>
  <c r="BB240" i="10"/>
  <c r="BD240" i="10"/>
  <c r="BB85" i="10"/>
  <c r="BD85" i="10"/>
  <c r="BB86" i="10"/>
  <c r="BD86" i="10"/>
  <c r="BB102" i="10"/>
  <c r="BD102" i="10"/>
  <c r="BB171" i="10"/>
  <c r="BC171" i="10" s="1"/>
  <c r="BD171" i="10"/>
  <c r="BB175" i="10"/>
  <c r="BC175" i="10" s="1"/>
  <c r="BD175" i="10"/>
  <c r="BB169" i="10"/>
  <c r="BD169" i="10"/>
  <c r="BB170" i="10"/>
  <c r="BC170" i="10" s="1"/>
  <c r="BD170" i="10"/>
  <c r="BB172" i="10"/>
  <c r="BC172" i="10" s="1"/>
  <c r="BD172" i="10"/>
  <c r="BB173" i="10"/>
  <c r="BD173" i="10"/>
  <c r="BB174" i="10"/>
  <c r="BC174" i="10" s="1"/>
  <c r="BD174" i="10"/>
  <c r="BB176" i="10"/>
  <c r="BC176" i="10" s="1"/>
  <c r="BD176" i="10"/>
  <c r="BB179" i="10"/>
  <c r="BD179" i="10"/>
  <c r="BB181" i="10"/>
  <c r="BC181" i="10" s="1"/>
  <c r="BD181" i="10"/>
  <c r="BB178" i="10"/>
  <c r="BD178" i="10"/>
  <c r="BB177" i="10"/>
  <c r="BC177" i="10" s="1"/>
  <c r="BD177" i="10"/>
  <c r="BB180" i="10"/>
  <c r="BD180" i="10"/>
  <c r="BB200" i="10"/>
  <c r="BD200" i="10"/>
  <c r="BB225" i="10"/>
  <c r="BD225" i="10"/>
  <c r="BB230" i="10"/>
  <c r="BD230" i="10"/>
  <c r="BB76" i="10"/>
  <c r="BC76" i="10" s="1"/>
  <c r="BD76" i="10"/>
  <c r="BB78" i="10"/>
  <c r="BC78" i="10" s="1"/>
  <c r="BD78" i="10"/>
  <c r="BB74" i="10"/>
  <c r="BC74" i="10" s="1"/>
  <c r="BD74" i="10"/>
  <c r="BB75" i="10"/>
  <c r="BC75" i="10" s="1"/>
  <c r="BD75" i="10"/>
  <c r="BB77" i="10"/>
  <c r="BC77" i="10" s="1"/>
  <c r="BD77" i="10"/>
  <c r="BB79" i="10"/>
  <c r="BC79" i="10" s="1"/>
  <c r="BD79" i="10"/>
  <c r="BB80" i="10"/>
  <c r="BC80" i="10" s="1"/>
  <c r="BD80" i="10"/>
  <c r="BB81" i="10"/>
  <c r="BD81" i="10"/>
  <c r="BB82" i="10"/>
  <c r="BD82" i="10"/>
  <c r="BB83" i="10"/>
  <c r="BD83" i="10"/>
  <c r="BB84" i="10"/>
  <c r="BD84" i="10"/>
  <c r="BB87" i="10"/>
  <c r="BD87" i="10"/>
  <c r="BB89" i="10"/>
  <c r="BD89" i="10"/>
  <c r="BB90" i="10"/>
  <c r="BD90" i="10"/>
  <c r="BB92" i="10"/>
  <c r="BD92" i="10"/>
  <c r="BB95" i="10"/>
  <c r="BD95" i="10"/>
  <c r="BB96" i="10"/>
  <c r="BD96" i="10"/>
  <c r="BB99" i="10"/>
  <c r="BD99" i="10"/>
  <c r="BB101" i="10"/>
  <c r="BC101" i="10" s="1"/>
  <c r="BD101" i="10"/>
  <c r="BB103" i="10"/>
  <c r="BD103" i="10"/>
  <c r="BB104" i="10"/>
  <c r="BD104" i="10"/>
  <c r="BB105" i="10"/>
  <c r="BD105" i="10"/>
  <c r="BB106" i="10"/>
  <c r="BD106" i="10"/>
  <c r="BB108" i="10"/>
  <c r="BD108" i="10"/>
  <c r="BB88" i="10"/>
  <c r="BD88" i="10"/>
  <c r="BB91" i="10"/>
  <c r="BD91" i="10"/>
  <c r="BB93" i="10"/>
  <c r="BD93" i="10"/>
  <c r="BB94" i="10"/>
  <c r="BD94" i="10"/>
  <c r="BB97" i="10"/>
  <c r="BD97" i="10"/>
  <c r="BB100" i="10"/>
  <c r="BC100" i="10" s="1"/>
  <c r="BD100" i="10"/>
  <c r="BB107" i="10"/>
  <c r="BD107" i="10"/>
  <c r="BB98" i="10"/>
  <c r="BC98" i="10" s="1"/>
  <c r="BD98" i="10"/>
  <c r="BB217" i="10"/>
  <c r="BC217" i="10" s="1"/>
  <c r="BD217" i="10"/>
  <c r="BB216" i="10"/>
  <c r="BC216" i="10" s="1"/>
  <c r="BD216" i="10"/>
  <c r="BB277" i="10"/>
  <c r="BC277" i="10" s="1"/>
  <c r="BD277" i="10"/>
  <c r="BB278" i="10"/>
  <c r="BC278" i="10" s="1"/>
  <c r="BD278" i="10"/>
  <c r="BB281" i="10"/>
  <c r="BD281" i="10"/>
  <c r="BB282" i="10"/>
  <c r="BC282" i="10" s="1"/>
  <c r="BD282" i="10"/>
  <c r="BB265" i="10"/>
  <c r="BD265" i="10"/>
  <c r="BB280" i="10"/>
  <c r="BD280" i="10"/>
  <c r="BB279" i="10"/>
  <c r="BD279" i="10"/>
  <c r="BB187" i="10"/>
  <c r="BC187" i="10" s="1"/>
  <c r="BD187" i="10"/>
  <c r="BB193" i="10"/>
  <c r="BC193" i="10" s="1"/>
  <c r="BD193" i="10"/>
  <c r="BB182" i="10"/>
  <c r="BD182" i="10"/>
  <c r="BB183" i="10"/>
  <c r="BD183" i="10"/>
  <c r="BB184" i="10"/>
  <c r="BC184" i="10" s="1"/>
  <c r="BD184" i="10"/>
  <c r="BB188" i="10"/>
  <c r="BD188" i="10"/>
  <c r="BB192" i="10"/>
  <c r="BD192" i="10"/>
  <c r="BB194" i="10"/>
  <c r="BD194" i="10"/>
  <c r="BB196" i="10"/>
  <c r="BD196" i="10"/>
  <c r="BB197" i="10"/>
  <c r="BD197" i="10"/>
  <c r="BB185" i="10"/>
  <c r="BD185" i="10"/>
  <c r="BB186" i="10"/>
  <c r="BD186" i="10"/>
  <c r="BB189" i="10"/>
  <c r="BD189" i="10"/>
  <c r="BB190" i="10"/>
  <c r="BD190" i="10"/>
  <c r="BB191" i="10"/>
  <c r="BD191" i="10"/>
  <c r="BB195" i="10"/>
  <c r="BD195" i="10"/>
  <c r="BB206" i="10"/>
  <c r="BC206" i="10" s="1"/>
  <c r="BD206" i="10"/>
  <c r="BB205" i="10"/>
  <c r="BC205" i="10" s="1"/>
  <c r="BD205" i="10"/>
  <c r="BB208" i="10"/>
  <c r="BD208" i="10"/>
  <c r="BB207" i="10"/>
  <c r="BD207" i="10"/>
  <c r="BB251" i="10"/>
  <c r="BC251" i="10" s="1"/>
  <c r="BD251" i="10"/>
  <c r="BB260" i="10"/>
  <c r="BC260" i="10" s="1"/>
  <c r="BD260" i="10"/>
  <c r="BB266" i="10"/>
  <c r="BC266" i="10" s="1"/>
  <c r="BD266" i="10"/>
  <c r="BB287" i="10"/>
  <c r="BD287" i="10"/>
  <c r="BB250" i="10"/>
  <c r="BC250" i="10" s="1"/>
  <c r="BD250" i="10"/>
  <c r="BB286" i="10"/>
  <c r="BD286" i="10"/>
  <c r="BB198" i="10"/>
  <c r="BD198" i="10"/>
  <c r="BB202" i="10"/>
  <c r="BD202" i="10"/>
  <c r="BB203" i="10"/>
  <c r="BD203" i="10"/>
  <c r="BB199" i="10"/>
  <c r="BC199" i="10" s="1"/>
  <c r="BD199" i="10"/>
  <c r="BB226" i="10"/>
  <c r="BD226" i="10"/>
  <c r="BB231" i="10"/>
  <c r="BD231" i="10"/>
  <c r="BB236" i="10"/>
  <c r="BC236" i="10" s="1"/>
  <c r="BD236" i="10"/>
  <c r="BB245" i="10"/>
  <c r="BD245" i="10"/>
  <c r="BB221" i="10"/>
  <c r="BC221" i="10" s="1"/>
  <c r="BD221" i="10"/>
  <c r="BB237" i="10"/>
  <c r="BC237" i="10" s="1"/>
  <c r="BD237" i="10"/>
  <c r="BB252" i="10"/>
  <c r="BD252" i="10"/>
  <c r="BB254" i="10"/>
  <c r="BD254" i="10"/>
  <c r="BB257" i="10"/>
  <c r="BC257" i="10" s="1"/>
  <c r="BD257" i="10"/>
  <c r="BB283" i="10"/>
  <c r="BD283" i="10"/>
  <c r="BB284" i="10"/>
  <c r="BD284" i="10"/>
  <c r="BB253" i="10"/>
  <c r="BC253" i="10" s="1"/>
  <c r="BD253" i="10"/>
  <c r="BB255" i="10"/>
  <c r="BD255" i="10"/>
  <c r="BB285" i="10"/>
  <c r="BD285" i="10"/>
  <c r="BB15" i="10"/>
  <c r="BD15" i="10"/>
  <c r="BB29" i="10"/>
  <c r="BD29" i="10"/>
  <c r="BB36" i="10"/>
  <c r="BD36" i="10"/>
  <c r="BB57" i="10"/>
  <c r="BD57" i="10"/>
  <c r="BB60" i="10"/>
  <c r="BD60" i="10"/>
  <c r="BB13" i="10"/>
  <c r="BD13" i="10"/>
  <c r="BB16" i="10"/>
  <c r="BD16" i="10"/>
  <c r="BB17" i="10"/>
  <c r="BD17" i="10"/>
  <c r="BB38" i="10"/>
  <c r="BD38" i="10"/>
  <c r="BB69" i="10"/>
  <c r="BD69" i="10"/>
  <c r="BB18" i="10"/>
  <c r="BD18" i="10"/>
  <c r="BB34" i="10"/>
  <c r="BD34" i="10"/>
  <c r="BB52" i="10"/>
  <c r="BD52" i="10"/>
  <c r="BB65" i="10"/>
  <c r="BD65" i="10"/>
  <c r="BB66" i="10"/>
  <c r="BD66" i="10"/>
  <c r="BB21" i="10"/>
  <c r="BD21" i="10"/>
  <c r="BB31" i="10"/>
  <c r="BD31" i="10"/>
  <c r="BB32" i="10"/>
  <c r="BD32" i="10"/>
  <c r="BB42" i="10"/>
  <c r="BD42" i="10"/>
  <c r="BB45" i="10"/>
  <c r="BD45" i="10"/>
  <c r="BB47" i="10"/>
  <c r="BD47" i="10"/>
  <c r="BB48" i="10"/>
  <c r="BD48" i="10"/>
  <c r="BB58" i="10"/>
  <c r="BD58" i="10"/>
  <c r="BB62" i="10"/>
  <c r="BD62" i="10"/>
  <c r="BB6" i="10"/>
  <c r="BD6" i="10"/>
  <c r="BB12" i="10"/>
  <c r="BD12" i="10"/>
  <c r="BB46" i="10"/>
  <c r="BD46" i="10"/>
  <c r="BB49" i="10"/>
  <c r="BD49" i="10"/>
  <c r="BB55" i="10"/>
  <c r="BD55" i="10"/>
  <c r="BB56" i="10"/>
  <c r="BD56" i="10"/>
  <c r="BB71" i="10"/>
  <c r="BD71" i="10"/>
  <c r="BB123" i="10"/>
  <c r="BD123" i="10"/>
  <c r="BB159" i="10"/>
  <c r="BD159" i="10"/>
  <c r="BB122" i="10"/>
  <c r="BD122" i="10"/>
  <c r="BB126" i="10"/>
  <c r="BD126" i="10"/>
  <c r="BB117" i="10"/>
  <c r="BD117" i="10"/>
  <c r="BB150" i="10"/>
  <c r="BD150" i="10"/>
  <c r="BB155" i="10"/>
  <c r="BD155" i="10"/>
  <c r="BB124" i="10"/>
  <c r="BD124" i="10"/>
  <c r="BB163" i="10"/>
  <c r="BD163" i="10"/>
  <c r="BB145" i="10"/>
  <c r="BD145" i="10"/>
  <c r="BB114" i="10"/>
  <c r="BD114" i="10"/>
  <c r="BB125" i="10"/>
  <c r="BD125" i="10"/>
  <c r="BB135" i="10"/>
  <c r="BD135" i="10"/>
  <c r="BB154" i="10"/>
  <c r="BD154" i="10"/>
  <c r="BB143" i="10"/>
  <c r="BD143" i="10"/>
  <c r="BB116" i="10"/>
  <c r="BD116" i="10"/>
  <c r="BB132" i="10"/>
  <c r="BD132" i="10"/>
  <c r="BB153" i="10"/>
  <c r="BD153" i="10"/>
  <c r="BB167" i="10"/>
  <c r="BD167" i="10"/>
  <c r="BB121" i="10"/>
  <c r="BD121" i="10"/>
  <c r="BB119" i="10"/>
  <c r="BD119" i="10"/>
  <c r="BB152" i="10"/>
  <c r="BD152" i="10"/>
  <c r="BB164" i="10"/>
  <c r="BD164" i="10"/>
  <c r="BB129" i="10"/>
  <c r="BD129" i="10"/>
  <c r="BB146" i="10"/>
  <c r="BD146" i="10"/>
  <c r="BB160" i="10"/>
  <c r="BD160" i="10"/>
  <c r="BB136" i="10"/>
  <c r="BD136" i="10"/>
  <c r="BB162" i="10"/>
  <c r="BD162" i="10"/>
  <c r="BB20" i="10"/>
  <c r="BD20" i="10"/>
  <c r="BB19" i="10"/>
  <c r="BD19" i="10"/>
  <c r="BB7" i="10"/>
  <c r="BD7" i="10"/>
  <c r="BB72" i="10"/>
  <c r="BD72" i="10"/>
  <c r="BB35" i="10"/>
  <c r="BD35" i="10"/>
  <c r="BB24" i="10"/>
  <c r="BD24" i="10"/>
  <c r="BB54" i="10"/>
  <c r="BD54" i="10"/>
  <c r="BB37" i="10"/>
  <c r="BD37" i="10"/>
  <c r="BB10" i="10"/>
  <c r="BD10" i="10"/>
  <c r="BB40" i="10"/>
  <c r="BD40" i="10"/>
  <c r="BB33" i="10"/>
  <c r="BD33" i="10"/>
  <c r="BB70" i="10"/>
  <c r="BD70" i="10"/>
  <c r="BB68" i="10"/>
  <c r="BD68" i="10"/>
  <c r="BB11" i="10"/>
  <c r="BD11" i="10"/>
  <c r="BB25" i="10"/>
  <c r="BD25" i="10"/>
  <c r="BB27" i="10"/>
  <c r="BD27" i="10"/>
  <c r="BB26" i="10"/>
  <c r="BD26" i="10"/>
  <c r="BB9" i="10"/>
  <c r="BD9" i="10"/>
  <c r="BB5" i="10"/>
  <c r="BD5" i="10"/>
  <c r="BB39" i="10"/>
  <c r="BD39" i="10"/>
  <c r="BB41" i="10"/>
  <c r="BD41" i="10"/>
  <c r="BB44" i="10"/>
  <c r="BD44" i="10"/>
  <c r="BB23" i="10"/>
  <c r="BD23" i="10"/>
  <c r="BB14" i="10"/>
  <c r="BD14" i="10"/>
  <c r="BB30" i="10"/>
  <c r="BD30" i="10"/>
  <c r="BB50" i="10"/>
  <c r="BD50" i="10"/>
  <c r="BB53" i="10"/>
  <c r="BD53" i="10"/>
  <c r="BB67" i="10"/>
  <c r="BD67" i="10"/>
  <c r="BB43" i="10"/>
  <c r="BD43" i="10"/>
  <c r="BB73" i="10"/>
  <c r="BD73" i="10"/>
  <c r="BB8" i="10"/>
  <c r="BD8" i="10"/>
  <c r="BB64" i="10"/>
  <c r="BD64" i="10"/>
  <c r="BB63" i="10"/>
  <c r="BD63" i="10"/>
  <c r="BB51" i="10"/>
  <c r="BD51" i="10"/>
  <c r="BB22" i="10"/>
  <c r="BD22" i="10"/>
  <c r="BB59" i="10"/>
  <c r="BD59" i="10"/>
  <c r="BB61" i="10"/>
  <c r="BD61" i="10"/>
  <c r="BB28" i="10"/>
  <c r="BD28" i="10"/>
  <c r="BB115" i="10"/>
  <c r="BD115" i="10"/>
  <c r="BB151" i="10"/>
  <c r="BD151" i="10"/>
  <c r="BB127" i="10"/>
  <c r="BD127" i="10"/>
  <c r="BB120" i="10"/>
  <c r="BD120" i="10"/>
  <c r="BB137" i="10"/>
  <c r="BD137" i="10"/>
  <c r="BB139" i="10"/>
  <c r="BD139" i="10"/>
  <c r="BB138" i="10"/>
  <c r="BD138" i="10"/>
  <c r="BB147" i="10"/>
  <c r="BD147" i="10"/>
  <c r="BB165" i="10"/>
  <c r="BD165" i="10"/>
  <c r="BB131" i="10"/>
  <c r="BD131" i="10"/>
  <c r="BB133" i="10"/>
  <c r="BD133" i="10"/>
  <c r="BB140" i="10"/>
  <c r="BD140" i="10"/>
  <c r="BB148" i="10"/>
  <c r="BD148" i="10"/>
  <c r="BB161" i="10"/>
  <c r="BD161" i="10"/>
  <c r="BB112" i="10"/>
  <c r="BD112" i="10"/>
  <c r="BB111" i="10"/>
  <c r="BD111" i="10"/>
  <c r="BB130" i="10"/>
  <c r="BD130" i="10"/>
  <c r="BB156" i="10"/>
  <c r="BD156" i="10"/>
  <c r="BB118" i="10"/>
  <c r="BD118" i="10"/>
  <c r="BB110" i="10"/>
  <c r="BD110" i="10"/>
  <c r="BB149" i="10"/>
  <c r="BD149" i="10"/>
  <c r="BB168" i="10"/>
  <c r="BD168" i="10"/>
  <c r="BB109" i="10"/>
  <c r="BD109" i="10"/>
  <c r="BB113" i="10"/>
  <c r="BD113" i="10"/>
  <c r="BB141" i="10"/>
  <c r="BD141" i="10"/>
  <c r="BB144" i="10"/>
  <c r="BD144" i="10"/>
  <c r="BB128" i="10"/>
  <c r="BD128" i="10"/>
  <c r="BB166" i="10"/>
  <c r="BD166" i="10"/>
  <c r="BB157" i="10"/>
  <c r="BD157" i="10"/>
  <c r="BB142" i="10"/>
  <c r="BD142" i="10"/>
  <c r="BB134" i="10"/>
  <c r="BD134" i="10"/>
  <c r="BB158" i="10"/>
  <c r="BD158" i="10"/>
  <c r="BD248" i="10"/>
  <c r="BB248" i="10"/>
  <c r="CU249" i="10"/>
  <c r="CV249" i="10"/>
  <c r="AJ249" i="10" s="1"/>
  <c r="CU256" i="10"/>
  <c r="CV256" i="10"/>
  <c r="CU261" i="10"/>
  <c r="CV261" i="10"/>
  <c r="AJ261" i="10" s="1"/>
  <c r="CU262" i="10"/>
  <c r="CV262" i="10"/>
  <c r="CU263" i="10"/>
  <c r="CV263" i="10"/>
  <c r="AJ263" i="10" s="1"/>
  <c r="CU289" i="10"/>
  <c r="CV289" i="10"/>
  <c r="CU288" i="10"/>
  <c r="CV288" i="10"/>
  <c r="AJ288" i="10" s="1"/>
  <c r="CU258" i="10"/>
  <c r="CV258" i="10"/>
  <c r="CU264" i="10"/>
  <c r="AJ264" i="10" s="1"/>
  <c r="CV264" i="10"/>
  <c r="CU276" i="10"/>
  <c r="CV276" i="10"/>
  <c r="CU201" i="10"/>
  <c r="AJ201" i="10" s="1"/>
  <c r="CV201" i="10"/>
  <c r="CU259" i="10"/>
  <c r="CV259" i="10"/>
  <c r="CU204" i="10"/>
  <c r="CV204" i="10"/>
  <c r="CU267" i="10"/>
  <c r="CV267" i="10"/>
  <c r="CU272" i="10"/>
  <c r="CV272" i="10"/>
  <c r="CU268" i="10"/>
  <c r="CV268" i="10"/>
  <c r="CU269" i="10"/>
  <c r="CV269" i="10"/>
  <c r="AJ269" i="10" s="1"/>
  <c r="CU270" i="10"/>
  <c r="CV270" i="10"/>
  <c r="CU271" i="10"/>
  <c r="CV271" i="10"/>
  <c r="AJ271" i="10" s="1"/>
  <c r="CU274" i="10"/>
  <c r="CV274" i="10"/>
  <c r="CU275" i="10"/>
  <c r="CV275" i="10"/>
  <c r="AJ275" i="10" s="1"/>
  <c r="CU273" i="10"/>
  <c r="CV273" i="10"/>
  <c r="CU209" i="10"/>
  <c r="CV209" i="10"/>
  <c r="AJ209" i="10" s="1"/>
  <c r="CU210" i="10"/>
  <c r="CV210" i="10"/>
  <c r="CU211" i="10"/>
  <c r="CV211" i="10"/>
  <c r="AJ211" i="10" s="1"/>
  <c r="CU212" i="10"/>
  <c r="CV212" i="10"/>
  <c r="CU213" i="10"/>
  <c r="CV213" i="10"/>
  <c r="AJ213" i="10" s="1"/>
  <c r="CU214" i="10"/>
  <c r="CV214" i="10"/>
  <c r="CU215" i="10"/>
  <c r="CV215" i="10"/>
  <c r="AJ215" i="10" s="1"/>
  <c r="CU219" i="10"/>
  <c r="CV219" i="10"/>
  <c r="CU218" i="10"/>
  <c r="CV218" i="10"/>
  <c r="AJ218" i="10" s="1"/>
  <c r="CU222" i="10"/>
  <c r="CV222" i="10"/>
  <c r="CU223" i="10"/>
  <c r="CV223" i="10"/>
  <c r="AJ223" i="10" s="1"/>
  <c r="CU224" i="10"/>
  <c r="CV224" i="10"/>
  <c r="CU228" i="10"/>
  <c r="CV228" i="10"/>
  <c r="AJ228" i="10" s="1"/>
  <c r="CU229" i="10"/>
  <c r="CV229" i="10"/>
  <c r="CU235" i="10"/>
  <c r="CV235" i="10"/>
  <c r="AJ235" i="10" s="1"/>
  <c r="CU238" i="10"/>
  <c r="CV238" i="10"/>
  <c r="CU239" i="10"/>
  <c r="CV239" i="10"/>
  <c r="AJ239" i="10" s="1"/>
  <c r="CU241" i="10"/>
  <c r="CV241" i="10"/>
  <c r="CU242" i="10"/>
  <c r="CV242" i="10"/>
  <c r="AJ242" i="10" s="1"/>
  <c r="CU244" i="10"/>
  <c r="CV244" i="10"/>
  <c r="CU246" i="10"/>
  <c r="CV246" i="10"/>
  <c r="AJ246" i="10" s="1"/>
  <c r="CU247" i="10"/>
  <c r="CV247" i="10"/>
  <c r="CU227" i="10"/>
  <c r="CV227" i="10"/>
  <c r="CU233" i="10"/>
  <c r="CV233" i="10"/>
  <c r="CU234" i="10"/>
  <c r="CV234" i="10"/>
  <c r="AJ234" i="10" s="1"/>
  <c r="CU243" i="10"/>
  <c r="CV243" i="10"/>
  <c r="CU220" i="10"/>
  <c r="CV220" i="10"/>
  <c r="AJ220" i="10" s="1"/>
  <c r="CU232" i="10"/>
  <c r="CV232" i="10"/>
  <c r="CU240" i="10"/>
  <c r="CV240" i="10"/>
  <c r="CU85" i="10"/>
  <c r="CV85" i="10"/>
  <c r="CU86" i="10"/>
  <c r="CV86" i="10"/>
  <c r="CU102" i="10"/>
  <c r="CV102" i="10"/>
  <c r="CU171" i="10"/>
  <c r="CV171" i="10"/>
  <c r="CU175" i="10"/>
  <c r="CV175" i="10"/>
  <c r="CU169" i="10"/>
  <c r="CV169" i="10"/>
  <c r="CU170" i="10"/>
  <c r="CV170" i="10"/>
  <c r="CU172" i="10"/>
  <c r="CV172" i="10"/>
  <c r="AJ172" i="10" s="1"/>
  <c r="CU173" i="10"/>
  <c r="CV173" i="10"/>
  <c r="CU174" i="10"/>
  <c r="CV174" i="10"/>
  <c r="AJ174" i="10" s="1"/>
  <c r="CU176" i="10"/>
  <c r="CV176" i="10"/>
  <c r="CU179" i="10"/>
  <c r="AJ179" i="10" s="1"/>
  <c r="CV179" i="10"/>
  <c r="CU181" i="10"/>
  <c r="CV181" i="10"/>
  <c r="CU178" i="10"/>
  <c r="CV178" i="10"/>
  <c r="CU177" i="10"/>
  <c r="CV177" i="10"/>
  <c r="CU180" i="10"/>
  <c r="CV180" i="10"/>
  <c r="CU200" i="10"/>
  <c r="CV200" i="10"/>
  <c r="CU225" i="10"/>
  <c r="CV225" i="10"/>
  <c r="CU230" i="10"/>
  <c r="CV230" i="10"/>
  <c r="CU76" i="10"/>
  <c r="CV76" i="10"/>
  <c r="CU78" i="10"/>
  <c r="CV78" i="10"/>
  <c r="CU74" i="10"/>
  <c r="CV74" i="10"/>
  <c r="CU75" i="10"/>
  <c r="CV75" i="10"/>
  <c r="CU77" i="10"/>
  <c r="CV77" i="10"/>
  <c r="CU79" i="10"/>
  <c r="CV79" i="10"/>
  <c r="CU80" i="10"/>
  <c r="CV80" i="10"/>
  <c r="CU81" i="10"/>
  <c r="CV81" i="10"/>
  <c r="CU82" i="10"/>
  <c r="CV82" i="10"/>
  <c r="CU83" i="10"/>
  <c r="CV83" i="10"/>
  <c r="CU84" i="10"/>
  <c r="CV84" i="10"/>
  <c r="CU87" i="10"/>
  <c r="CV87" i="10"/>
  <c r="CU89" i="10"/>
  <c r="CV89" i="10"/>
  <c r="AJ89" i="10" s="1"/>
  <c r="CU90" i="10"/>
  <c r="CV90" i="10"/>
  <c r="CU92" i="10"/>
  <c r="CV92" i="10"/>
  <c r="CU95" i="10"/>
  <c r="CV95" i="10"/>
  <c r="CU96" i="10"/>
  <c r="CV96" i="10"/>
  <c r="CU99" i="10"/>
  <c r="CV99" i="10"/>
  <c r="CU101" i="10"/>
  <c r="CV101" i="10"/>
  <c r="CU103" i="10"/>
  <c r="CV103" i="10"/>
  <c r="CU104" i="10"/>
  <c r="CV104" i="10"/>
  <c r="CU105" i="10"/>
  <c r="CV105" i="10"/>
  <c r="CU106" i="10"/>
  <c r="CV106" i="10"/>
  <c r="CU108" i="10"/>
  <c r="CV108" i="10"/>
  <c r="CU88" i="10"/>
  <c r="CV88" i="10"/>
  <c r="CU91" i="10"/>
  <c r="CV91" i="10"/>
  <c r="CU93" i="10"/>
  <c r="CV93" i="10"/>
  <c r="AJ93" i="10" s="1"/>
  <c r="CU94" i="10"/>
  <c r="CV94" i="10"/>
  <c r="CU97" i="10"/>
  <c r="CV97" i="10"/>
  <c r="AJ97" i="10" s="1"/>
  <c r="CU100" i="10"/>
  <c r="CV100" i="10"/>
  <c r="CU107" i="10"/>
  <c r="CV107" i="10"/>
  <c r="AJ107" i="10" s="1"/>
  <c r="CU98" i="10"/>
  <c r="CV98" i="10"/>
  <c r="CU217" i="10"/>
  <c r="AJ217" i="10" s="1"/>
  <c r="CV217" i="10"/>
  <c r="CU216" i="10"/>
  <c r="CV216" i="10"/>
  <c r="CU277" i="10"/>
  <c r="AJ277" i="10" s="1"/>
  <c r="CV277" i="10"/>
  <c r="CU278" i="10"/>
  <c r="CV278" i="10"/>
  <c r="CU281" i="10"/>
  <c r="AJ281" i="10" s="1"/>
  <c r="CV281" i="10"/>
  <c r="CU282" i="10"/>
  <c r="CV282" i="10"/>
  <c r="CU265" i="10"/>
  <c r="CV265" i="10"/>
  <c r="AJ265" i="10" s="1"/>
  <c r="CU280" i="10"/>
  <c r="CV280" i="10"/>
  <c r="CU279" i="10"/>
  <c r="CV279" i="10"/>
  <c r="CU187" i="10"/>
  <c r="CV187" i="10"/>
  <c r="CU193" i="10"/>
  <c r="AJ193" i="10" s="1"/>
  <c r="CV193" i="10"/>
  <c r="CU182" i="10"/>
  <c r="CV182" i="10"/>
  <c r="CU183" i="10"/>
  <c r="CV183" i="10"/>
  <c r="AJ183" i="10" s="1"/>
  <c r="CU184" i="10"/>
  <c r="CV184" i="10"/>
  <c r="CU188" i="10"/>
  <c r="CV188" i="10"/>
  <c r="AJ188" i="10" s="1"/>
  <c r="CU192" i="10"/>
  <c r="CV192" i="10"/>
  <c r="CU194" i="10"/>
  <c r="CV194" i="10"/>
  <c r="AJ194" i="10" s="1"/>
  <c r="CU196" i="10"/>
  <c r="CV196" i="10"/>
  <c r="CU197" i="10"/>
  <c r="CV197" i="10"/>
  <c r="AJ197" i="10" s="1"/>
  <c r="CU185" i="10"/>
  <c r="CV185" i="10"/>
  <c r="CU186" i="10"/>
  <c r="CV186" i="10"/>
  <c r="AJ186" i="10" s="1"/>
  <c r="CU189" i="10"/>
  <c r="CV189" i="10"/>
  <c r="CU190" i="10"/>
  <c r="CV190" i="10"/>
  <c r="AJ190" i="10" s="1"/>
  <c r="CU191" i="10"/>
  <c r="CV191" i="10"/>
  <c r="CU195" i="10"/>
  <c r="CV195" i="10"/>
  <c r="AJ195" i="10" s="1"/>
  <c r="CU206" i="10"/>
  <c r="CV206" i="10"/>
  <c r="CU205" i="10"/>
  <c r="CV205" i="10"/>
  <c r="AJ205" i="10" s="1"/>
  <c r="CU208" i="10"/>
  <c r="CV208" i="10"/>
  <c r="CU207" i="10"/>
  <c r="CV207" i="10"/>
  <c r="AJ207" i="10" s="1"/>
  <c r="CU251" i="10"/>
  <c r="CV251" i="10"/>
  <c r="CU260" i="10"/>
  <c r="AJ260" i="10" s="1"/>
  <c r="CV260" i="10"/>
  <c r="CU266" i="10"/>
  <c r="CV266" i="10"/>
  <c r="CU287" i="10"/>
  <c r="AJ287" i="10" s="1"/>
  <c r="CV287" i="10"/>
  <c r="CU250" i="10"/>
  <c r="CV250" i="10"/>
  <c r="CU286" i="10"/>
  <c r="CV286" i="10"/>
  <c r="AJ286" i="10" s="1"/>
  <c r="CU198" i="10"/>
  <c r="CV198" i="10"/>
  <c r="CU202" i="10"/>
  <c r="AJ202" i="10" s="1"/>
  <c r="CV202" i="10"/>
  <c r="CU203" i="10"/>
  <c r="CV203" i="10"/>
  <c r="CU199" i="10"/>
  <c r="CV199" i="10"/>
  <c r="AJ199" i="10" s="1"/>
  <c r="CU226" i="10"/>
  <c r="CV226" i="10"/>
  <c r="CU231" i="10"/>
  <c r="AJ231" i="10" s="1"/>
  <c r="CV231" i="10"/>
  <c r="CU236" i="10"/>
  <c r="CV236" i="10"/>
  <c r="CU245" i="10"/>
  <c r="CV245" i="10"/>
  <c r="AJ245" i="10" s="1"/>
  <c r="CU221" i="10"/>
  <c r="CV221" i="10"/>
  <c r="CU237" i="10"/>
  <c r="CV237" i="10"/>
  <c r="AJ237" i="10" s="1"/>
  <c r="CU252" i="10"/>
  <c r="CV252" i="10"/>
  <c r="CU254" i="10"/>
  <c r="AJ254" i="10" s="1"/>
  <c r="CV254" i="10"/>
  <c r="CU257" i="10"/>
  <c r="CV257" i="10"/>
  <c r="CU283" i="10"/>
  <c r="AJ283" i="10" s="1"/>
  <c r="CV283" i="10"/>
  <c r="CU284" i="10"/>
  <c r="CV284" i="10"/>
  <c r="CU253" i="10"/>
  <c r="CV253" i="10"/>
  <c r="AJ253" i="10" s="1"/>
  <c r="CU255" i="10"/>
  <c r="CV255" i="10"/>
  <c r="CU285" i="10"/>
  <c r="CV285" i="10"/>
  <c r="AJ285" i="10" s="1"/>
  <c r="CU15" i="10"/>
  <c r="CV15" i="10"/>
  <c r="CU29" i="10"/>
  <c r="CV29" i="10"/>
  <c r="AJ29" i="10" s="1"/>
  <c r="CU36" i="10"/>
  <c r="CV36" i="10"/>
  <c r="AJ36" i="10" s="1"/>
  <c r="CU57" i="10"/>
  <c r="CV57" i="10"/>
  <c r="AJ57" i="10" s="1"/>
  <c r="CU60" i="10"/>
  <c r="CV60" i="10"/>
  <c r="CU13" i="10"/>
  <c r="CV13" i="10"/>
  <c r="AJ13" i="10" s="1"/>
  <c r="CU16" i="10"/>
  <c r="CV16" i="10"/>
  <c r="AJ16" i="10" s="1"/>
  <c r="CU17" i="10"/>
  <c r="CV17" i="10"/>
  <c r="AJ17" i="10" s="1"/>
  <c r="CU38" i="10"/>
  <c r="CV38" i="10"/>
  <c r="CU69" i="10"/>
  <c r="CV69" i="10"/>
  <c r="AJ69" i="10" s="1"/>
  <c r="CU18" i="10"/>
  <c r="CV18" i="10"/>
  <c r="AJ18" i="10" s="1"/>
  <c r="CU34" i="10"/>
  <c r="CV34" i="10"/>
  <c r="AJ34" i="10" s="1"/>
  <c r="CU52" i="10"/>
  <c r="CV52" i="10"/>
  <c r="AJ52" i="10" s="1"/>
  <c r="CU65" i="10"/>
  <c r="CV65" i="10"/>
  <c r="AJ65" i="10" s="1"/>
  <c r="CU66" i="10"/>
  <c r="CV66" i="10"/>
  <c r="AJ66" i="10" s="1"/>
  <c r="CU21" i="10"/>
  <c r="CV21" i="10"/>
  <c r="AJ21" i="10" s="1"/>
  <c r="CU31" i="10"/>
  <c r="CV31" i="10"/>
  <c r="CU32" i="10"/>
  <c r="CV32" i="10"/>
  <c r="AJ32" i="10" s="1"/>
  <c r="CU42" i="10"/>
  <c r="CV42" i="10"/>
  <c r="AJ42" i="10" s="1"/>
  <c r="CU45" i="10"/>
  <c r="CV45" i="10"/>
  <c r="AJ45" i="10" s="1"/>
  <c r="CU47" i="10"/>
  <c r="CV47" i="10"/>
  <c r="CU48" i="10"/>
  <c r="CV48" i="10"/>
  <c r="AJ48" i="10" s="1"/>
  <c r="CU58" i="10"/>
  <c r="CV58" i="10"/>
  <c r="AJ58" i="10" s="1"/>
  <c r="CU62" i="10"/>
  <c r="CV62" i="10"/>
  <c r="AJ62" i="10" s="1"/>
  <c r="CU6" i="10"/>
  <c r="CV6" i="10"/>
  <c r="CU12" i="10"/>
  <c r="CV12" i="10"/>
  <c r="AJ12" i="10" s="1"/>
  <c r="CU46" i="10"/>
  <c r="CV46" i="10"/>
  <c r="AJ46" i="10" s="1"/>
  <c r="CU49" i="10"/>
  <c r="CV49" i="10"/>
  <c r="AJ49" i="10" s="1"/>
  <c r="CU55" i="10"/>
  <c r="CV55" i="10"/>
  <c r="CU56" i="10"/>
  <c r="CV56" i="10"/>
  <c r="AJ56" i="10" s="1"/>
  <c r="CU71" i="10"/>
  <c r="CV71" i="10"/>
  <c r="AJ71" i="10" s="1"/>
  <c r="CU123" i="10"/>
  <c r="CV123" i="10"/>
  <c r="AJ123" i="10" s="1"/>
  <c r="CU159" i="10"/>
  <c r="CV159" i="10"/>
  <c r="CU122" i="10"/>
  <c r="CV122" i="10"/>
  <c r="AJ122" i="10" s="1"/>
  <c r="CU126" i="10"/>
  <c r="CV126" i="10"/>
  <c r="AJ126" i="10" s="1"/>
  <c r="CU117" i="10"/>
  <c r="CV117" i="10"/>
  <c r="AJ117" i="10" s="1"/>
  <c r="CU150" i="10"/>
  <c r="CV150" i="10"/>
  <c r="AJ150" i="10" s="1"/>
  <c r="CU155" i="10"/>
  <c r="CV155" i="10"/>
  <c r="AJ155" i="10" s="1"/>
  <c r="CU124" i="10"/>
  <c r="CV124" i="10"/>
  <c r="AJ124" i="10" s="1"/>
  <c r="CU163" i="10"/>
  <c r="CV163" i="10"/>
  <c r="AJ163" i="10" s="1"/>
  <c r="CU145" i="10"/>
  <c r="CV145" i="10"/>
  <c r="AJ145" i="10" s="1"/>
  <c r="CU114" i="10"/>
  <c r="CV114" i="10"/>
  <c r="AJ114" i="10" s="1"/>
  <c r="CU125" i="10"/>
  <c r="CV125" i="10"/>
  <c r="CU135" i="10"/>
  <c r="CV135" i="10"/>
  <c r="AJ135" i="10" s="1"/>
  <c r="CU154" i="10"/>
  <c r="CV154" i="10"/>
  <c r="CU143" i="10"/>
  <c r="CV143" i="10"/>
  <c r="AJ143" i="10" s="1"/>
  <c r="CU116" i="10"/>
  <c r="CV116" i="10"/>
  <c r="AJ116" i="10" s="1"/>
  <c r="CU132" i="10"/>
  <c r="CV132" i="10"/>
  <c r="AJ132" i="10" s="1"/>
  <c r="CU153" i="10"/>
  <c r="CV153" i="10"/>
  <c r="AJ153" i="10" s="1"/>
  <c r="CU167" i="10"/>
  <c r="CV167" i="10"/>
  <c r="AJ167" i="10" s="1"/>
  <c r="CU121" i="10"/>
  <c r="CV121" i="10"/>
  <c r="CU119" i="10"/>
  <c r="CV119" i="10"/>
  <c r="AJ119" i="10" s="1"/>
  <c r="CU152" i="10"/>
  <c r="CV152" i="10"/>
  <c r="CU164" i="10"/>
  <c r="CV164" i="10"/>
  <c r="AJ164" i="10" s="1"/>
  <c r="CU129" i="10"/>
  <c r="CV129" i="10"/>
  <c r="CU146" i="10"/>
  <c r="CV146" i="10"/>
  <c r="AJ146" i="10" s="1"/>
  <c r="CU160" i="10"/>
  <c r="CV160" i="10"/>
  <c r="AJ160" i="10" s="1"/>
  <c r="CU136" i="10"/>
  <c r="CV136" i="10"/>
  <c r="AJ136" i="10" s="1"/>
  <c r="CU162" i="10"/>
  <c r="CV162" i="10"/>
  <c r="CU20" i="10"/>
  <c r="CV20" i="10"/>
  <c r="AJ20" i="10" s="1"/>
  <c r="CU19" i="10"/>
  <c r="CV19" i="10"/>
  <c r="AJ19" i="10" s="1"/>
  <c r="CU7" i="10"/>
  <c r="CV7" i="10"/>
  <c r="AJ7" i="10" s="1"/>
  <c r="CU72" i="10"/>
  <c r="CV72" i="10"/>
  <c r="CU35" i="10"/>
  <c r="CV35" i="10"/>
  <c r="AJ35" i="10" s="1"/>
  <c r="CU24" i="10"/>
  <c r="CV24" i="10"/>
  <c r="AJ24" i="10" s="1"/>
  <c r="CU54" i="10"/>
  <c r="CV54" i="10"/>
  <c r="AJ54" i="10" s="1"/>
  <c r="CU37" i="10"/>
  <c r="CV37" i="10"/>
  <c r="AJ37" i="10" s="1"/>
  <c r="CU10" i="10"/>
  <c r="CV10" i="10"/>
  <c r="AJ10" i="10" s="1"/>
  <c r="CU40" i="10"/>
  <c r="CV40" i="10"/>
  <c r="AJ40" i="10" s="1"/>
  <c r="CU33" i="10"/>
  <c r="CV33" i="10"/>
  <c r="AJ33" i="10" s="1"/>
  <c r="CU70" i="10"/>
  <c r="CV70" i="10"/>
  <c r="AJ70" i="10" s="1"/>
  <c r="CU68" i="10"/>
  <c r="CV68" i="10"/>
  <c r="AJ68" i="10" s="1"/>
  <c r="CU11" i="10"/>
  <c r="CV11" i="10"/>
  <c r="AJ11" i="10" s="1"/>
  <c r="CU25" i="10"/>
  <c r="CV25" i="10"/>
  <c r="AJ25" i="10" s="1"/>
  <c r="CU27" i="10"/>
  <c r="CV27" i="10"/>
  <c r="CU26" i="10"/>
  <c r="CV26" i="10"/>
  <c r="AJ26" i="10" s="1"/>
  <c r="CU9" i="10"/>
  <c r="CV9" i="10"/>
  <c r="AJ9" i="10" s="1"/>
  <c r="CU5" i="10"/>
  <c r="CV5" i="10"/>
  <c r="AJ5" i="10" s="1"/>
  <c r="CU39" i="10"/>
  <c r="CV39" i="10"/>
  <c r="CU41" i="10"/>
  <c r="CV41" i="10"/>
  <c r="AJ41" i="10" s="1"/>
  <c r="CU44" i="10"/>
  <c r="CV44" i="10"/>
  <c r="CU23" i="10"/>
  <c r="CV23" i="10"/>
  <c r="AJ23" i="10" s="1"/>
  <c r="CU14" i="10"/>
  <c r="CV14" i="10"/>
  <c r="CU30" i="10"/>
  <c r="CV30" i="10"/>
  <c r="AJ30" i="10" s="1"/>
  <c r="CU50" i="10"/>
  <c r="CV50" i="10"/>
  <c r="AJ50" i="10" s="1"/>
  <c r="CU53" i="10"/>
  <c r="CV53" i="10"/>
  <c r="AJ53" i="10" s="1"/>
  <c r="CU67" i="10"/>
  <c r="CV67" i="10"/>
  <c r="AJ67" i="10" s="1"/>
  <c r="CU43" i="10"/>
  <c r="CV43" i="10"/>
  <c r="AJ43" i="10" s="1"/>
  <c r="CU73" i="10"/>
  <c r="CV73" i="10"/>
  <c r="AJ73" i="10" s="1"/>
  <c r="CU8" i="10"/>
  <c r="CV8" i="10"/>
  <c r="AJ8" i="10" s="1"/>
  <c r="CU64" i="10"/>
  <c r="CV64" i="10"/>
  <c r="CU63" i="10"/>
  <c r="CV63" i="10"/>
  <c r="AJ63" i="10" s="1"/>
  <c r="CU51" i="10"/>
  <c r="CV51" i="10"/>
  <c r="CU22" i="10"/>
  <c r="CV22" i="10"/>
  <c r="AJ22" i="10" s="1"/>
  <c r="CU59" i="10"/>
  <c r="CV59" i="10"/>
  <c r="AJ59" i="10" s="1"/>
  <c r="CU61" i="10"/>
  <c r="CV61" i="10"/>
  <c r="AJ61" i="10" s="1"/>
  <c r="CU28" i="10"/>
  <c r="CV28" i="10"/>
  <c r="AJ28" i="10" s="1"/>
  <c r="CU115" i="10"/>
  <c r="CV115" i="10"/>
  <c r="AJ115" i="10" s="1"/>
  <c r="CU151" i="10"/>
  <c r="CV151" i="10"/>
  <c r="CU127" i="10"/>
  <c r="CV127" i="10"/>
  <c r="AJ127" i="10" s="1"/>
  <c r="CU120" i="10"/>
  <c r="CV120" i="10"/>
  <c r="AJ120" i="10" s="1"/>
  <c r="CU137" i="10"/>
  <c r="CV137" i="10"/>
  <c r="AJ137" i="10" s="1"/>
  <c r="CU139" i="10"/>
  <c r="CV139" i="10"/>
  <c r="CU138" i="10"/>
  <c r="CV138" i="10"/>
  <c r="AJ138" i="10" s="1"/>
  <c r="CU147" i="10"/>
  <c r="CV147" i="10"/>
  <c r="AJ147" i="10" s="1"/>
  <c r="CU165" i="10"/>
  <c r="CV165" i="10"/>
  <c r="AJ165" i="10" s="1"/>
  <c r="CU131" i="10"/>
  <c r="CV131" i="10"/>
  <c r="AJ131" i="10" s="1"/>
  <c r="CU133" i="10"/>
  <c r="CV133" i="10"/>
  <c r="AJ133" i="10" s="1"/>
  <c r="CU140" i="10"/>
  <c r="CV140" i="10"/>
  <c r="AJ140" i="10" s="1"/>
  <c r="CU148" i="10"/>
  <c r="CV148" i="10"/>
  <c r="AJ148" i="10" s="1"/>
  <c r="CU161" i="10"/>
  <c r="CV161" i="10"/>
  <c r="CU112" i="10"/>
  <c r="CV112" i="10"/>
  <c r="AJ112" i="10" s="1"/>
  <c r="CU111" i="10"/>
  <c r="CV111" i="10"/>
  <c r="CU130" i="10"/>
  <c r="CV130" i="10"/>
  <c r="AJ130" i="10" s="1"/>
  <c r="CU156" i="10"/>
  <c r="CV156" i="10"/>
  <c r="AJ156" i="10" s="1"/>
  <c r="CU118" i="10"/>
  <c r="CV118" i="10"/>
  <c r="AJ118" i="10" s="1"/>
  <c r="CU110" i="10"/>
  <c r="CV110" i="10"/>
  <c r="AJ110" i="10" s="1"/>
  <c r="CU149" i="10"/>
  <c r="CV149" i="10"/>
  <c r="AJ149" i="10" s="1"/>
  <c r="CU168" i="10"/>
  <c r="CV168" i="10"/>
  <c r="AJ168" i="10" s="1"/>
  <c r="CU109" i="10"/>
  <c r="CV109" i="10"/>
  <c r="AJ109" i="10" s="1"/>
  <c r="CU113" i="10"/>
  <c r="CV113" i="10"/>
  <c r="CU141" i="10"/>
  <c r="CV141" i="10"/>
  <c r="AJ141" i="10" s="1"/>
  <c r="CU144" i="10"/>
  <c r="CV144" i="10"/>
  <c r="CU128" i="10"/>
  <c r="CV128" i="10"/>
  <c r="AJ128" i="10" s="1"/>
  <c r="CU166" i="10"/>
  <c r="CV166" i="10"/>
  <c r="CU157" i="10"/>
  <c r="CV157" i="10"/>
  <c r="AJ157" i="10" s="1"/>
  <c r="CU142" i="10"/>
  <c r="CV142" i="10"/>
  <c r="AJ142" i="10" s="1"/>
  <c r="CU134" i="10"/>
  <c r="CV134" i="10"/>
  <c r="AJ134" i="10" s="1"/>
  <c r="CU158" i="10"/>
  <c r="CV158" i="10"/>
  <c r="AJ158" i="10" s="1"/>
  <c r="CU290" i="10"/>
  <c r="CV290" i="10"/>
  <c r="CU291" i="10"/>
  <c r="CV291" i="10"/>
  <c r="CV248" i="10"/>
  <c r="CU248" i="10"/>
  <c r="CT249" i="10"/>
  <c r="CT256" i="10"/>
  <c r="AH256" i="10" s="1"/>
  <c r="CT261" i="10"/>
  <c r="AH261" i="10" s="1"/>
  <c r="CT262" i="10"/>
  <c r="AH262" i="10" s="1"/>
  <c r="CT263" i="10"/>
  <c r="CT289" i="10"/>
  <c r="AH289" i="10" s="1"/>
  <c r="CT288" i="10"/>
  <c r="AH288" i="10" s="1"/>
  <c r="CT258" i="10"/>
  <c r="CT264" i="10"/>
  <c r="CT276" i="10"/>
  <c r="CT201" i="10"/>
  <c r="CT259" i="10"/>
  <c r="CT204" i="10"/>
  <c r="CT267" i="10"/>
  <c r="CT272" i="10"/>
  <c r="CT268" i="10"/>
  <c r="AH268" i="10" s="1"/>
  <c r="CT269" i="10"/>
  <c r="CT270" i="10"/>
  <c r="AH270" i="10" s="1"/>
  <c r="CT271" i="10"/>
  <c r="AH271" i="10" s="1"/>
  <c r="CT274" i="10"/>
  <c r="AH274" i="10" s="1"/>
  <c r="CT275" i="10"/>
  <c r="CT273" i="10"/>
  <c r="AH273" i="10" s="1"/>
  <c r="CT209" i="10"/>
  <c r="AH209" i="10" s="1"/>
  <c r="CT210" i="10"/>
  <c r="AH210" i="10" s="1"/>
  <c r="CT211" i="10"/>
  <c r="CT212" i="10"/>
  <c r="AH212" i="10" s="1"/>
  <c r="CT213" i="10"/>
  <c r="AH213" i="10" s="1"/>
  <c r="CT214" i="10"/>
  <c r="AH214" i="10" s="1"/>
  <c r="CT215" i="10"/>
  <c r="CT219" i="10"/>
  <c r="CT218" i="10"/>
  <c r="AH218" i="10" s="1"/>
  <c r="CT222" i="10"/>
  <c r="AH222" i="10" s="1"/>
  <c r="CT223" i="10"/>
  <c r="CT224" i="10"/>
  <c r="AH224" i="10" s="1"/>
  <c r="CT228" i="10"/>
  <c r="AH228" i="10" s="1"/>
  <c r="CT229" i="10"/>
  <c r="AH229" i="10" s="1"/>
  <c r="CT235" i="10"/>
  <c r="CT238" i="10"/>
  <c r="AH238" i="10" s="1"/>
  <c r="CT239" i="10"/>
  <c r="AH239" i="10" s="1"/>
  <c r="CT241" i="10"/>
  <c r="AH241" i="10" s="1"/>
  <c r="CT242" i="10"/>
  <c r="CT244" i="10"/>
  <c r="AH244" i="10" s="1"/>
  <c r="CT246" i="10"/>
  <c r="AH246" i="10" s="1"/>
  <c r="CT247" i="10"/>
  <c r="AH247" i="10" s="1"/>
  <c r="CT227" i="10"/>
  <c r="CT233" i="10"/>
  <c r="CT234" i="10"/>
  <c r="CT243" i="10"/>
  <c r="AH243" i="10" s="1"/>
  <c r="CT220" i="10"/>
  <c r="CT232" i="10"/>
  <c r="CT240" i="10"/>
  <c r="AH240" i="10" s="1"/>
  <c r="CT85" i="10"/>
  <c r="AH85" i="10" s="1"/>
  <c r="CT86" i="10"/>
  <c r="CT102" i="10"/>
  <c r="CT171" i="10"/>
  <c r="CT175" i="10"/>
  <c r="CT169" i="10"/>
  <c r="CT170" i="10"/>
  <c r="CT172" i="10"/>
  <c r="CT173" i="10"/>
  <c r="AH173" i="10" s="1"/>
  <c r="CT174" i="10"/>
  <c r="CT176" i="10"/>
  <c r="CT179" i="10"/>
  <c r="CT181" i="10"/>
  <c r="CT178" i="10"/>
  <c r="CT177" i="10"/>
  <c r="AH177" i="10" s="1"/>
  <c r="CT180" i="10"/>
  <c r="CT200" i="10"/>
  <c r="CT225" i="10"/>
  <c r="CT230" i="10"/>
  <c r="CT76" i="10"/>
  <c r="CT78" i="10"/>
  <c r="CT74" i="10"/>
  <c r="CT75" i="10"/>
  <c r="CT77" i="10"/>
  <c r="AH77" i="10" s="1"/>
  <c r="CT79" i="10"/>
  <c r="AH79" i="10" s="1"/>
  <c r="CT80" i="10"/>
  <c r="CT81" i="10"/>
  <c r="CT82" i="10"/>
  <c r="AH82" i="10" s="1"/>
  <c r="CT83" i="10"/>
  <c r="AH83" i="10" s="1"/>
  <c r="CT84" i="10"/>
  <c r="CT87" i="10"/>
  <c r="CT89" i="10"/>
  <c r="CT90" i="10"/>
  <c r="AH90" i="10" s="1"/>
  <c r="CT92" i="10"/>
  <c r="CT95" i="10"/>
  <c r="CT96" i="10"/>
  <c r="AH96" i="10" s="1"/>
  <c r="CT99" i="10"/>
  <c r="AH99" i="10" s="1"/>
  <c r="CT101" i="10"/>
  <c r="CT103" i="10"/>
  <c r="CT104" i="10"/>
  <c r="CT105" i="10"/>
  <c r="CT106" i="10"/>
  <c r="CT108" i="10"/>
  <c r="CT88" i="10"/>
  <c r="AH88" i="10" s="1"/>
  <c r="CT91" i="10"/>
  <c r="AH91" i="10" s="1"/>
  <c r="CT93" i="10"/>
  <c r="CT94" i="10"/>
  <c r="AH94" i="10" s="1"/>
  <c r="CT97" i="10"/>
  <c r="AH97" i="10" s="1"/>
  <c r="CT100" i="10"/>
  <c r="AH100" i="10" s="1"/>
  <c r="CT107" i="10"/>
  <c r="CT98" i="10"/>
  <c r="AH98" i="10" s="1"/>
  <c r="CT217" i="10"/>
  <c r="CT216" i="10"/>
  <c r="AH216" i="10" s="1"/>
  <c r="CT277" i="10"/>
  <c r="CT278" i="10"/>
  <c r="CT281" i="10"/>
  <c r="CT282" i="10"/>
  <c r="CT265" i="10"/>
  <c r="CT280" i="10"/>
  <c r="CT279" i="10"/>
  <c r="AH279" i="10" s="1"/>
  <c r="CT187" i="10"/>
  <c r="CT193" i="10"/>
  <c r="CT182" i="10"/>
  <c r="AH182" i="10" s="1"/>
  <c r="CT183" i="10"/>
  <c r="AH183" i="10" s="1"/>
  <c r="CT184" i="10"/>
  <c r="AH184" i="10" s="1"/>
  <c r="CT188" i="10"/>
  <c r="CT192" i="10"/>
  <c r="AH192" i="10" s="1"/>
  <c r="CT194" i="10"/>
  <c r="AH194" i="10" s="1"/>
  <c r="CT196" i="10"/>
  <c r="AH196" i="10" s="1"/>
  <c r="CT197" i="10"/>
  <c r="CT185" i="10"/>
  <c r="AH185" i="10" s="1"/>
  <c r="CT186" i="10"/>
  <c r="AH186" i="10" s="1"/>
  <c r="CT189" i="10"/>
  <c r="AH189" i="10" s="1"/>
  <c r="CT190" i="10"/>
  <c r="CT191" i="10"/>
  <c r="AH191" i="10" s="1"/>
  <c r="CT195" i="10"/>
  <c r="AH195" i="10" s="1"/>
  <c r="CT206" i="10"/>
  <c r="CT205" i="10"/>
  <c r="CT208" i="10"/>
  <c r="AH208" i="10" s="1"/>
  <c r="CT207" i="10"/>
  <c r="AH207" i="10" s="1"/>
  <c r="CT251" i="10"/>
  <c r="CT260" i="10"/>
  <c r="CT266" i="10"/>
  <c r="CT287" i="10"/>
  <c r="CT250" i="10"/>
  <c r="AH250" i="10" s="1"/>
  <c r="CT286" i="10"/>
  <c r="CT198" i="10"/>
  <c r="CT202" i="10"/>
  <c r="CT203" i="10"/>
  <c r="CT199" i="10"/>
  <c r="CT226" i="10"/>
  <c r="CT231" i="10"/>
  <c r="CT236" i="10"/>
  <c r="AH236" i="10" s="1"/>
  <c r="CT245" i="10"/>
  <c r="CT221" i="10"/>
  <c r="CT237" i="10"/>
  <c r="CT252" i="10"/>
  <c r="CT254" i="10"/>
  <c r="CT257" i="10"/>
  <c r="CT283" i="10"/>
  <c r="CT284" i="10"/>
  <c r="AH284" i="10" s="1"/>
  <c r="CT253" i="10"/>
  <c r="CT255" i="10"/>
  <c r="CT285" i="10"/>
  <c r="CT15" i="10"/>
  <c r="AH15" i="10" s="1"/>
  <c r="CT29" i="10"/>
  <c r="CT36" i="10"/>
  <c r="CT57" i="10"/>
  <c r="AH57" i="10" s="1"/>
  <c r="CT60" i="10"/>
  <c r="AH60" i="10" s="1"/>
  <c r="CT13" i="10"/>
  <c r="CT16" i="10"/>
  <c r="CT17" i="10"/>
  <c r="AH17" i="10" s="1"/>
  <c r="CT38" i="10"/>
  <c r="AH38" i="10" s="1"/>
  <c r="CT69" i="10"/>
  <c r="AH69" i="10" s="1"/>
  <c r="CT18" i="10"/>
  <c r="AH18" i="10" s="1"/>
  <c r="CT34" i="10"/>
  <c r="AH34" i="10" s="1"/>
  <c r="CT52" i="10"/>
  <c r="AH52" i="10" s="1"/>
  <c r="CT65" i="10"/>
  <c r="CT66" i="10"/>
  <c r="CT21" i="10"/>
  <c r="AH21" i="10" s="1"/>
  <c r="CT31" i="10"/>
  <c r="AH31" i="10" s="1"/>
  <c r="CT32" i="10"/>
  <c r="CT42" i="10"/>
  <c r="AH42" i="10" s="1"/>
  <c r="CT45" i="10"/>
  <c r="AH45" i="10" s="1"/>
  <c r="CT47" i="10"/>
  <c r="AH47" i="10" s="1"/>
  <c r="CT48" i="10"/>
  <c r="CT58" i="10"/>
  <c r="CT62" i="10"/>
  <c r="AH62" i="10" s="1"/>
  <c r="CT6" i="10"/>
  <c r="AH6" i="10" s="1"/>
  <c r="CT12" i="10"/>
  <c r="AH12" i="10" s="1"/>
  <c r="CT46" i="10"/>
  <c r="CT49" i="10"/>
  <c r="AH49" i="10" s="1"/>
  <c r="CT55" i="10"/>
  <c r="AH55" i="10" s="1"/>
  <c r="CT56" i="10"/>
  <c r="CT71" i="10"/>
  <c r="AH71" i="10" s="1"/>
  <c r="CT123" i="10"/>
  <c r="AH123" i="10" s="1"/>
  <c r="CT159" i="10"/>
  <c r="AH159" i="10" s="1"/>
  <c r="CT122" i="10"/>
  <c r="CT126" i="10"/>
  <c r="CT117" i="10"/>
  <c r="AH117" i="10" s="1"/>
  <c r="CT150" i="10"/>
  <c r="AH150" i="10" s="1"/>
  <c r="CT155" i="10"/>
  <c r="CT124" i="10"/>
  <c r="AH124" i="10" s="1"/>
  <c r="CT163" i="10"/>
  <c r="CT145" i="10"/>
  <c r="AH145" i="10" s="1"/>
  <c r="CT114" i="10"/>
  <c r="CT125" i="10"/>
  <c r="CT135" i="10"/>
  <c r="AH135" i="10" s="1"/>
  <c r="CT154" i="10"/>
  <c r="AH154" i="10" s="1"/>
  <c r="CT143" i="10"/>
  <c r="AH143" i="10" s="1"/>
  <c r="CT116" i="10"/>
  <c r="CT132" i="10"/>
  <c r="AH132" i="10" s="1"/>
  <c r="CT153" i="10"/>
  <c r="AH153" i="10" s="1"/>
  <c r="CT167" i="10"/>
  <c r="CT121" i="10"/>
  <c r="CT119" i="10"/>
  <c r="AH119" i="10" s="1"/>
  <c r="CT152" i="10"/>
  <c r="AH152" i="10" s="1"/>
  <c r="CT164" i="10"/>
  <c r="AH164" i="10" s="1"/>
  <c r="CT129" i="10"/>
  <c r="AH129" i="10" s="1"/>
  <c r="CT146" i="10"/>
  <c r="AH146" i="10" s="1"/>
  <c r="CT160" i="10"/>
  <c r="AH160" i="10" s="1"/>
  <c r="CT136" i="10"/>
  <c r="CT162" i="10"/>
  <c r="CT20" i="10"/>
  <c r="AH20" i="10" s="1"/>
  <c r="CT19" i="10"/>
  <c r="AH19" i="10" s="1"/>
  <c r="CT7" i="10"/>
  <c r="CT72" i="10"/>
  <c r="CT35" i="10"/>
  <c r="AH35" i="10" s="1"/>
  <c r="CT24" i="10"/>
  <c r="AH24" i="10" s="1"/>
  <c r="CT54" i="10"/>
  <c r="CT37" i="10"/>
  <c r="AH37" i="10" s="1"/>
  <c r="CT10" i="10"/>
  <c r="AH10" i="10" s="1"/>
  <c r="CT40" i="10"/>
  <c r="AH40" i="10" s="1"/>
  <c r="CT33" i="10"/>
  <c r="CT70" i="10"/>
  <c r="AH70" i="10" s="1"/>
  <c r="CT68" i="10"/>
  <c r="AH68" i="10" s="1"/>
  <c r="CT11" i="10"/>
  <c r="AH11" i="10" s="1"/>
  <c r="CT25" i="10"/>
  <c r="CT27" i="10"/>
  <c r="AH27" i="10" s="1"/>
  <c r="CT26" i="10"/>
  <c r="CT9" i="10"/>
  <c r="AH9" i="10" s="1"/>
  <c r="CT5" i="10"/>
  <c r="CT39" i="10"/>
  <c r="CT41" i="10"/>
  <c r="AH41" i="10" s="1"/>
  <c r="CT44" i="10"/>
  <c r="AH44" i="10" s="1"/>
  <c r="CT23" i="10"/>
  <c r="AH23" i="10" s="1"/>
  <c r="CT14" i="10"/>
  <c r="AH14" i="10" s="1"/>
  <c r="CT30" i="10"/>
  <c r="AH30" i="10" s="1"/>
  <c r="CT50" i="10"/>
  <c r="AH50" i="10" s="1"/>
  <c r="CT53" i="10"/>
  <c r="CT67" i="10"/>
  <c r="CT43" i="10"/>
  <c r="AH43" i="10" s="1"/>
  <c r="CT73" i="10"/>
  <c r="AH73" i="10" s="1"/>
  <c r="CT8" i="10"/>
  <c r="AH8" i="10" s="1"/>
  <c r="CT64" i="10"/>
  <c r="CT63" i="10"/>
  <c r="AH63" i="10" s="1"/>
  <c r="CT51" i="10"/>
  <c r="AH51" i="10" s="1"/>
  <c r="CT22" i="10"/>
  <c r="CT59" i="10"/>
  <c r="CT61" i="10"/>
  <c r="AH61" i="10" s="1"/>
  <c r="CT28" i="10"/>
  <c r="AH28" i="10" s="1"/>
  <c r="CT115" i="10"/>
  <c r="CT151" i="10"/>
  <c r="AH151" i="10" s="1"/>
  <c r="CT127" i="10"/>
  <c r="AH127" i="10" s="1"/>
  <c r="CT120" i="10"/>
  <c r="AH120" i="10" s="1"/>
  <c r="CT137" i="10"/>
  <c r="CT139" i="10"/>
  <c r="AH139" i="10" s="1"/>
  <c r="CT138" i="10"/>
  <c r="CT147" i="10"/>
  <c r="AH147" i="10" s="1"/>
  <c r="CT165" i="10"/>
  <c r="CT131" i="10"/>
  <c r="CT133" i="10"/>
  <c r="AH133" i="10" s="1"/>
  <c r="CT140" i="10"/>
  <c r="AH140" i="10" s="1"/>
  <c r="CT148" i="10"/>
  <c r="CT161" i="10"/>
  <c r="AH161" i="10" s="1"/>
  <c r="CT112" i="10"/>
  <c r="CT111" i="10"/>
  <c r="AH111" i="10" s="1"/>
  <c r="CT130" i="10"/>
  <c r="CT156" i="10"/>
  <c r="AH156" i="10" s="1"/>
  <c r="CT118" i="10"/>
  <c r="AH118" i="10" s="1"/>
  <c r="CT110" i="10"/>
  <c r="AH110" i="10" s="1"/>
  <c r="CT149" i="10"/>
  <c r="CT168" i="10"/>
  <c r="CT109" i="10"/>
  <c r="AH109" i="10" s="1"/>
  <c r="CT113" i="10"/>
  <c r="AH113" i="10" s="1"/>
  <c r="CT141" i="10"/>
  <c r="CT144" i="10"/>
  <c r="AH144" i="10" s="1"/>
  <c r="CT128" i="10"/>
  <c r="AH128" i="10" s="1"/>
  <c r="CT166" i="10"/>
  <c r="AH166" i="10" s="1"/>
  <c r="CT157" i="10"/>
  <c r="CT142" i="10"/>
  <c r="CT134" i="10"/>
  <c r="AH134" i="10" s="1"/>
  <c r="CT158" i="10"/>
  <c r="AH158" i="10" s="1"/>
  <c r="CT290" i="10"/>
  <c r="CT291" i="10"/>
  <c r="CT248" i="10"/>
  <c r="AH248" i="10" s="1"/>
  <c r="CS249" i="10"/>
  <c r="CS256" i="10"/>
  <c r="CS261" i="10"/>
  <c r="CS262" i="10"/>
  <c r="CS263" i="10"/>
  <c r="CS289" i="10"/>
  <c r="CS288" i="10"/>
  <c r="CS258" i="10"/>
  <c r="CS264" i="10"/>
  <c r="AH264" i="10" s="1"/>
  <c r="CS276" i="10"/>
  <c r="CS201" i="10"/>
  <c r="CS259" i="10"/>
  <c r="CS204" i="10"/>
  <c r="CS267" i="10"/>
  <c r="CS272" i="10"/>
  <c r="CS268" i="10"/>
  <c r="CS269" i="10"/>
  <c r="CS270" i="10"/>
  <c r="CS271" i="10"/>
  <c r="CS274" i="10"/>
  <c r="CS275" i="10"/>
  <c r="CS273" i="10"/>
  <c r="CS209" i="10"/>
  <c r="CS210" i="10"/>
  <c r="CS211" i="10"/>
  <c r="CS212" i="10"/>
  <c r="CS213" i="10"/>
  <c r="CS214" i="10"/>
  <c r="CS215" i="10"/>
  <c r="CS219" i="10"/>
  <c r="CS218" i="10"/>
  <c r="CS222" i="10"/>
  <c r="CS223" i="10"/>
  <c r="CS224" i="10"/>
  <c r="CS228" i="10"/>
  <c r="CS229" i="10"/>
  <c r="CS235" i="10"/>
  <c r="CS238" i="10"/>
  <c r="CS239" i="10"/>
  <c r="CS241" i="10"/>
  <c r="CS242" i="10"/>
  <c r="CS244" i="10"/>
  <c r="CS246" i="10"/>
  <c r="CS247" i="10"/>
  <c r="CS227" i="10"/>
  <c r="CS233" i="10"/>
  <c r="CS234" i="10"/>
  <c r="CS243" i="10"/>
  <c r="CS220" i="10"/>
  <c r="CS232" i="10"/>
  <c r="CS240" i="10"/>
  <c r="CS85" i="10"/>
  <c r="CS86" i="10"/>
  <c r="CS102" i="10"/>
  <c r="CS171" i="10"/>
  <c r="CS175" i="10"/>
  <c r="AH175" i="10" s="1"/>
  <c r="CS169" i="10"/>
  <c r="CS170" i="10"/>
  <c r="CS172" i="10"/>
  <c r="CS173" i="10"/>
  <c r="CS174" i="10"/>
  <c r="CS176" i="10"/>
  <c r="CS179" i="10"/>
  <c r="AH179" i="10" s="1"/>
  <c r="CS181" i="10"/>
  <c r="CS178" i="10"/>
  <c r="CS177" i="10"/>
  <c r="CS180" i="10"/>
  <c r="CS200" i="10"/>
  <c r="AH200" i="10" s="1"/>
  <c r="CS225" i="10"/>
  <c r="CS230" i="10"/>
  <c r="CS76" i="10"/>
  <c r="CS78" i="10"/>
  <c r="AH78" i="10" s="1"/>
  <c r="CS74" i="10"/>
  <c r="CS75" i="10"/>
  <c r="CS77" i="10"/>
  <c r="CS79" i="10"/>
  <c r="CS80" i="10"/>
  <c r="CS81" i="10"/>
  <c r="CS82" i="10"/>
  <c r="CS83" i="10"/>
  <c r="CS84" i="10"/>
  <c r="CS87" i="10"/>
  <c r="CS89" i="10"/>
  <c r="CS90" i="10"/>
  <c r="CS92" i="10"/>
  <c r="CS95" i="10"/>
  <c r="CS96" i="10"/>
  <c r="CS99" i="10"/>
  <c r="CS101" i="10"/>
  <c r="CS103" i="10"/>
  <c r="CS104" i="10"/>
  <c r="CS105" i="10"/>
  <c r="CS106" i="10"/>
  <c r="CS108" i="10"/>
  <c r="CS88" i="10"/>
  <c r="CS91" i="10"/>
  <c r="CS93" i="10"/>
  <c r="CS94" i="10"/>
  <c r="CS97" i="10"/>
  <c r="CS100" i="10"/>
  <c r="CS107" i="10"/>
  <c r="CS98" i="10"/>
  <c r="CS217" i="10"/>
  <c r="AH217" i="10" s="1"/>
  <c r="CS216" i="10"/>
  <c r="CS277" i="10"/>
  <c r="AH277" i="10" s="1"/>
  <c r="CS278" i="10"/>
  <c r="CS281" i="10"/>
  <c r="AH281" i="10" s="1"/>
  <c r="CS282" i="10"/>
  <c r="AH282" i="10" s="1"/>
  <c r="CS265" i="10"/>
  <c r="CS280" i="10"/>
  <c r="CS279" i="10"/>
  <c r="CS187" i="10"/>
  <c r="AH187" i="10" s="1"/>
  <c r="CS193" i="10"/>
  <c r="AH193" i="10" s="1"/>
  <c r="CS182" i="10"/>
  <c r="CS183" i="10"/>
  <c r="CS184" i="10"/>
  <c r="CS188" i="10"/>
  <c r="CS192" i="10"/>
  <c r="CS194" i="10"/>
  <c r="CS196" i="10"/>
  <c r="CS197" i="10"/>
  <c r="CS185" i="10"/>
  <c r="CS186" i="10"/>
  <c r="CS189" i="10"/>
  <c r="CS190" i="10"/>
  <c r="CS191" i="10"/>
  <c r="CS195" i="10"/>
  <c r="CS206" i="10"/>
  <c r="AH206" i="10" s="1"/>
  <c r="CS205" i="10"/>
  <c r="CS208" i="10"/>
  <c r="CS207" i="10"/>
  <c r="CS251" i="10"/>
  <c r="AH251" i="10" s="1"/>
  <c r="CS260" i="10"/>
  <c r="AH260" i="10" s="1"/>
  <c r="CS266" i="10"/>
  <c r="CS287" i="10"/>
  <c r="AH287" i="10" s="1"/>
  <c r="CS250" i="10"/>
  <c r="CS286" i="10"/>
  <c r="CS198" i="10"/>
  <c r="CS202" i="10"/>
  <c r="AH202" i="10" s="1"/>
  <c r="CS203" i="10"/>
  <c r="AH203" i="10" s="1"/>
  <c r="CS199" i="10"/>
  <c r="CS226" i="10"/>
  <c r="CS231" i="10"/>
  <c r="AH231" i="10" s="1"/>
  <c r="CS236" i="10"/>
  <c r="CS245" i="10"/>
  <c r="CS221" i="10"/>
  <c r="CS237" i="10"/>
  <c r="CS252" i="10"/>
  <c r="CS254" i="10"/>
  <c r="AH254" i="10" s="1"/>
  <c r="CS257" i="10"/>
  <c r="CS283" i="10"/>
  <c r="CS284" i="10"/>
  <c r="CS253" i="10"/>
  <c r="CS255" i="10"/>
  <c r="CS285" i="10"/>
  <c r="CS15" i="10"/>
  <c r="CS29" i="10"/>
  <c r="CS36" i="10"/>
  <c r="CS57" i="10"/>
  <c r="CS60" i="10"/>
  <c r="CS13" i="10"/>
  <c r="CS16" i="10"/>
  <c r="CS17" i="10"/>
  <c r="CS38" i="10"/>
  <c r="CS69" i="10"/>
  <c r="CS18" i="10"/>
  <c r="CS34" i="10"/>
  <c r="CS52" i="10"/>
  <c r="CS65" i="10"/>
  <c r="CS66" i="10"/>
  <c r="CS21" i="10"/>
  <c r="CS31" i="10"/>
  <c r="CS32" i="10"/>
  <c r="CS42" i="10"/>
  <c r="CS45" i="10"/>
  <c r="CS47" i="10"/>
  <c r="CS48" i="10"/>
  <c r="CS58" i="10"/>
  <c r="CS62" i="10"/>
  <c r="CS6" i="10"/>
  <c r="CS12" i="10"/>
  <c r="CS46" i="10"/>
  <c r="CS49" i="10"/>
  <c r="CS55" i="10"/>
  <c r="CS56" i="10"/>
  <c r="CS71" i="10"/>
  <c r="CS123" i="10"/>
  <c r="CS159" i="10"/>
  <c r="CS122" i="10"/>
  <c r="CS126" i="10"/>
  <c r="CS117" i="10"/>
  <c r="CS150" i="10"/>
  <c r="CS155" i="10"/>
  <c r="CS124" i="10"/>
  <c r="CS163" i="10"/>
  <c r="CS145" i="10"/>
  <c r="CS114" i="10"/>
  <c r="CS125" i="10"/>
  <c r="CS135" i="10"/>
  <c r="CS154" i="10"/>
  <c r="CS143" i="10"/>
  <c r="CS116" i="10"/>
  <c r="CS132" i="10"/>
  <c r="CS153" i="10"/>
  <c r="CS167" i="10"/>
  <c r="CS121" i="10"/>
  <c r="CS119" i="10"/>
  <c r="CS152" i="10"/>
  <c r="CS164" i="10"/>
  <c r="CS129" i="10"/>
  <c r="CS146" i="10"/>
  <c r="CS160" i="10"/>
  <c r="CS136" i="10"/>
  <c r="CS162" i="10"/>
  <c r="CS20" i="10"/>
  <c r="CS19" i="10"/>
  <c r="CS7" i="10"/>
  <c r="CS72" i="10"/>
  <c r="CS35" i="10"/>
  <c r="CS24" i="10"/>
  <c r="CS54" i="10"/>
  <c r="CS37" i="10"/>
  <c r="CS10" i="10"/>
  <c r="CS40" i="10"/>
  <c r="CS33" i="10"/>
  <c r="CS70" i="10"/>
  <c r="CS68" i="10"/>
  <c r="CS11" i="10"/>
  <c r="CS25" i="10"/>
  <c r="CS27" i="10"/>
  <c r="CS26" i="10"/>
  <c r="CS9" i="10"/>
  <c r="CS5" i="10"/>
  <c r="CS39" i="10"/>
  <c r="CS41" i="10"/>
  <c r="CS44" i="10"/>
  <c r="CS23" i="10"/>
  <c r="CS14" i="10"/>
  <c r="CS30" i="10"/>
  <c r="CS50" i="10"/>
  <c r="CS53" i="10"/>
  <c r="CS67" i="10"/>
  <c r="CS43" i="10"/>
  <c r="CS73" i="10"/>
  <c r="CS8" i="10"/>
  <c r="CS64" i="10"/>
  <c r="CS63" i="10"/>
  <c r="CS51" i="10"/>
  <c r="CS22" i="10"/>
  <c r="CS59" i="10"/>
  <c r="CS61" i="10"/>
  <c r="CS28" i="10"/>
  <c r="CS115" i="10"/>
  <c r="CS151" i="10"/>
  <c r="CS127" i="10"/>
  <c r="CS120" i="10"/>
  <c r="CS137" i="10"/>
  <c r="CS139" i="10"/>
  <c r="CS138" i="10"/>
  <c r="CS147" i="10"/>
  <c r="CS165" i="10"/>
  <c r="CS131" i="10"/>
  <c r="CS133" i="10"/>
  <c r="CS140" i="10"/>
  <c r="CS148" i="10"/>
  <c r="CS161" i="10"/>
  <c r="CS112" i="10"/>
  <c r="CS111" i="10"/>
  <c r="CS130" i="10"/>
  <c r="CS156" i="10"/>
  <c r="CS118" i="10"/>
  <c r="CS110" i="10"/>
  <c r="CS149" i="10"/>
  <c r="CS168" i="10"/>
  <c r="CS109" i="10"/>
  <c r="CS113" i="10"/>
  <c r="CS141" i="10"/>
  <c r="CS144" i="10"/>
  <c r="CS128" i="10"/>
  <c r="CS166" i="10"/>
  <c r="CS157" i="10"/>
  <c r="CS142" i="10"/>
  <c r="CS134" i="10"/>
  <c r="CS158" i="10"/>
  <c r="CS290" i="10"/>
  <c r="CS291" i="10"/>
  <c r="CS248" i="10"/>
  <c r="AH105" i="10" l="1"/>
  <c r="AJ279" i="10"/>
  <c r="AJ88" i="10"/>
  <c r="AJ104" i="10"/>
  <c r="AJ92" i="10"/>
  <c r="AJ82" i="10"/>
  <c r="AJ74" i="10"/>
  <c r="AJ180" i="10"/>
  <c r="AJ86" i="10"/>
  <c r="AH26" i="10"/>
  <c r="AH104" i="10"/>
  <c r="AJ248" i="10"/>
  <c r="AH76" i="10"/>
  <c r="AH67" i="10"/>
  <c r="AH46" i="10"/>
  <c r="AH36" i="10"/>
  <c r="AH95" i="10"/>
  <c r="AH75" i="10"/>
  <c r="AH232" i="10"/>
  <c r="AJ166" i="10"/>
  <c r="AJ144" i="10"/>
  <c r="AJ113" i="10"/>
  <c r="AJ111" i="10"/>
  <c r="AJ161" i="10"/>
  <c r="AJ139" i="10"/>
  <c r="AH259" i="10"/>
  <c r="AJ106" i="10"/>
  <c r="AJ101" i="10"/>
  <c r="AJ96" i="10"/>
  <c r="AJ84" i="10"/>
  <c r="AJ80" i="10"/>
  <c r="AJ77" i="10"/>
  <c r="AJ225" i="10"/>
  <c r="AJ178" i="10"/>
  <c r="AJ169" i="10"/>
  <c r="AJ240" i="10"/>
  <c r="AJ227" i="10"/>
  <c r="AJ204" i="10"/>
  <c r="AH252" i="10"/>
  <c r="AH181" i="10"/>
  <c r="AH258" i="10"/>
  <c r="AH112" i="10"/>
  <c r="AH138" i="10"/>
  <c r="AH163" i="10"/>
  <c r="AH285" i="10"/>
  <c r="AH237" i="10"/>
  <c r="AH89" i="10"/>
  <c r="AH180" i="10"/>
  <c r="AH172" i="10"/>
  <c r="AH234" i="10"/>
  <c r="AJ76" i="10"/>
  <c r="AJ171" i="10"/>
  <c r="AJ272" i="10"/>
  <c r="AH283" i="10"/>
  <c r="AH171" i="10"/>
  <c r="AH272" i="10"/>
  <c r="AH201" i="10"/>
  <c r="AH142" i="10"/>
  <c r="AH168" i="10"/>
  <c r="AH131" i="10"/>
  <c r="AH59" i="10"/>
  <c r="AH64" i="10"/>
  <c r="AH39" i="10"/>
  <c r="AH72" i="10"/>
  <c r="AH162" i="10"/>
  <c r="AH121" i="10"/>
  <c r="AH116" i="10"/>
  <c r="AH125" i="10"/>
  <c r="AH126" i="10"/>
  <c r="AH58" i="10"/>
  <c r="AH66" i="10"/>
  <c r="AH16" i="10"/>
  <c r="AH255" i="10"/>
  <c r="AH221" i="10"/>
  <c r="AH280" i="10"/>
  <c r="AH108" i="10"/>
  <c r="AH103" i="10"/>
  <c r="AH87" i="10"/>
  <c r="AH81" i="10"/>
  <c r="AH230" i="10"/>
  <c r="AH176" i="10"/>
  <c r="AH170" i="10"/>
  <c r="AH102" i="10"/>
  <c r="AH233" i="10"/>
  <c r="AH257" i="10"/>
  <c r="AH226" i="10"/>
  <c r="AJ151" i="10"/>
  <c r="AJ51" i="10"/>
  <c r="AJ64" i="10"/>
  <c r="AJ14" i="10"/>
  <c r="AJ44" i="10"/>
  <c r="AJ39" i="10"/>
  <c r="AJ27" i="10"/>
  <c r="AJ72" i="10"/>
  <c r="AJ162" i="10"/>
  <c r="AJ129" i="10"/>
  <c r="AJ152" i="10"/>
  <c r="AJ121" i="10"/>
  <c r="AJ154" i="10"/>
  <c r="AJ125" i="10"/>
  <c r="AJ159" i="10"/>
  <c r="AJ55" i="10"/>
  <c r="AJ6" i="10"/>
  <c r="AJ47" i="10"/>
  <c r="AJ31" i="10"/>
  <c r="AJ38" i="10"/>
  <c r="AJ60" i="10"/>
  <c r="AJ15" i="10"/>
  <c r="AJ255" i="10"/>
  <c r="AJ284" i="10"/>
  <c r="AJ221" i="10"/>
  <c r="AJ236" i="10"/>
  <c r="AJ250" i="10"/>
  <c r="AJ208" i="10"/>
  <c r="AJ191" i="10"/>
  <c r="AJ189" i="10"/>
  <c r="AJ185" i="10"/>
  <c r="AJ196" i="10"/>
  <c r="AJ192" i="10"/>
  <c r="AJ184" i="10"/>
  <c r="AJ182" i="10"/>
  <c r="AJ280" i="10"/>
  <c r="AJ216" i="10"/>
  <c r="AJ98" i="10"/>
  <c r="AJ100" i="10"/>
  <c r="AJ94" i="10"/>
  <c r="AJ91" i="10"/>
  <c r="AJ108" i="10"/>
  <c r="AJ105" i="10"/>
  <c r="AJ103" i="10"/>
  <c r="AJ99" i="10"/>
  <c r="AJ95" i="10"/>
  <c r="AJ90" i="10"/>
  <c r="AJ87" i="10"/>
  <c r="AJ83" i="10"/>
  <c r="AJ81" i="10"/>
  <c r="AJ79" i="10"/>
  <c r="AJ75" i="10"/>
  <c r="AJ230" i="10"/>
  <c r="AJ177" i="10"/>
  <c r="AJ176" i="10"/>
  <c r="AJ173" i="10"/>
  <c r="AJ170" i="10"/>
  <c r="AJ102" i="10"/>
  <c r="AJ85" i="10"/>
  <c r="AJ232" i="10"/>
  <c r="AJ243" i="10"/>
  <c r="AJ233" i="10"/>
  <c r="AJ247" i="10"/>
  <c r="AJ244" i="10"/>
  <c r="AJ241" i="10"/>
  <c r="AJ238" i="10"/>
  <c r="AJ229" i="10"/>
  <c r="AJ224" i="10"/>
  <c r="AJ222" i="10"/>
  <c r="AJ214" i="10"/>
  <c r="AJ212" i="10"/>
  <c r="AJ210" i="10"/>
  <c r="AJ273" i="10"/>
  <c r="AJ274" i="10"/>
  <c r="AJ270" i="10"/>
  <c r="AJ268" i="10"/>
  <c r="AJ259" i="10"/>
  <c r="AJ289" i="10"/>
  <c r="AJ262" i="10"/>
  <c r="AJ256" i="10"/>
  <c r="AH198" i="10"/>
  <c r="AH266" i="10"/>
  <c r="AH278" i="10"/>
  <c r="AH219" i="10"/>
  <c r="AH267" i="10"/>
  <c r="AH276" i="10"/>
  <c r="AH157" i="10"/>
  <c r="AH141" i="10"/>
  <c r="AH149" i="10"/>
  <c r="AH130" i="10"/>
  <c r="AH148" i="10"/>
  <c r="AH165" i="10"/>
  <c r="AH137" i="10"/>
  <c r="AH115" i="10"/>
  <c r="AH22" i="10"/>
  <c r="AH53" i="10"/>
  <c r="AH5" i="10"/>
  <c r="AH25" i="10"/>
  <c r="AH33" i="10"/>
  <c r="AH54" i="10"/>
  <c r="AH7" i="10"/>
  <c r="AH136" i="10"/>
  <c r="AH167" i="10"/>
  <c r="AH114" i="10"/>
  <c r="AH155" i="10"/>
  <c r="AH122" i="10"/>
  <c r="AH56" i="10"/>
  <c r="AH48" i="10"/>
  <c r="AH32" i="10"/>
  <c r="AH65" i="10"/>
  <c r="AH13" i="10"/>
  <c r="AH29" i="10"/>
  <c r="AH253" i="10"/>
  <c r="AH245" i="10"/>
  <c r="AH199" i="10"/>
  <c r="AH286" i="10"/>
  <c r="AH205" i="10"/>
  <c r="AH190" i="10"/>
  <c r="AH197" i="10"/>
  <c r="AH188" i="10"/>
  <c r="AH265" i="10"/>
  <c r="AH107" i="10"/>
  <c r="AH93" i="10"/>
  <c r="AH106" i="10"/>
  <c r="AH101" i="10"/>
  <c r="AH92" i="10"/>
  <c r="AH84" i="10"/>
  <c r="AH80" i="10"/>
  <c r="AH74" i="10"/>
  <c r="AH225" i="10"/>
  <c r="AH178" i="10"/>
  <c r="AH174" i="10"/>
  <c r="AH169" i="10"/>
  <c r="AH86" i="10"/>
  <c r="AH220" i="10"/>
  <c r="AH227" i="10"/>
  <c r="AH242" i="10"/>
  <c r="AH235" i="10"/>
  <c r="AH223" i="10"/>
  <c r="AH215" i="10"/>
  <c r="AH211" i="10"/>
  <c r="AH275" i="10"/>
  <c r="AH269" i="10"/>
  <c r="AH204" i="10"/>
  <c r="AH263" i="10"/>
  <c r="AH249" i="10"/>
  <c r="AJ257" i="10"/>
  <c r="AJ252" i="10"/>
  <c r="AJ226" i="10"/>
  <c r="AJ203" i="10"/>
  <c r="AJ198" i="10"/>
  <c r="AJ266" i="10"/>
  <c r="AJ251" i="10"/>
  <c r="AJ206" i="10"/>
  <c r="AJ187" i="10"/>
  <c r="AJ282" i="10"/>
  <c r="AJ278" i="10"/>
  <c r="AJ78" i="10"/>
  <c r="AJ200" i="10"/>
  <c r="AJ181" i="10"/>
  <c r="AJ175" i="10"/>
  <c r="AJ219" i="10"/>
  <c r="AJ267" i="10"/>
  <c r="AJ276" i="10"/>
  <c r="AJ258" i="10"/>
  <c r="BC158" i="10"/>
  <c r="BC166" i="10"/>
  <c r="BC113" i="10"/>
  <c r="BC110" i="10"/>
  <c r="BC111" i="10"/>
  <c r="BC140" i="10"/>
  <c r="BC147" i="10"/>
  <c r="BC120" i="10"/>
  <c r="BC28" i="10"/>
  <c r="BC51" i="10"/>
  <c r="BC73" i="10"/>
  <c r="BC50" i="10"/>
  <c r="BC44" i="10"/>
  <c r="BC9" i="10"/>
  <c r="BC11" i="10"/>
  <c r="BC40" i="10"/>
  <c r="BC24" i="10"/>
  <c r="BC19" i="10"/>
  <c r="BC160" i="10"/>
  <c r="BC152" i="10"/>
  <c r="BC153" i="10"/>
  <c r="BC154" i="10"/>
  <c r="BC145" i="10"/>
  <c r="BC150" i="10"/>
  <c r="BC159" i="10"/>
  <c r="BC55" i="10"/>
  <c r="BC6" i="10"/>
  <c r="BC47" i="10"/>
  <c r="BC31" i="10"/>
  <c r="BC52" i="10"/>
  <c r="BC38" i="10"/>
  <c r="BC60" i="10"/>
  <c r="BC15" i="10"/>
  <c r="BC284" i="10"/>
  <c r="BC252" i="10"/>
  <c r="BC203" i="10"/>
  <c r="BC189" i="10"/>
  <c r="BC196" i="10"/>
  <c r="BC182" i="10"/>
  <c r="BC280" i="10"/>
  <c r="BC91" i="10"/>
  <c r="BC105" i="10"/>
  <c r="BC103" i="10"/>
  <c r="BC95" i="10"/>
  <c r="BC83" i="10"/>
  <c r="BC81" i="10"/>
  <c r="BC230" i="10"/>
  <c r="BC102" i="10"/>
  <c r="BC232" i="10"/>
  <c r="BC244" i="10"/>
  <c r="BC229" i="10"/>
  <c r="BC212" i="10"/>
  <c r="BC210" i="10"/>
  <c r="BC274" i="10"/>
  <c r="BC134" i="10"/>
  <c r="BC157" i="10"/>
  <c r="BC128" i="10"/>
  <c r="BC141" i="10"/>
  <c r="BC109" i="10"/>
  <c r="BC149" i="10"/>
  <c r="BC118" i="10"/>
  <c r="BC130" i="10"/>
  <c r="BC112" i="10"/>
  <c r="BC148" i="10"/>
  <c r="BC133" i="10"/>
  <c r="BC165" i="10"/>
  <c r="BC138" i="10"/>
  <c r="BC137" i="10"/>
  <c r="BC127" i="10"/>
  <c r="BC115" i="10"/>
  <c r="BC61" i="10"/>
  <c r="BC22" i="10"/>
  <c r="BC63" i="10"/>
  <c r="BC8" i="10"/>
  <c r="BC43" i="10"/>
  <c r="BC53" i="10"/>
  <c r="BC30" i="10"/>
  <c r="BC23" i="10"/>
  <c r="BC41" i="10"/>
  <c r="BC5" i="10"/>
  <c r="BC26" i="10"/>
  <c r="BC25" i="10"/>
  <c r="BC68" i="10"/>
  <c r="BC33" i="10"/>
  <c r="BC10" i="10"/>
  <c r="BC54" i="10"/>
  <c r="BC35" i="10"/>
  <c r="BC7" i="10"/>
  <c r="BC20" i="10"/>
  <c r="BC136" i="10"/>
  <c r="BC146" i="10"/>
  <c r="BC164" i="10"/>
  <c r="BC119" i="10"/>
  <c r="BC167" i="10"/>
  <c r="BC132" i="10"/>
  <c r="BC143" i="10"/>
  <c r="BC135" i="10"/>
  <c r="BC114" i="10"/>
  <c r="BC163" i="10"/>
  <c r="BC155" i="10"/>
  <c r="BC117" i="10"/>
  <c r="BC122" i="10"/>
  <c r="BC123" i="10"/>
  <c r="BC56" i="10"/>
  <c r="BC49" i="10"/>
  <c r="BC12" i="10"/>
  <c r="BC62" i="10"/>
  <c r="BC48" i="10"/>
  <c r="BC45" i="10"/>
  <c r="BC32" i="10"/>
  <c r="BC21" i="10"/>
  <c r="BC65" i="10"/>
  <c r="BC34" i="10"/>
  <c r="BC69" i="10"/>
  <c r="BC17" i="10"/>
  <c r="BC13" i="10"/>
  <c r="BC57" i="10"/>
  <c r="BC29" i="10"/>
  <c r="BC285" i="10"/>
  <c r="BC283" i="10"/>
  <c r="BC254" i="10"/>
  <c r="BC245" i="10"/>
  <c r="BC231" i="10"/>
  <c r="BC202" i="10"/>
  <c r="BC286" i="10"/>
  <c r="BC287" i="10"/>
  <c r="BC207" i="10"/>
  <c r="BC195" i="10"/>
  <c r="BC190" i="10"/>
  <c r="BC186" i="10"/>
  <c r="BC197" i="10"/>
  <c r="BC194" i="10"/>
  <c r="BC188" i="10"/>
  <c r="BC183" i="10"/>
  <c r="BC279" i="10"/>
  <c r="BC265" i="10"/>
  <c r="BC281" i="10"/>
  <c r="BC107" i="10"/>
  <c r="BC97" i="10"/>
  <c r="BC93" i="10"/>
  <c r="BC88" i="10"/>
  <c r="BC106" i="10"/>
  <c r="BC104" i="10"/>
  <c r="BC96" i="10"/>
  <c r="BC92" i="10"/>
  <c r="BC89" i="10"/>
  <c r="BC84" i="10"/>
  <c r="BC82" i="10"/>
  <c r="BC225" i="10"/>
  <c r="BC180" i="10"/>
  <c r="BC178" i="10"/>
  <c r="BC179" i="10"/>
  <c r="BC169" i="10"/>
  <c r="BC86" i="10"/>
  <c r="BC240" i="10"/>
  <c r="BC220" i="10"/>
  <c r="BC234" i="10"/>
  <c r="BC227" i="10"/>
  <c r="BC242" i="10"/>
  <c r="BC235" i="10"/>
  <c r="BC223" i="10"/>
  <c r="BC218" i="10"/>
  <c r="BC215" i="10"/>
  <c r="BC213" i="10"/>
  <c r="BC211" i="10"/>
  <c r="BC209" i="10"/>
  <c r="BC275" i="10"/>
  <c r="BC204" i="10"/>
  <c r="BC288" i="10"/>
  <c r="BC263" i="10"/>
  <c r="BC261" i="10"/>
  <c r="BC249" i="10"/>
  <c r="BC142" i="10"/>
  <c r="BC144" i="10"/>
  <c r="BC168" i="10"/>
  <c r="BC156" i="10"/>
  <c r="BC161" i="10"/>
  <c r="BC131" i="10"/>
  <c r="BC139" i="10"/>
  <c r="BC151" i="10"/>
  <c r="BC59" i="10"/>
  <c r="BC64" i="10"/>
  <c r="BC67" i="10"/>
  <c r="BC14" i="10"/>
  <c r="BC39" i="10"/>
  <c r="BC27" i="10"/>
  <c r="BC70" i="10"/>
  <c r="BC37" i="10"/>
  <c r="BC72" i="10"/>
  <c r="BC162" i="10"/>
  <c r="BC129" i="10"/>
  <c r="BC121" i="10"/>
  <c r="BC116" i="10"/>
  <c r="BC125" i="10"/>
  <c r="BC124" i="10"/>
  <c r="BC126" i="10"/>
  <c r="BC71" i="10"/>
  <c r="BC46" i="10"/>
  <c r="BC58" i="10"/>
  <c r="BC42" i="10"/>
  <c r="BC66" i="10"/>
  <c r="BC18" i="10"/>
  <c r="BC16" i="10"/>
  <c r="BC36" i="10"/>
  <c r="BC255" i="10"/>
  <c r="BC226" i="10"/>
  <c r="BC198" i="10"/>
  <c r="BC208" i="10"/>
  <c r="BC191" i="10"/>
  <c r="BC185" i="10"/>
  <c r="BC192" i="10"/>
  <c r="BC94" i="10"/>
  <c r="BC108" i="10"/>
  <c r="BC99" i="10"/>
  <c r="BC90" i="10"/>
  <c r="BC87" i="10"/>
  <c r="BC200" i="10"/>
  <c r="BC173" i="10"/>
  <c r="BC85" i="10"/>
  <c r="BC224" i="10"/>
  <c r="BC222" i="10"/>
  <c r="BC214" i="10"/>
  <c r="BC262" i="10"/>
  <c r="AQ158" i="10"/>
  <c r="AQ134" i="10"/>
  <c r="AQ142" i="10"/>
  <c r="AQ157" i="10"/>
  <c r="AQ166" i="10"/>
  <c r="AQ128" i="10"/>
  <c r="AQ144" i="10"/>
  <c r="AQ141" i="10"/>
  <c r="AQ113" i="10"/>
  <c r="AQ109" i="10"/>
  <c r="AQ168" i="10"/>
  <c r="AQ149" i="10"/>
  <c r="AQ110" i="10"/>
  <c r="AQ118" i="10"/>
  <c r="AQ156" i="10"/>
  <c r="AQ130" i="10"/>
  <c r="AQ111" i="10"/>
  <c r="AQ112" i="10"/>
  <c r="AQ161" i="10"/>
  <c r="AQ148" i="10"/>
  <c r="AQ140" i="10"/>
  <c r="AQ133" i="10"/>
  <c r="AQ131" i="10"/>
  <c r="AQ165" i="10"/>
  <c r="AQ147" i="10"/>
  <c r="AQ138" i="10"/>
  <c r="AQ139" i="10"/>
  <c r="AQ137" i="10"/>
  <c r="AQ120" i="10"/>
  <c r="AQ127" i="10"/>
  <c r="AQ151" i="10"/>
  <c r="AQ115" i="10"/>
  <c r="AQ28" i="10"/>
  <c r="AQ61" i="10"/>
  <c r="AQ59" i="10"/>
  <c r="AQ22" i="10"/>
  <c r="AQ51" i="10"/>
  <c r="AQ63" i="10"/>
  <c r="AQ64" i="10"/>
  <c r="AQ8" i="10"/>
  <c r="AQ73" i="10"/>
  <c r="AQ43" i="10"/>
  <c r="AQ67" i="10"/>
  <c r="AQ53" i="10"/>
  <c r="AQ50" i="10"/>
  <c r="AQ30" i="10"/>
  <c r="AQ14" i="10"/>
  <c r="AQ23" i="10"/>
  <c r="AQ44" i="10"/>
  <c r="AQ41" i="10"/>
  <c r="AQ39" i="10"/>
  <c r="AQ5" i="10"/>
  <c r="AQ9" i="10"/>
  <c r="AQ26" i="10"/>
  <c r="AQ27" i="10"/>
  <c r="AQ25" i="10"/>
  <c r="AQ11" i="10"/>
  <c r="AQ68" i="10"/>
  <c r="AQ70" i="10"/>
  <c r="AQ33" i="10"/>
  <c r="AQ40" i="10"/>
  <c r="AQ10" i="10"/>
  <c r="AQ37" i="10"/>
  <c r="AQ54" i="10"/>
  <c r="AQ24" i="10"/>
  <c r="AQ35" i="10"/>
  <c r="AQ72" i="10"/>
  <c r="AQ7" i="10"/>
  <c r="AQ19" i="10"/>
  <c r="AQ20" i="10"/>
  <c r="AQ162" i="10"/>
  <c r="AQ136" i="10"/>
  <c r="AQ160" i="10"/>
  <c r="AQ146" i="10"/>
  <c r="AQ129" i="10"/>
  <c r="AQ164" i="10"/>
  <c r="AQ152" i="10"/>
  <c r="AQ119" i="10"/>
  <c r="AQ121" i="10"/>
  <c r="AQ167" i="10"/>
  <c r="AQ153" i="10"/>
  <c r="AQ132" i="10"/>
  <c r="AQ116" i="10"/>
  <c r="AQ143" i="10"/>
  <c r="AQ154" i="10"/>
  <c r="AQ135" i="10"/>
  <c r="AQ125" i="10"/>
  <c r="AQ114" i="10"/>
  <c r="AQ145" i="10"/>
  <c r="AQ163" i="10"/>
  <c r="AQ124" i="10"/>
  <c r="AQ155" i="10"/>
  <c r="AQ150" i="10"/>
  <c r="AQ117" i="10"/>
  <c r="AQ126" i="10"/>
  <c r="AQ122" i="10"/>
  <c r="AQ159" i="10"/>
  <c r="AQ123" i="10"/>
  <c r="AQ71" i="10"/>
  <c r="AQ56" i="10"/>
  <c r="AQ55" i="10"/>
  <c r="AQ49" i="10"/>
  <c r="AQ46" i="10"/>
  <c r="AQ12" i="10"/>
  <c r="AQ6" i="10"/>
  <c r="AQ62" i="10"/>
  <c r="AQ58" i="10"/>
  <c r="AQ48" i="10"/>
  <c r="AQ47" i="10"/>
  <c r="AQ45" i="10"/>
  <c r="AQ42" i="10"/>
  <c r="AQ32" i="10"/>
  <c r="AQ31" i="10"/>
  <c r="AQ21" i="10"/>
  <c r="AQ66" i="10"/>
  <c r="AQ65" i="10"/>
  <c r="AQ52" i="10"/>
  <c r="AQ34" i="10"/>
  <c r="AQ18" i="10"/>
  <c r="AQ69" i="10"/>
  <c r="AQ38" i="10"/>
  <c r="AQ17" i="10"/>
  <c r="AQ16" i="10"/>
  <c r="AQ13" i="10"/>
  <c r="AQ60" i="10"/>
  <c r="AQ57" i="10"/>
  <c r="AQ36" i="10"/>
  <c r="AQ29" i="10"/>
  <c r="AQ15" i="10"/>
  <c r="AQ285" i="10"/>
  <c r="AQ255" i="10"/>
  <c r="AQ253" i="10"/>
  <c r="AQ284" i="10"/>
  <c r="AQ283" i="10"/>
  <c r="AQ257" i="10"/>
  <c r="AQ254" i="10"/>
  <c r="AQ252" i="10"/>
  <c r="AQ237" i="10"/>
  <c r="AQ221" i="10"/>
  <c r="AQ245" i="10"/>
  <c r="AQ236" i="10"/>
  <c r="AQ231" i="10"/>
  <c r="AQ226" i="10"/>
  <c r="AQ199" i="10"/>
  <c r="AQ203" i="10"/>
  <c r="AQ202" i="10"/>
  <c r="AQ198" i="10"/>
  <c r="AQ286" i="10"/>
  <c r="AQ250" i="10"/>
  <c r="AQ287" i="10"/>
  <c r="AQ266" i="10"/>
  <c r="AQ260" i="10"/>
  <c r="AQ251" i="10"/>
  <c r="AQ207" i="10"/>
  <c r="AQ208" i="10"/>
  <c r="AQ205" i="10"/>
  <c r="AQ206" i="10"/>
  <c r="AQ195" i="10"/>
  <c r="AQ191" i="10"/>
  <c r="AQ190" i="10"/>
  <c r="AQ189" i="10"/>
  <c r="AQ186" i="10"/>
  <c r="AQ185" i="10"/>
  <c r="AQ197" i="10"/>
  <c r="AQ196" i="10"/>
  <c r="AQ194" i="10"/>
  <c r="AQ192" i="10"/>
  <c r="AQ188" i="10"/>
  <c r="AQ184" i="10"/>
  <c r="AQ183" i="10"/>
  <c r="AQ182" i="10"/>
  <c r="AQ193" i="10"/>
  <c r="AQ187" i="10"/>
  <c r="AQ279" i="10"/>
  <c r="AQ280" i="10"/>
  <c r="AQ265" i="10"/>
  <c r="AQ282" i="10"/>
  <c r="AQ281" i="10"/>
  <c r="AQ278" i="10"/>
  <c r="AQ277" i="10"/>
  <c r="AQ216" i="10"/>
  <c r="AQ217" i="10"/>
  <c r="AQ98" i="10"/>
  <c r="AQ107" i="10"/>
  <c r="AQ100" i="10"/>
  <c r="AQ97" i="10"/>
  <c r="AQ94" i="10"/>
  <c r="AQ93" i="10"/>
  <c r="AQ91" i="10"/>
  <c r="AQ88" i="10"/>
  <c r="AQ108" i="10"/>
  <c r="AQ106" i="10"/>
  <c r="AQ105" i="10"/>
  <c r="AQ104" i="10"/>
  <c r="AQ103" i="10"/>
  <c r="AQ101" i="10"/>
  <c r="AQ99" i="10"/>
  <c r="AQ96" i="10"/>
  <c r="AQ95" i="10"/>
  <c r="AQ92" i="10"/>
  <c r="AQ90" i="10"/>
  <c r="AQ89" i="10"/>
  <c r="AQ87" i="10"/>
  <c r="AQ84" i="10"/>
  <c r="AQ83" i="10"/>
  <c r="AQ82" i="10"/>
  <c r="AQ81" i="10"/>
  <c r="AQ80" i="10"/>
  <c r="AQ79" i="10"/>
  <c r="AQ77" i="10"/>
  <c r="AQ75" i="10"/>
  <c r="AQ74" i="10"/>
  <c r="AQ78" i="10"/>
  <c r="AQ76" i="10"/>
  <c r="AQ230" i="10"/>
  <c r="AQ225" i="10"/>
  <c r="AQ200" i="10"/>
  <c r="AQ180" i="10"/>
  <c r="AQ177" i="10"/>
  <c r="AQ178" i="10"/>
  <c r="AQ181" i="10"/>
  <c r="AQ179" i="10"/>
  <c r="AQ176" i="10"/>
  <c r="AQ174" i="10"/>
  <c r="AQ173" i="10"/>
  <c r="AQ172" i="10"/>
  <c r="AQ170" i="10"/>
  <c r="AQ169" i="10"/>
  <c r="AQ175" i="10"/>
  <c r="AQ171" i="10"/>
  <c r="AQ102" i="10"/>
  <c r="AQ86" i="10"/>
  <c r="AQ85" i="10"/>
  <c r="AQ240" i="10"/>
  <c r="AQ232" i="10"/>
  <c r="AQ220" i="10"/>
  <c r="AQ243" i="10"/>
  <c r="AQ234" i="10"/>
  <c r="AQ233" i="10"/>
  <c r="AQ227" i="10"/>
  <c r="AQ247" i="10"/>
  <c r="AQ246" i="10"/>
  <c r="AQ244" i="10"/>
  <c r="AQ242" i="10"/>
  <c r="AQ241" i="10"/>
  <c r="AQ239" i="10"/>
  <c r="AQ238" i="10"/>
  <c r="AQ235" i="10"/>
  <c r="AQ229" i="10"/>
  <c r="AQ228" i="10"/>
  <c r="AQ224" i="10"/>
  <c r="AQ223" i="10"/>
  <c r="AQ222" i="10"/>
  <c r="AQ218" i="10"/>
  <c r="AQ219" i="10"/>
  <c r="AQ215" i="10"/>
  <c r="AQ214" i="10"/>
  <c r="AQ213" i="10"/>
  <c r="AQ212" i="10"/>
  <c r="AQ211" i="10"/>
  <c r="AQ210" i="10"/>
  <c r="AQ209" i="10"/>
  <c r="AQ273" i="10"/>
  <c r="AQ275" i="10"/>
  <c r="AQ274" i="10"/>
  <c r="AQ271" i="10"/>
  <c r="AQ270" i="10"/>
  <c r="AQ269" i="10"/>
  <c r="AQ268" i="10"/>
  <c r="AQ272" i="10"/>
  <c r="AQ267" i="10"/>
  <c r="AQ204" i="10"/>
  <c r="AQ259" i="10"/>
  <c r="AQ201" i="10"/>
  <c r="AQ276" i="10"/>
  <c r="AQ264" i="10"/>
  <c r="AQ258" i="10"/>
  <c r="AQ288" i="10"/>
  <c r="AQ289" i="10"/>
  <c r="AQ263" i="10"/>
  <c r="AQ262" i="10"/>
  <c r="AQ261" i="10"/>
  <c r="AQ256" i="10"/>
  <c r="AQ249" i="10"/>
  <c r="AQ248" i="10"/>
  <c r="C29" i="28"/>
  <c r="CL232" i="10" l="1"/>
  <c r="CL240" i="10"/>
  <c r="CJ232" i="10"/>
  <c r="CJ240" i="10"/>
  <c r="CA232" i="10"/>
  <c r="CD232" i="10" s="1"/>
  <c r="CA240" i="10"/>
  <c r="CD240" i="10" s="1"/>
  <c r="BS232" i="10"/>
  <c r="BT232" i="10"/>
  <c r="BS240" i="10"/>
  <c r="BT240" i="10"/>
  <c r="BM232" i="10"/>
  <c r="BN232" i="10"/>
  <c r="BO232" i="10"/>
  <c r="BM240" i="10"/>
  <c r="BN240" i="10" s="1"/>
  <c r="BO240" i="10"/>
  <c r="BJ232" i="10"/>
  <c r="BK232" i="10"/>
  <c r="BJ240" i="10"/>
  <c r="BK240" i="10"/>
  <c r="BE232" i="10"/>
  <c r="BE240" i="10"/>
  <c r="AV232" i="10"/>
  <c r="AV240" i="10"/>
  <c r="AN232" i="10"/>
  <c r="AK232" i="10"/>
  <c r="AS232" i="10"/>
  <c r="AT232" i="10"/>
  <c r="AL240" i="10"/>
  <c r="AM240" i="10" s="1"/>
  <c r="AK240" i="10"/>
  <c r="AS240" i="10"/>
  <c r="AT240" i="10"/>
  <c r="P232" i="10"/>
  <c r="P240" i="10"/>
  <c r="AN240" i="10" l="1"/>
  <c r="AI232" i="10"/>
  <c r="AI240" i="10"/>
  <c r="BF240" i="10"/>
  <c r="BG240" i="10" s="1"/>
  <c r="AO232" i="10"/>
  <c r="AP232" i="10" s="1"/>
  <c r="CE240" i="10"/>
  <c r="CE232" i="10"/>
  <c r="AL232" i="10"/>
  <c r="AM232" i="10" s="1"/>
  <c r="AO240" i="10"/>
  <c r="AP240" i="10" s="1"/>
  <c r="BF232" i="10"/>
  <c r="BG232" i="10" s="1"/>
  <c r="BJ29" i="10"/>
  <c r="BJ36" i="10"/>
  <c r="BJ57" i="10"/>
  <c r="BJ60" i="10"/>
  <c r="BJ13" i="10"/>
  <c r="BJ16" i="10"/>
  <c r="BJ17" i="10"/>
  <c r="BJ38" i="10"/>
  <c r="BJ69" i="10"/>
  <c r="BJ18" i="10"/>
  <c r="BJ34" i="10"/>
  <c r="BJ52" i="10"/>
  <c r="BJ65" i="10"/>
  <c r="BJ66" i="10"/>
  <c r="BJ21" i="10"/>
  <c r="BJ31" i="10"/>
  <c r="BJ32" i="10"/>
  <c r="BJ42" i="10"/>
  <c r="BJ45" i="10"/>
  <c r="BJ47" i="10"/>
  <c r="BJ48" i="10"/>
  <c r="BJ58" i="10"/>
  <c r="BJ62" i="10"/>
  <c r="BJ6" i="10"/>
  <c r="BJ12" i="10"/>
  <c r="BJ46" i="10"/>
  <c r="BJ49" i="10"/>
  <c r="BJ55" i="10"/>
  <c r="BJ56" i="10"/>
  <c r="BJ71" i="10"/>
  <c r="BJ123" i="10"/>
  <c r="BJ159" i="10"/>
  <c r="BJ122" i="10"/>
  <c r="BJ126" i="10"/>
  <c r="BJ117" i="10"/>
  <c r="BJ150" i="10"/>
  <c r="BJ155" i="10"/>
  <c r="BJ124" i="10"/>
  <c r="BJ163" i="10"/>
  <c r="BJ145" i="10"/>
  <c r="BJ114" i="10"/>
  <c r="BJ125" i="10"/>
  <c r="BJ135" i="10"/>
  <c r="BJ154" i="10"/>
  <c r="BJ143" i="10"/>
  <c r="BJ116" i="10"/>
  <c r="BJ132" i="10"/>
  <c r="BJ153" i="10"/>
  <c r="BJ167" i="10"/>
  <c r="BJ121" i="10"/>
  <c r="BJ119" i="10"/>
  <c r="BJ152" i="10"/>
  <c r="BJ164" i="10"/>
  <c r="BJ129" i="10"/>
  <c r="BJ146" i="10"/>
  <c r="BJ160" i="10"/>
  <c r="BJ136" i="10"/>
  <c r="BJ162" i="10"/>
  <c r="BJ20" i="10"/>
  <c r="BJ19" i="10"/>
  <c r="BJ7" i="10"/>
  <c r="BJ72" i="10"/>
  <c r="BJ35" i="10"/>
  <c r="BJ24" i="10"/>
  <c r="BJ54" i="10"/>
  <c r="BJ37" i="10"/>
  <c r="BJ10" i="10"/>
  <c r="BJ40" i="10"/>
  <c r="BJ33" i="10"/>
  <c r="BJ70" i="10"/>
  <c r="BJ68" i="10"/>
  <c r="BJ11" i="10"/>
  <c r="BJ25" i="10"/>
  <c r="BJ27" i="10"/>
  <c r="BJ26" i="10"/>
  <c r="BJ9" i="10"/>
  <c r="BJ5" i="10"/>
  <c r="BJ39" i="10"/>
  <c r="BJ41" i="10"/>
  <c r="BJ44" i="10"/>
  <c r="BJ23" i="10"/>
  <c r="BJ14" i="10"/>
  <c r="BJ30" i="10"/>
  <c r="BJ50" i="10"/>
  <c r="BJ53" i="10"/>
  <c r="BJ67" i="10"/>
  <c r="BJ43" i="10"/>
  <c r="BJ73" i="10"/>
  <c r="BJ8" i="10"/>
  <c r="BJ64" i="10"/>
  <c r="BJ63" i="10"/>
  <c r="BJ51" i="10"/>
  <c r="BJ22" i="10"/>
  <c r="BJ59" i="10"/>
  <c r="BJ61" i="10"/>
  <c r="BJ28" i="10"/>
  <c r="BJ115" i="10"/>
  <c r="BJ151" i="10"/>
  <c r="BJ127" i="10"/>
  <c r="BJ120" i="10"/>
  <c r="BJ137" i="10"/>
  <c r="BJ139" i="10"/>
  <c r="BJ138" i="10"/>
  <c r="BJ147" i="10"/>
  <c r="BJ165" i="10"/>
  <c r="BJ131" i="10"/>
  <c r="BJ133" i="10"/>
  <c r="BJ140" i="10"/>
  <c r="BJ148" i="10"/>
  <c r="BJ161" i="10"/>
  <c r="BJ112" i="10"/>
  <c r="BJ111" i="10"/>
  <c r="BJ130" i="10"/>
  <c r="BJ156" i="10"/>
  <c r="BJ118" i="10"/>
  <c r="BJ110" i="10"/>
  <c r="BJ149" i="10"/>
  <c r="BJ168" i="10"/>
  <c r="BJ109" i="10"/>
  <c r="BJ113" i="10"/>
  <c r="BJ141" i="10"/>
  <c r="BJ144" i="10"/>
  <c r="BJ128" i="10"/>
  <c r="BJ166" i="10"/>
  <c r="BJ157" i="10"/>
  <c r="BJ142" i="10"/>
  <c r="BJ134" i="10"/>
  <c r="BJ158" i="10"/>
  <c r="BJ15" i="10"/>
  <c r="CF240" i="10" l="1"/>
  <c r="CG240" i="10"/>
  <c r="CF232" i="10"/>
  <c r="CG232" i="10"/>
  <c r="K39" i="25"/>
  <c r="Z39" i="25"/>
  <c r="Y39" i="25" s="1"/>
  <c r="X39" i="25" s="1"/>
  <c r="F27" i="29" l="1"/>
  <c r="D27" i="29"/>
  <c r="F20" i="29"/>
  <c r="D20" i="29"/>
  <c r="D11" i="29"/>
  <c r="F11" i="29" s="1"/>
  <c r="D34" i="29" s="1"/>
  <c r="E7" i="29" l="1"/>
  <c r="D10" i="29"/>
  <c r="F10" i="29" s="1"/>
  <c r="D33" i="29" s="1"/>
  <c r="D9" i="29"/>
  <c r="F9" i="29" s="1"/>
  <c r="D32" i="29" s="1"/>
  <c r="D8" i="29"/>
  <c r="F8" i="29" s="1"/>
  <c r="D31" i="29" s="1"/>
  <c r="D7" i="29" l="1"/>
  <c r="F7" i="29" s="1"/>
  <c r="G7" i="29" s="1"/>
  <c r="F25" i="29"/>
  <c r="D30" i="29" l="1"/>
  <c r="G30" i="29" s="1"/>
  <c r="G11" i="28" l="1"/>
  <c r="G9" i="28"/>
  <c r="G8" i="28"/>
  <c r="G7" i="28"/>
  <c r="F9" i="28"/>
  <c r="F8" i="28"/>
  <c r="F7" i="28"/>
  <c r="C27" i="28" s="1"/>
  <c r="F10" i="28" l="1"/>
  <c r="C28" i="28" s="1"/>
  <c r="G10" i="28"/>
  <c r="G12" i="28"/>
  <c r="Y6" i="25" l="1"/>
  <c r="Z6" i="25"/>
  <c r="Y7" i="25"/>
  <c r="Z7" i="25"/>
  <c r="Z8" i="25"/>
  <c r="Y8" i="25" s="1"/>
  <c r="X8" i="25" s="1"/>
  <c r="Z9" i="25"/>
  <c r="Y9" i="25" s="1"/>
  <c r="X9" i="25" s="1"/>
  <c r="Z10" i="25"/>
  <c r="Y10" i="25" s="1"/>
  <c r="X10" i="25" s="1"/>
  <c r="Z11" i="25"/>
  <c r="Y11" i="25" s="1"/>
  <c r="X11" i="25" s="1"/>
  <c r="Z12" i="25"/>
  <c r="Y12" i="25" s="1"/>
  <c r="X12" i="25" s="1"/>
  <c r="Y13" i="25"/>
  <c r="Z13" i="25"/>
  <c r="Z14" i="25"/>
  <c r="Y14" i="25" s="1"/>
  <c r="X14" i="25" s="1"/>
  <c r="Z15" i="25"/>
  <c r="Y15" i="25" s="1"/>
  <c r="X15" i="25" s="1"/>
  <c r="Y16" i="25"/>
  <c r="Z16" i="25"/>
  <c r="Z17" i="25"/>
  <c r="Y17" i="25" s="1"/>
  <c r="X17" i="25" s="1"/>
  <c r="Z19" i="25"/>
  <c r="Y19" i="25" s="1"/>
  <c r="Z20" i="25"/>
  <c r="Y20" i="25" s="1"/>
  <c r="Z21" i="25"/>
  <c r="Y21" i="25" s="1"/>
  <c r="Z22" i="25"/>
  <c r="Y22" i="25" s="1"/>
  <c r="Y23" i="25"/>
  <c r="Z23" i="25"/>
  <c r="Y24" i="25"/>
  <c r="Z24" i="25"/>
  <c r="Z25" i="25"/>
  <c r="Y25" i="25" s="1"/>
  <c r="X25" i="25" s="1"/>
  <c r="Z26" i="25"/>
  <c r="Y26" i="25" s="1"/>
  <c r="X26" i="25" s="1"/>
  <c r="Z27" i="25"/>
  <c r="Y27" i="25" s="1"/>
  <c r="X27" i="25" s="1"/>
  <c r="Y28" i="25"/>
  <c r="Z28" i="25"/>
  <c r="Y29" i="25"/>
  <c r="Z29" i="25"/>
  <c r="Y30" i="25"/>
  <c r="Z30" i="25"/>
  <c r="Y31" i="25"/>
  <c r="Z31" i="25"/>
  <c r="Z32" i="25"/>
  <c r="Y32" i="25" s="1"/>
  <c r="X32" i="25" s="1"/>
  <c r="Z33" i="25"/>
  <c r="Y33" i="25" s="1"/>
  <c r="X33" i="25" s="1"/>
  <c r="Z34" i="25"/>
  <c r="Y34" i="25" s="1"/>
  <c r="X34" i="25" s="1"/>
  <c r="Z35" i="25"/>
  <c r="Y35" i="25" s="1"/>
  <c r="X35" i="25" s="1"/>
  <c r="Z36" i="25"/>
  <c r="Y36" i="25" s="1"/>
  <c r="X36" i="25" s="1"/>
  <c r="Y37" i="25"/>
  <c r="Z37" i="25"/>
  <c r="Z38" i="25"/>
  <c r="Y38" i="25" s="1"/>
  <c r="X38" i="25" s="1"/>
  <c r="Z40" i="25"/>
  <c r="Y40" i="25" s="1"/>
  <c r="X40" i="25" s="1"/>
  <c r="Z41" i="25"/>
  <c r="Y41" i="25" s="1"/>
  <c r="X41" i="25" s="1"/>
  <c r="Z42" i="25"/>
  <c r="Y42" i="25" s="1"/>
  <c r="X42" i="25" s="1"/>
  <c r="Z44" i="25"/>
  <c r="Y44" i="25" s="1"/>
  <c r="X44" i="25" s="1"/>
  <c r="Z45" i="25"/>
  <c r="Y45" i="25" s="1"/>
  <c r="X45" i="25" s="1"/>
  <c r="Z46" i="25"/>
  <c r="Y46" i="25" s="1"/>
  <c r="X46" i="25" s="1"/>
  <c r="Z47" i="25"/>
  <c r="Y47" i="25" s="1"/>
  <c r="X47" i="25" s="1"/>
  <c r="Z48" i="25"/>
  <c r="Y48" i="25" s="1"/>
  <c r="X48" i="25" s="1"/>
  <c r="Y49" i="25"/>
  <c r="Z49" i="25"/>
  <c r="Y50" i="25"/>
  <c r="Z50" i="25"/>
  <c r="Z51" i="25"/>
  <c r="Y51" i="25" s="1"/>
  <c r="X51" i="25" s="1"/>
  <c r="Z52" i="25"/>
  <c r="Y52" i="25" s="1"/>
  <c r="X52" i="25" s="1"/>
  <c r="Z53" i="25"/>
  <c r="Y53" i="25" s="1"/>
  <c r="X53" i="25" s="1"/>
  <c r="Z54" i="25"/>
  <c r="Y54" i="25" s="1"/>
  <c r="X54" i="25" s="1"/>
  <c r="Z55" i="25"/>
  <c r="Y55" i="25" s="1"/>
  <c r="X55" i="25" s="1"/>
  <c r="Y56" i="25"/>
  <c r="Z56" i="25"/>
  <c r="Y57" i="25"/>
  <c r="Z57" i="25"/>
  <c r="Y58" i="25"/>
  <c r="Z58" i="25"/>
  <c r="Z59" i="25"/>
  <c r="Y59" i="25" s="1"/>
  <c r="X59" i="25" s="1"/>
  <c r="Z60" i="25"/>
  <c r="Y60" i="25" s="1"/>
  <c r="X60" i="25" s="1"/>
  <c r="Z61" i="25"/>
  <c r="Y61" i="25" s="1"/>
  <c r="X61" i="25" s="1"/>
  <c r="Z62" i="25"/>
  <c r="Y62" i="25" s="1"/>
  <c r="X62" i="25" s="1"/>
  <c r="X19" i="25" l="1"/>
  <c r="X57" i="25"/>
  <c r="X6" i="25"/>
  <c r="X24" i="25"/>
  <c r="X56" i="25"/>
  <c r="X31" i="25"/>
  <c r="X7" i="25"/>
  <c r="X23" i="25"/>
  <c r="X13" i="25"/>
  <c r="X49" i="25"/>
  <c r="X29" i="25"/>
  <c r="X22" i="25"/>
  <c r="X20" i="25"/>
  <c r="X58" i="25"/>
  <c r="X50" i="25"/>
  <c r="X37" i="25"/>
  <c r="X30" i="25"/>
  <c r="X28" i="25"/>
  <c r="X21" i="25"/>
  <c r="X16" i="25"/>
  <c r="K61" i="25"/>
  <c r="P38" i="25" l="1"/>
  <c r="N38" i="25" l="1"/>
  <c r="K52" i="25" l="1"/>
  <c r="W43" i="25"/>
  <c r="Z43" i="25" s="1"/>
  <c r="Y43" i="25" s="1"/>
  <c r="X43" i="25" s="1"/>
  <c r="K62" i="25" l="1"/>
  <c r="K38" i="25"/>
  <c r="Z66" i="25"/>
  <c r="Y66" i="25" s="1"/>
  <c r="K66" i="25"/>
  <c r="X66" i="25" l="1"/>
  <c r="K36" i="25" l="1"/>
  <c r="K60" i="25" l="1"/>
  <c r="K53" i="25"/>
  <c r="K55" i="25"/>
  <c r="K54" i="25"/>
  <c r="K58" i="25"/>
  <c r="K59" i="25"/>
  <c r="K51" i="25"/>
  <c r="CJ182" i="10" l="1"/>
  <c r="CJ183" i="10"/>
  <c r="CJ184" i="10"/>
  <c r="CJ188" i="10"/>
  <c r="CJ192" i="10"/>
  <c r="CJ194" i="10"/>
  <c r="CJ196" i="10"/>
  <c r="CJ197" i="10"/>
  <c r="CJ185" i="10"/>
  <c r="CJ186" i="10"/>
  <c r="CJ189" i="10"/>
  <c r="CJ190" i="10"/>
  <c r="CJ191" i="10"/>
  <c r="CJ195" i="10"/>
  <c r="CJ206" i="10"/>
  <c r="CJ205" i="10"/>
  <c r="CJ208" i="10"/>
  <c r="CJ207" i="10"/>
  <c r="CJ251" i="10"/>
  <c r="CJ260" i="10"/>
  <c r="CJ266" i="10"/>
  <c r="CJ287" i="10"/>
  <c r="CJ250" i="10"/>
  <c r="CJ286" i="10"/>
  <c r="CJ198" i="10"/>
  <c r="CJ202" i="10"/>
  <c r="CJ203" i="10"/>
  <c r="CJ199" i="10"/>
  <c r="CJ226" i="10"/>
  <c r="CJ231" i="10"/>
  <c r="CJ236" i="10"/>
  <c r="CJ245" i="10"/>
  <c r="CJ221" i="10"/>
  <c r="CJ237" i="10"/>
  <c r="CJ252" i="10"/>
  <c r="CJ254" i="10"/>
  <c r="CJ257" i="10"/>
  <c r="CJ283" i="10"/>
  <c r="CJ284" i="10"/>
  <c r="CJ253" i="10"/>
  <c r="CJ255" i="10"/>
  <c r="CJ285" i="10"/>
  <c r="CJ15" i="10"/>
  <c r="CJ29" i="10"/>
  <c r="CJ36" i="10"/>
  <c r="CJ57" i="10"/>
  <c r="CJ60" i="10"/>
  <c r="CJ13" i="10"/>
  <c r="CJ16" i="10"/>
  <c r="CJ17" i="10"/>
  <c r="CJ38" i="10"/>
  <c r="CJ69" i="10"/>
  <c r="CJ18" i="10"/>
  <c r="CJ34" i="10"/>
  <c r="CJ52" i="10"/>
  <c r="CJ65" i="10"/>
  <c r="CJ66" i="10"/>
  <c r="CJ21" i="10"/>
  <c r="CJ31" i="10"/>
  <c r="CJ32" i="10"/>
  <c r="CJ42" i="10"/>
  <c r="CJ45" i="10"/>
  <c r="CJ47" i="10"/>
  <c r="CJ48" i="10"/>
  <c r="CJ58" i="10"/>
  <c r="CJ62" i="10"/>
  <c r="CJ6" i="10"/>
  <c r="CJ12" i="10"/>
  <c r="CJ46" i="10"/>
  <c r="CJ49" i="10"/>
  <c r="CJ55" i="10"/>
  <c r="CJ56" i="10"/>
  <c r="CJ71" i="10"/>
  <c r="CJ123" i="10"/>
  <c r="CJ159" i="10"/>
  <c r="CJ122" i="10"/>
  <c r="CJ126" i="10"/>
  <c r="CJ117" i="10"/>
  <c r="CJ150" i="10"/>
  <c r="CJ155" i="10"/>
  <c r="CJ124" i="10"/>
  <c r="CJ163" i="10"/>
  <c r="CJ145" i="10"/>
  <c r="CJ114" i="10"/>
  <c r="CJ125" i="10"/>
  <c r="CJ135" i="10"/>
  <c r="CJ154" i="10"/>
  <c r="CJ143" i="10"/>
  <c r="CJ116" i="10"/>
  <c r="CJ132" i="10"/>
  <c r="CJ153" i="10"/>
  <c r="CJ167" i="10"/>
  <c r="CJ121" i="10"/>
  <c r="CJ119" i="10"/>
  <c r="CJ152" i="10"/>
  <c r="CJ164" i="10"/>
  <c r="CJ129" i="10"/>
  <c r="CJ146" i="10"/>
  <c r="CJ160" i="10"/>
  <c r="CJ136" i="10"/>
  <c r="CJ162" i="10"/>
  <c r="CJ20" i="10"/>
  <c r="CJ19" i="10"/>
  <c r="CJ7" i="10"/>
  <c r="CJ72" i="10"/>
  <c r="CJ35" i="10"/>
  <c r="CJ24" i="10"/>
  <c r="CJ54" i="10"/>
  <c r="CJ37" i="10"/>
  <c r="CJ10" i="10"/>
  <c r="CJ40" i="10"/>
  <c r="CJ33" i="10"/>
  <c r="CJ70" i="10"/>
  <c r="CJ68" i="10"/>
  <c r="CJ11" i="10"/>
  <c r="CJ25" i="10"/>
  <c r="CJ27" i="10"/>
  <c r="CJ26" i="10"/>
  <c r="CJ9" i="10"/>
  <c r="CJ5" i="10"/>
  <c r="CJ39" i="10"/>
  <c r="CJ41" i="10"/>
  <c r="CJ44" i="10"/>
  <c r="CJ23" i="10"/>
  <c r="CJ14" i="10"/>
  <c r="CJ30" i="10"/>
  <c r="CJ50" i="10"/>
  <c r="CJ53" i="10"/>
  <c r="CJ67" i="10"/>
  <c r="CJ43" i="10"/>
  <c r="CJ73" i="10"/>
  <c r="CJ8" i="10"/>
  <c r="CJ64" i="10"/>
  <c r="CJ63" i="10"/>
  <c r="CJ51" i="10"/>
  <c r="CJ22" i="10"/>
  <c r="CJ59" i="10"/>
  <c r="CJ61" i="10"/>
  <c r="CJ28" i="10"/>
  <c r="CJ115" i="10"/>
  <c r="CJ151" i="10"/>
  <c r="CJ127" i="10"/>
  <c r="CJ120" i="10"/>
  <c r="CJ137" i="10"/>
  <c r="CJ139" i="10"/>
  <c r="CJ138" i="10"/>
  <c r="CJ147" i="10"/>
  <c r="CJ165" i="10"/>
  <c r="CJ131" i="10"/>
  <c r="CJ133" i="10"/>
  <c r="CJ140" i="10"/>
  <c r="CJ148" i="10"/>
  <c r="CJ161" i="10"/>
  <c r="CJ112" i="10"/>
  <c r="CJ111" i="10"/>
  <c r="CJ130" i="10"/>
  <c r="CJ156" i="10"/>
  <c r="CJ118" i="10"/>
  <c r="CJ110" i="10"/>
  <c r="CJ149" i="10"/>
  <c r="CJ168" i="10"/>
  <c r="CJ109" i="10"/>
  <c r="CJ113" i="10"/>
  <c r="CJ141" i="10"/>
  <c r="CJ144" i="10"/>
  <c r="CJ128" i="10"/>
  <c r="CJ166" i="10"/>
  <c r="CJ157" i="10"/>
  <c r="CJ142" i="10"/>
  <c r="CJ134" i="10"/>
  <c r="CJ158" i="10"/>
  <c r="BV184" i="10"/>
  <c r="BV188" i="10"/>
  <c r="BV192" i="10"/>
  <c r="BV194" i="10"/>
  <c r="BV196" i="10"/>
  <c r="BV197" i="10"/>
  <c r="BV185" i="10"/>
  <c r="BV186" i="10"/>
  <c r="BV189" i="10"/>
  <c r="BV190" i="10"/>
  <c r="BV191" i="10"/>
  <c r="BV195" i="10"/>
  <c r="BV206" i="10"/>
  <c r="BV205" i="10"/>
  <c r="BV208" i="10"/>
  <c r="BV207" i="10"/>
  <c r="BV251" i="10"/>
  <c r="BV260" i="10"/>
  <c r="BV266" i="10"/>
  <c r="BV287" i="10"/>
  <c r="BV250" i="10"/>
  <c r="BV286" i="10"/>
  <c r="BV198" i="10"/>
  <c r="BV202" i="10"/>
  <c r="BV203" i="10"/>
  <c r="BV199" i="10"/>
  <c r="BV226" i="10"/>
  <c r="BV231" i="10"/>
  <c r="BV236" i="10"/>
  <c r="BV245" i="10"/>
  <c r="BV221" i="10"/>
  <c r="BV237" i="10"/>
  <c r="BV252" i="10"/>
  <c r="BV254" i="10"/>
  <c r="BV257" i="10"/>
  <c r="BV283" i="10"/>
  <c r="BV284" i="10"/>
  <c r="BV253" i="10"/>
  <c r="BV255" i="10"/>
  <c r="BV285" i="10"/>
  <c r="BV15" i="10"/>
  <c r="BV29" i="10"/>
  <c r="BV36" i="10"/>
  <c r="BV57" i="10"/>
  <c r="BV60" i="10"/>
  <c r="BV13" i="10"/>
  <c r="BV16" i="10"/>
  <c r="BV17" i="10"/>
  <c r="BV38" i="10"/>
  <c r="BV69" i="10"/>
  <c r="BV18" i="10"/>
  <c r="BV34" i="10"/>
  <c r="BV52" i="10"/>
  <c r="BV65" i="10"/>
  <c r="BV66" i="10"/>
  <c r="BV21" i="10"/>
  <c r="BV31" i="10"/>
  <c r="BV32" i="10"/>
  <c r="BV42" i="10"/>
  <c r="BV45" i="10"/>
  <c r="BV47" i="10"/>
  <c r="BV48" i="10"/>
  <c r="BV58" i="10"/>
  <c r="BV62" i="10"/>
  <c r="BV6" i="10"/>
  <c r="BV12" i="10"/>
  <c r="BV46" i="10"/>
  <c r="BV49" i="10"/>
  <c r="BV55" i="10"/>
  <c r="BV56" i="10"/>
  <c r="BV71" i="10"/>
  <c r="BV123" i="10"/>
  <c r="BV159" i="10"/>
  <c r="BV122" i="10"/>
  <c r="BV126" i="10"/>
  <c r="BV117" i="10"/>
  <c r="BV150" i="10"/>
  <c r="BV155" i="10"/>
  <c r="BV124" i="10"/>
  <c r="BV163" i="10"/>
  <c r="BV145" i="10"/>
  <c r="BV114" i="10"/>
  <c r="BV125" i="10"/>
  <c r="BV135" i="10"/>
  <c r="BV154" i="10"/>
  <c r="BV143" i="10"/>
  <c r="BV116" i="10"/>
  <c r="BV132" i="10"/>
  <c r="BV153" i="10"/>
  <c r="BV167" i="10"/>
  <c r="BV121" i="10"/>
  <c r="BV119" i="10"/>
  <c r="BV152" i="10"/>
  <c r="BV164" i="10"/>
  <c r="BV129" i="10"/>
  <c r="BV146" i="10"/>
  <c r="BV160" i="10"/>
  <c r="BV136" i="10"/>
  <c r="BV162" i="10"/>
  <c r="BV20" i="10"/>
  <c r="BV19" i="10"/>
  <c r="BV7" i="10"/>
  <c r="BV72" i="10"/>
  <c r="BV35" i="10"/>
  <c r="BV24" i="10"/>
  <c r="BV54" i="10"/>
  <c r="BV37" i="10"/>
  <c r="BV10" i="10"/>
  <c r="BV40" i="10"/>
  <c r="BV33" i="10"/>
  <c r="BV70" i="10"/>
  <c r="BV68" i="10"/>
  <c r="BV11" i="10"/>
  <c r="BV25" i="10"/>
  <c r="BV27" i="10"/>
  <c r="BV26" i="10"/>
  <c r="BV9" i="10"/>
  <c r="BV5" i="10"/>
  <c r="BV39" i="10"/>
  <c r="BV41" i="10"/>
  <c r="BV44" i="10"/>
  <c r="BV23" i="10"/>
  <c r="BV14" i="10"/>
  <c r="BV30" i="10"/>
  <c r="BV50" i="10"/>
  <c r="BV53" i="10"/>
  <c r="BV67" i="10"/>
  <c r="BV43" i="10"/>
  <c r="BV73" i="10"/>
  <c r="BV8" i="10"/>
  <c r="BV64" i="10"/>
  <c r="BV63" i="10"/>
  <c r="BV51" i="10"/>
  <c r="BV22" i="10"/>
  <c r="BV59" i="10"/>
  <c r="BV61" i="10"/>
  <c r="BV28" i="10"/>
  <c r="BV115" i="10"/>
  <c r="BV151" i="10"/>
  <c r="BV127" i="10"/>
  <c r="BV120" i="10"/>
  <c r="BV137" i="10"/>
  <c r="BV139" i="10"/>
  <c r="BV138" i="10"/>
  <c r="BV147" i="10"/>
  <c r="BV165" i="10"/>
  <c r="BV131" i="10"/>
  <c r="BV133" i="10"/>
  <c r="BV140" i="10"/>
  <c r="BV148" i="10"/>
  <c r="BV161" i="10"/>
  <c r="BV112" i="10"/>
  <c r="BV111" i="10"/>
  <c r="BV130" i="10"/>
  <c r="BV156" i="10"/>
  <c r="BV118" i="10"/>
  <c r="BV110" i="10"/>
  <c r="BV149" i="10"/>
  <c r="BV168" i="10"/>
  <c r="BV109" i="10"/>
  <c r="BV113" i="10"/>
  <c r="BV141" i="10"/>
  <c r="BV144" i="10"/>
  <c r="BV128" i="10"/>
  <c r="BV166" i="10"/>
  <c r="BV157" i="10"/>
  <c r="BV142" i="10"/>
  <c r="BV134" i="10"/>
  <c r="BV158" i="10"/>
  <c r="BN7" i="10"/>
  <c r="BN33" i="10"/>
  <c r="BN5" i="10"/>
  <c r="BN53" i="10"/>
  <c r="BN22" i="10"/>
  <c r="BN137" i="10"/>
  <c r="BN148" i="10"/>
  <c r="BN149" i="10"/>
  <c r="BN157" i="10"/>
  <c r="BJ194" i="10"/>
  <c r="BJ196" i="10"/>
  <c r="BJ197" i="10"/>
  <c r="BJ185" i="10"/>
  <c r="BJ186" i="10"/>
  <c r="BJ189" i="10"/>
  <c r="BJ190" i="10"/>
  <c r="BJ191" i="10"/>
  <c r="BJ195" i="10"/>
  <c r="BJ206" i="10"/>
  <c r="BJ205" i="10"/>
  <c r="BJ208" i="10"/>
  <c r="BJ207" i="10"/>
  <c r="BJ251" i="10"/>
  <c r="BJ260" i="10"/>
  <c r="BJ266" i="10"/>
  <c r="BJ287" i="10"/>
  <c r="BJ250" i="10"/>
  <c r="BJ286" i="10"/>
  <c r="BJ198" i="10"/>
  <c r="BJ202" i="10"/>
  <c r="BJ203" i="10"/>
  <c r="BJ199" i="10"/>
  <c r="BJ226" i="10"/>
  <c r="BJ231" i="10"/>
  <c r="BJ236" i="10"/>
  <c r="BJ245" i="10"/>
  <c r="BJ221" i="10"/>
  <c r="BJ237" i="10"/>
  <c r="BJ252" i="10"/>
  <c r="BJ254" i="10"/>
  <c r="BJ257" i="10"/>
  <c r="BJ283" i="10"/>
  <c r="BJ284" i="10"/>
  <c r="BJ253" i="10"/>
  <c r="BJ255" i="10"/>
  <c r="BJ285" i="10"/>
  <c r="AV280" i="10"/>
  <c r="AV279" i="10"/>
  <c r="AV187" i="10"/>
  <c r="AV193" i="10"/>
  <c r="AV182" i="10"/>
  <c r="AV183" i="10"/>
  <c r="AV184" i="10"/>
  <c r="AV188" i="10"/>
  <c r="AV192" i="10"/>
  <c r="AV194" i="10"/>
  <c r="AV196" i="10"/>
  <c r="AV197" i="10"/>
  <c r="AV185" i="10"/>
  <c r="AV186" i="10"/>
  <c r="AV189" i="10"/>
  <c r="AV190" i="10"/>
  <c r="AV191" i="10"/>
  <c r="AV195" i="10"/>
  <c r="AV206" i="10"/>
  <c r="AV205" i="10"/>
  <c r="AV208" i="10"/>
  <c r="AV207" i="10"/>
  <c r="AV251" i="10"/>
  <c r="AV260" i="10"/>
  <c r="AV266" i="10"/>
  <c r="AV287" i="10"/>
  <c r="AV250" i="10"/>
  <c r="AV286" i="10"/>
  <c r="AV198" i="10"/>
  <c r="AV202" i="10"/>
  <c r="AV203" i="10"/>
  <c r="AV199" i="10"/>
  <c r="AV226" i="10"/>
  <c r="AV231" i="10"/>
  <c r="AV236" i="10"/>
  <c r="AV245" i="10"/>
  <c r="AV221" i="10"/>
  <c r="AV237" i="10"/>
  <c r="AV252" i="10"/>
  <c r="AV254" i="10"/>
  <c r="AV257" i="10"/>
  <c r="AV283" i="10"/>
  <c r="AV284" i="10"/>
  <c r="AV253" i="10"/>
  <c r="AV255" i="10"/>
  <c r="AV285" i="10"/>
  <c r="AV15" i="10"/>
  <c r="AV29" i="10"/>
  <c r="AV36" i="10"/>
  <c r="AV57" i="10"/>
  <c r="AV60" i="10"/>
  <c r="AV13" i="10"/>
  <c r="AV16" i="10"/>
  <c r="AV17" i="10"/>
  <c r="AV38" i="10"/>
  <c r="AV69" i="10"/>
  <c r="AV18" i="10"/>
  <c r="AV34" i="10"/>
  <c r="AV52" i="10"/>
  <c r="AV65" i="10"/>
  <c r="AV66" i="10"/>
  <c r="AV21" i="10"/>
  <c r="AV31" i="10"/>
  <c r="AV32" i="10"/>
  <c r="AV42" i="10"/>
  <c r="AV45" i="10"/>
  <c r="AV47" i="10"/>
  <c r="AV48" i="10"/>
  <c r="AV58" i="10"/>
  <c r="AV62" i="10"/>
  <c r="AV6" i="10"/>
  <c r="AV12" i="10"/>
  <c r="AV46" i="10"/>
  <c r="AV49" i="10"/>
  <c r="AV55" i="10"/>
  <c r="AV56" i="10"/>
  <c r="AV71" i="10"/>
  <c r="AV123" i="10"/>
  <c r="AV159" i="10"/>
  <c r="AV122" i="10"/>
  <c r="AV126" i="10"/>
  <c r="AV117" i="10"/>
  <c r="AV150" i="10"/>
  <c r="AV155" i="10"/>
  <c r="AV124" i="10"/>
  <c r="AV163" i="10"/>
  <c r="AV145" i="10"/>
  <c r="AV114" i="10"/>
  <c r="AV125" i="10"/>
  <c r="AV135" i="10"/>
  <c r="AV154" i="10"/>
  <c r="AV143" i="10"/>
  <c r="AV116" i="10"/>
  <c r="AV132" i="10"/>
  <c r="AV153" i="10"/>
  <c r="AV167" i="10"/>
  <c r="AV121" i="10"/>
  <c r="AV119" i="10"/>
  <c r="AV152" i="10"/>
  <c r="AV164" i="10"/>
  <c r="AV129" i="10"/>
  <c r="AV146" i="10"/>
  <c r="AV160" i="10"/>
  <c r="AV136" i="10"/>
  <c r="AV162" i="10"/>
  <c r="AV20" i="10"/>
  <c r="AV19" i="10"/>
  <c r="AV7" i="10"/>
  <c r="AV72" i="10"/>
  <c r="AV35" i="10"/>
  <c r="AV24" i="10"/>
  <c r="AV54" i="10"/>
  <c r="AV37" i="10"/>
  <c r="AV10" i="10"/>
  <c r="AV40" i="10"/>
  <c r="AV33" i="10"/>
  <c r="AV70" i="10"/>
  <c r="AV68" i="10"/>
  <c r="AV11" i="10"/>
  <c r="AV25" i="10"/>
  <c r="AV27" i="10"/>
  <c r="AV26" i="10"/>
  <c r="AV9" i="10"/>
  <c r="AV5" i="10"/>
  <c r="AV39" i="10"/>
  <c r="AV41" i="10"/>
  <c r="AV44" i="10"/>
  <c r="AV23" i="10"/>
  <c r="AV14" i="10"/>
  <c r="AV30" i="10"/>
  <c r="AV50" i="10"/>
  <c r="AV53" i="10"/>
  <c r="AV67" i="10"/>
  <c r="AV43" i="10"/>
  <c r="AV73" i="10"/>
  <c r="AV8" i="10"/>
  <c r="AV64" i="10"/>
  <c r="AV63" i="10"/>
  <c r="AV51" i="10"/>
  <c r="AV22" i="10"/>
  <c r="AV59" i="10"/>
  <c r="AV61" i="10"/>
  <c r="AV28" i="10"/>
  <c r="AV115" i="10"/>
  <c r="AV151" i="10"/>
  <c r="AV127" i="10"/>
  <c r="AV120" i="10"/>
  <c r="AV137" i="10"/>
  <c r="AV139" i="10"/>
  <c r="AV138" i="10"/>
  <c r="AV147" i="10"/>
  <c r="AV165" i="10"/>
  <c r="AV131" i="10"/>
  <c r="AV133" i="10"/>
  <c r="AV140" i="10"/>
  <c r="AV148" i="10"/>
  <c r="AV161" i="10"/>
  <c r="AV112" i="10"/>
  <c r="AV111" i="10"/>
  <c r="AV130" i="10"/>
  <c r="AV156" i="10"/>
  <c r="AV118" i="10"/>
  <c r="AV110" i="10"/>
  <c r="AV149" i="10"/>
  <c r="AV168" i="10"/>
  <c r="AV109" i="10"/>
  <c r="AV113" i="10"/>
  <c r="AV141" i="10"/>
  <c r="AV144" i="10"/>
  <c r="AV128" i="10"/>
  <c r="AV166" i="10"/>
  <c r="AV157" i="10"/>
  <c r="AV142" i="10"/>
  <c r="AV134" i="10"/>
  <c r="AV158" i="10"/>
  <c r="AS196" i="10"/>
  <c r="AT196" i="10"/>
  <c r="AS197" i="10"/>
  <c r="AT197" i="10"/>
  <c r="AS185" i="10"/>
  <c r="AT185" i="10"/>
  <c r="AS186" i="10"/>
  <c r="AT186" i="10"/>
  <c r="AS189" i="10"/>
  <c r="AT189" i="10"/>
  <c r="AS190" i="10"/>
  <c r="AT190" i="10"/>
  <c r="AS191" i="10"/>
  <c r="AT191" i="10"/>
  <c r="AS195" i="10"/>
  <c r="AT195" i="10"/>
  <c r="AS206" i="10"/>
  <c r="AT206" i="10"/>
  <c r="AS198" i="10"/>
  <c r="AT198" i="10"/>
  <c r="AS202" i="10"/>
  <c r="AT202" i="10"/>
  <c r="AS203" i="10"/>
  <c r="AT203" i="10"/>
  <c r="AS199" i="10"/>
  <c r="AT199" i="10"/>
  <c r="AS226" i="10"/>
  <c r="AT226" i="10"/>
  <c r="AS231" i="10"/>
  <c r="AT231" i="10"/>
  <c r="AS236" i="10"/>
  <c r="AT236" i="10"/>
  <c r="AS245" i="10"/>
  <c r="AT245" i="10"/>
  <c r="AS221" i="10"/>
  <c r="AT221" i="10"/>
  <c r="AS237" i="10"/>
  <c r="AT237" i="10"/>
  <c r="AS252" i="10"/>
  <c r="AT252" i="10"/>
  <c r="AS254" i="10"/>
  <c r="AT254" i="10"/>
  <c r="AS257" i="10"/>
  <c r="AT257" i="10"/>
  <c r="AS283" i="10"/>
  <c r="AT283" i="10"/>
  <c r="AS284" i="10"/>
  <c r="AT284" i="10"/>
  <c r="AS253" i="10"/>
  <c r="AT253" i="10"/>
  <c r="AS255" i="10"/>
  <c r="AT255" i="10"/>
  <c r="AS285" i="10"/>
  <c r="AT285" i="10"/>
  <c r="AS15" i="10"/>
  <c r="AT15" i="10"/>
  <c r="AS29" i="10"/>
  <c r="AT29" i="10"/>
  <c r="AS36" i="10"/>
  <c r="AT36" i="10"/>
  <c r="AS57" i="10"/>
  <c r="AT57" i="10"/>
  <c r="AS60" i="10"/>
  <c r="AT60" i="10"/>
  <c r="AS13" i="10"/>
  <c r="AT13" i="10"/>
  <c r="AS16" i="10"/>
  <c r="AT16" i="10"/>
  <c r="AS17" i="10"/>
  <c r="AT17" i="10"/>
  <c r="AS38" i="10"/>
  <c r="AT38" i="10"/>
  <c r="AS69" i="10"/>
  <c r="AT69" i="10"/>
  <c r="AS18" i="10"/>
  <c r="AT18" i="10"/>
  <c r="AS34" i="10"/>
  <c r="AT34" i="10"/>
  <c r="AS52" i="10"/>
  <c r="AT52" i="10"/>
  <c r="AS65" i="10"/>
  <c r="AT65" i="10"/>
  <c r="AS66" i="10"/>
  <c r="AT66" i="10"/>
  <c r="AS21" i="10"/>
  <c r="AT21" i="10"/>
  <c r="AS31" i="10"/>
  <c r="AT31" i="10"/>
  <c r="AS32" i="10"/>
  <c r="AT32" i="10"/>
  <c r="AS42" i="10"/>
  <c r="AT42" i="10"/>
  <c r="AS45" i="10"/>
  <c r="AT45" i="10"/>
  <c r="AS47" i="10"/>
  <c r="AT47" i="10"/>
  <c r="AS48" i="10"/>
  <c r="AT48" i="10"/>
  <c r="AS58" i="10"/>
  <c r="AT58" i="10"/>
  <c r="AS62" i="10"/>
  <c r="AT62" i="10"/>
  <c r="AS6" i="10"/>
  <c r="AT6" i="10"/>
  <c r="AS12" i="10"/>
  <c r="AT12" i="10"/>
  <c r="AS46" i="10"/>
  <c r="AT46" i="10"/>
  <c r="AS49" i="10"/>
  <c r="AT49" i="10"/>
  <c r="AS55" i="10"/>
  <c r="AT55" i="10"/>
  <c r="AS56" i="10"/>
  <c r="AT56" i="10"/>
  <c r="AS71" i="10"/>
  <c r="AT71" i="10"/>
  <c r="AS123" i="10"/>
  <c r="AT123" i="10"/>
  <c r="AS159" i="10"/>
  <c r="AT159" i="10"/>
  <c r="AS122" i="10"/>
  <c r="AT122" i="10"/>
  <c r="AS126" i="10"/>
  <c r="AT126" i="10"/>
  <c r="AS117" i="10"/>
  <c r="AT117" i="10"/>
  <c r="AS150" i="10"/>
  <c r="AT150" i="10"/>
  <c r="AS155" i="10"/>
  <c r="AT155" i="10"/>
  <c r="AS124" i="10"/>
  <c r="AT124" i="10"/>
  <c r="AS163" i="10"/>
  <c r="AT163" i="10"/>
  <c r="AS145" i="10"/>
  <c r="AT145" i="10"/>
  <c r="AS114" i="10"/>
  <c r="AT114" i="10"/>
  <c r="AS125" i="10"/>
  <c r="AT125" i="10"/>
  <c r="AS135" i="10"/>
  <c r="AT135" i="10"/>
  <c r="AS154" i="10"/>
  <c r="AT154" i="10"/>
  <c r="AS143" i="10"/>
  <c r="AT143" i="10"/>
  <c r="AS116" i="10"/>
  <c r="AT116" i="10"/>
  <c r="AS132" i="10"/>
  <c r="AT132" i="10"/>
  <c r="AS153" i="10"/>
  <c r="AT153" i="10"/>
  <c r="AS167" i="10"/>
  <c r="AT167" i="10"/>
  <c r="AS121" i="10"/>
  <c r="AT121" i="10"/>
  <c r="AS119" i="10"/>
  <c r="AT119" i="10"/>
  <c r="AS152" i="10"/>
  <c r="AT152" i="10"/>
  <c r="AS164" i="10"/>
  <c r="AT164" i="10"/>
  <c r="AS129" i="10"/>
  <c r="AT129" i="10"/>
  <c r="AS146" i="10"/>
  <c r="AT146" i="10"/>
  <c r="AS160" i="10"/>
  <c r="AT160" i="10"/>
  <c r="AS136" i="10"/>
  <c r="AT136" i="10"/>
  <c r="AS162" i="10"/>
  <c r="AT162" i="10"/>
  <c r="AS20" i="10"/>
  <c r="AT20" i="10"/>
  <c r="AS19" i="10"/>
  <c r="AT19" i="10"/>
  <c r="AS7" i="10"/>
  <c r="AT7" i="10"/>
  <c r="AS72" i="10"/>
  <c r="AT72" i="10"/>
  <c r="AS35" i="10"/>
  <c r="AT35" i="10"/>
  <c r="AS24" i="10"/>
  <c r="AT24" i="10"/>
  <c r="AS54" i="10"/>
  <c r="AT54" i="10"/>
  <c r="AS37" i="10"/>
  <c r="AT37" i="10"/>
  <c r="AS10" i="10"/>
  <c r="AT10" i="10"/>
  <c r="AS40" i="10"/>
  <c r="AT40" i="10"/>
  <c r="AS33" i="10"/>
  <c r="AT33" i="10"/>
  <c r="AS70" i="10"/>
  <c r="AT70" i="10"/>
  <c r="AS68" i="10"/>
  <c r="AT68" i="10"/>
  <c r="AS11" i="10"/>
  <c r="AT11" i="10"/>
  <c r="AS25" i="10"/>
  <c r="AT25" i="10"/>
  <c r="AS27" i="10"/>
  <c r="AT27" i="10"/>
  <c r="AS26" i="10"/>
  <c r="AT26" i="10"/>
  <c r="AS9" i="10"/>
  <c r="AT9" i="10"/>
  <c r="AS5" i="10"/>
  <c r="AT5" i="10"/>
  <c r="AS39" i="10"/>
  <c r="AT39" i="10"/>
  <c r="AS41" i="10"/>
  <c r="AT41" i="10"/>
  <c r="AS44" i="10"/>
  <c r="AT44" i="10"/>
  <c r="AS23" i="10"/>
  <c r="AT23" i="10"/>
  <c r="AS14" i="10"/>
  <c r="AT14" i="10"/>
  <c r="AS30" i="10"/>
  <c r="AT30" i="10"/>
  <c r="AS50" i="10"/>
  <c r="AT50" i="10"/>
  <c r="AS53" i="10"/>
  <c r="AT53" i="10"/>
  <c r="AS67" i="10"/>
  <c r="AT67" i="10"/>
  <c r="AS43" i="10"/>
  <c r="AT43" i="10"/>
  <c r="AS73" i="10"/>
  <c r="AT73" i="10"/>
  <c r="AS8" i="10"/>
  <c r="AT8" i="10"/>
  <c r="AS64" i="10"/>
  <c r="AT64" i="10"/>
  <c r="AS63" i="10"/>
  <c r="AT63" i="10"/>
  <c r="AS51" i="10"/>
  <c r="AT51" i="10"/>
  <c r="AS22" i="10"/>
  <c r="AT22" i="10"/>
  <c r="AS59" i="10"/>
  <c r="AT59" i="10"/>
  <c r="AS61" i="10"/>
  <c r="AT61" i="10"/>
  <c r="AS28" i="10"/>
  <c r="AT28" i="10"/>
  <c r="AS115" i="10"/>
  <c r="AT115" i="10"/>
  <c r="AS151" i="10"/>
  <c r="AT151" i="10"/>
  <c r="AS127" i="10"/>
  <c r="AT127" i="10"/>
  <c r="AS120" i="10"/>
  <c r="AT120" i="10"/>
  <c r="AS137" i="10"/>
  <c r="AT137" i="10"/>
  <c r="AS139" i="10"/>
  <c r="AT139" i="10"/>
  <c r="AS138" i="10"/>
  <c r="AT138" i="10"/>
  <c r="AS147" i="10"/>
  <c r="AT147" i="10"/>
  <c r="AS165" i="10"/>
  <c r="AT165" i="10"/>
  <c r="AS131" i="10"/>
  <c r="AT131" i="10"/>
  <c r="AS133" i="10"/>
  <c r="AT133" i="10"/>
  <c r="AS140" i="10"/>
  <c r="AT140" i="10"/>
  <c r="AS148" i="10"/>
  <c r="AT148" i="10"/>
  <c r="AS161" i="10"/>
  <c r="AT161" i="10"/>
  <c r="AS112" i="10"/>
  <c r="AT112" i="10"/>
  <c r="AS111" i="10"/>
  <c r="AT111" i="10"/>
  <c r="AS130" i="10"/>
  <c r="AT130" i="10"/>
  <c r="AS156" i="10"/>
  <c r="AT156" i="10"/>
  <c r="AS118" i="10"/>
  <c r="AT118" i="10"/>
  <c r="AS110" i="10"/>
  <c r="AT110" i="10"/>
  <c r="AS149" i="10"/>
  <c r="AT149" i="10"/>
  <c r="AS168" i="10"/>
  <c r="AT168" i="10"/>
  <c r="AS109" i="10"/>
  <c r="AT109" i="10"/>
  <c r="AS113" i="10"/>
  <c r="AT113" i="10"/>
  <c r="AS141" i="10"/>
  <c r="AT141" i="10"/>
  <c r="AS144" i="10"/>
  <c r="AT144" i="10"/>
  <c r="AS128" i="10"/>
  <c r="AT128" i="10"/>
  <c r="AS166" i="10"/>
  <c r="AT166" i="10"/>
  <c r="AS157" i="10"/>
  <c r="AT157" i="10"/>
  <c r="AS142" i="10"/>
  <c r="AT142" i="10"/>
  <c r="AS134" i="10"/>
  <c r="AT134" i="10"/>
  <c r="AS158" i="10"/>
  <c r="AT158" i="10"/>
  <c r="N3" i="10"/>
  <c r="M3" i="10"/>
  <c r="CA20" i="10"/>
  <c r="CA19" i="10"/>
  <c r="CA7" i="10"/>
  <c r="CA72" i="10"/>
  <c r="CA35" i="10"/>
  <c r="CD35" i="10" s="1"/>
  <c r="CA24" i="10"/>
  <c r="CA54" i="10"/>
  <c r="CA37" i="10"/>
  <c r="CA10" i="10"/>
  <c r="CA40" i="10"/>
  <c r="CA33" i="10"/>
  <c r="CA70" i="10"/>
  <c r="CA68" i="10"/>
  <c r="CA11" i="10"/>
  <c r="CA25" i="10"/>
  <c r="CA27" i="10"/>
  <c r="CA26" i="10"/>
  <c r="CD26" i="10" s="1"/>
  <c r="CA9" i="10"/>
  <c r="CA5" i="10"/>
  <c r="CD5" i="10" s="1"/>
  <c r="CA39" i="10"/>
  <c r="CA41" i="10"/>
  <c r="CA44" i="10"/>
  <c r="CA23" i="10"/>
  <c r="CD23" i="10" s="1"/>
  <c r="CA14" i="10"/>
  <c r="CD14" i="10" s="1"/>
  <c r="CA30" i="10"/>
  <c r="CA50" i="10"/>
  <c r="CD50" i="10" s="1"/>
  <c r="CA53" i="10"/>
  <c r="CD53" i="10" s="1"/>
  <c r="CA67" i="10"/>
  <c r="CD67" i="10" s="1"/>
  <c r="CA43" i="10"/>
  <c r="CA73" i="10"/>
  <c r="CD73" i="10" s="1"/>
  <c r="CA8" i="10"/>
  <c r="CD8" i="10" s="1"/>
  <c r="CA64" i="10"/>
  <c r="CD64" i="10" s="1"/>
  <c r="CA63" i="10"/>
  <c r="CA51" i="10"/>
  <c r="CA22" i="10"/>
  <c r="CD22" i="10" s="1"/>
  <c r="CA59" i="10"/>
  <c r="CD59" i="10" s="1"/>
  <c r="CA61" i="10"/>
  <c r="CD61" i="10" s="1"/>
  <c r="CA28" i="10"/>
  <c r="CA115" i="10"/>
  <c r="CD115" i="10" s="1"/>
  <c r="CA151" i="10"/>
  <c r="CD151" i="10" s="1"/>
  <c r="CA127" i="10"/>
  <c r="CA120" i="10"/>
  <c r="CD120" i="10" s="1"/>
  <c r="CA137" i="10"/>
  <c r="CD137" i="10" s="1"/>
  <c r="CA139" i="10"/>
  <c r="CD139" i="10" s="1"/>
  <c r="CA138" i="10"/>
  <c r="CD138" i="10" s="1"/>
  <c r="CA147" i="10"/>
  <c r="CA165" i="10"/>
  <c r="CD165" i="10" s="1"/>
  <c r="CA131" i="10"/>
  <c r="CA133" i="10"/>
  <c r="CD133" i="10" s="1"/>
  <c r="CA140" i="10"/>
  <c r="CD140" i="10" s="1"/>
  <c r="CA148" i="10"/>
  <c r="CD148" i="10" s="1"/>
  <c r="CA161" i="10"/>
  <c r="CA112" i="10"/>
  <c r="CA111" i="10"/>
  <c r="CD111" i="10" s="1"/>
  <c r="CA130" i="10"/>
  <c r="CD130" i="10" s="1"/>
  <c r="CA156" i="10"/>
  <c r="CD156" i="10" s="1"/>
  <c r="CA118" i="10"/>
  <c r="CA110" i="10"/>
  <c r="CD110" i="10" s="1"/>
  <c r="CA149" i="10"/>
  <c r="CD149" i="10" s="1"/>
  <c r="CA168" i="10"/>
  <c r="CD168" i="10" s="1"/>
  <c r="CA109" i="10"/>
  <c r="CA113" i="10"/>
  <c r="CD113" i="10" s="1"/>
  <c r="CA141" i="10"/>
  <c r="CD141" i="10" s="1"/>
  <c r="CA144" i="10"/>
  <c r="CD144" i="10" s="1"/>
  <c r="CA128" i="10"/>
  <c r="CA166" i="10"/>
  <c r="CA157" i="10"/>
  <c r="CD157" i="10" s="1"/>
  <c r="CA142" i="10"/>
  <c r="CA134" i="10"/>
  <c r="CD134" i="10" s="1"/>
  <c r="CA158" i="10"/>
  <c r="BS20" i="10"/>
  <c r="BT20" i="10"/>
  <c r="BS19" i="10"/>
  <c r="BT19" i="10"/>
  <c r="BS7" i="10"/>
  <c r="BT7" i="10"/>
  <c r="BS72" i="10"/>
  <c r="BT72" i="10"/>
  <c r="BS35" i="10"/>
  <c r="BT35" i="10"/>
  <c r="BS24" i="10"/>
  <c r="BT24" i="10"/>
  <c r="BS54" i="10"/>
  <c r="BT54" i="10"/>
  <c r="BS37" i="10"/>
  <c r="BT37" i="10"/>
  <c r="BS10" i="10"/>
  <c r="BT10" i="10"/>
  <c r="BS40" i="10"/>
  <c r="BT40" i="10"/>
  <c r="BS33" i="10"/>
  <c r="BT33" i="10"/>
  <c r="BS70" i="10"/>
  <c r="BT70" i="10"/>
  <c r="BS68" i="10"/>
  <c r="BT68" i="10"/>
  <c r="BS11" i="10"/>
  <c r="BT11" i="10"/>
  <c r="BS25" i="10"/>
  <c r="BT25" i="10"/>
  <c r="BS27" i="10"/>
  <c r="BT27" i="10"/>
  <c r="BS26" i="10"/>
  <c r="BT26" i="10"/>
  <c r="BS9" i="10"/>
  <c r="BT9" i="10"/>
  <c r="BS5" i="10"/>
  <c r="BT5" i="10"/>
  <c r="BS39" i="10"/>
  <c r="BT39" i="10"/>
  <c r="BS41" i="10"/>
  <c r="BT41" i="10"/>
  <c r="BS44" i="10"/>
  <c r="BT44" i="10"/>
  <c r="BS23" i="10"/>
  <c r="BT23" i="10"/>
  <c r="BS14" i="10"/>
  <c r="BT14" i="10"/>
  <c r="BS30" i="10"/>
  <c r="BT30" i="10"/>
  <c r="BS50" i="10"/>
  <c r="BT50" i="10"/>
  <c r="BS53" i="10"/>
  <c r="BT53" i="10"/>
  <c r="BS67" i="10"/>
  <c r="BT67" i="10"/>
  <c r="BS43" i="10"/>
  <c r="BT43" i="10"/>
  <c r="BS73" i="10"/>
  <c r="BT73" i="10"/>
  <c r="BS8" i="10"/>
  <c r="BT8" i="10"/>
  <c r="BS64" i="10"/>
  <c r="BT64" i="10"/>
  <c r="BS63" i="10"/>
  <c r="BT63" i="10"/>
  <c r="BS51" i="10"/>
  <c r="BT51" i="10"/>
  <c r="BS22" i="10"/>
  <c r="BT22" i="10"/>
  <c r="BS59" i="10"/>
  <c r="BT59" i="10"/>
  <c r="BS61" i="10"/>
  <c r="BT61" i="10"/>
  <c r="BS28" i="10"/>
  <c r="BT28" i="10"/>
  <c r="BS115" i="10"/>
  <c r="BT115" i="10"/>
  <c r="BS151" i="10"/>
  <c r="BT151" i="10"/>
  <c r="BS127" i="10"/>
  <c r="BT127" i="10"/>
  <c r="BS120" i="10"/>
  <c r="BT120" i="10"/>
  <c r="BS137" i="10"/>
  <c r="BT137" i="10"/>
  <c r="BS139" i="10"/>
  <c r="BT139" i="10"/>
  <c r="BS138" i="10"/>
  <c r="BT138" i="10"/>
  <c r="BS147" i="10"/>
  <c r="BT147" i="10"/>
  <c r="BS165" i="10"/>
  <c r="BT165" i="10"/>
  <c r="BS131" i="10"/>
  <c r="BT131" i="10"/>
  <c r="BS133" i="10"/>
  <c r="BT133" i="10"/>
  <c r="BS140" i="10"/>
  <c r="BT140" i="10"/>
  <c r="BS148" i="10"/>
  <c r="BT148" i="10"/>
  <c r="BS161" i="10"/>
  <c r="BT161" i="10"/>
  <c r="BS112" i="10"/>
  <c r="BT112" i="10"/>
  <c r="BS111" i="10"/>
  <c r="BT111" i="10"/>
  <c r="BS130" i="10"/>
  <c r="BT130" i="10"/>
  <c r="BS156" i="10"/>
  <c r="BT156" i="10"/>
  <c r="BS118" i="10"/>
  <c r="BT118" i="10"/>
  <c r="BS110" i="10"/>
  <c r="BT110" i="10"/>
  <c r="BS149" i="10"/>
  <c r="BT149" i="10"/>
  <c r="BS168" i="10"/>
  <c r="BT168" i="10"/>
  <c r="BS109" i="10"/>
  <c r="BT109" i="10"/>
  <c r="BS113" i="10"/>
  <c r="BT113" i="10"/>
  <c r="BS141" i="10"/>
  <c r="BT141" i="10"/>
  <c r="BS144" i="10"/>
  <c r="BT144" i="10"/>
  <c r="BS128" i="10"/>
  <c r="BT128" i="10"/>
  <c r="BS166" i="10"/>
  <c r="BT166" i="10"/>
  <c r="BS157" i="10"/>
  <c r="BT157" i="10"/>
  <c r="BS142" i="10"/>
  <c r="BT142" i="10"/>
  <c r="BS134" i="10"/>
  <c r="BT134" i="10"/>
  <c r="BS158" i="10"/>
  <c r="BT158" i="10"/>
  <c r="BM20" i="10"/>
  <c r="BN20" i="10" s="1"/>
  <c r="BO20" i="10"/>
  <c r="BM19" i="10"/>
  <c r="BN19" i="10" s="1"/>
  <c r="BO19" i="10"/>
  <c r="BM7" i="10"/>
  <c r="BO7" i="10"/>
  <c r="BM72" i="10"/>
  <c r="BN72" i="10" s="1"/>
  <c r="BO72" i="10"/>
  <c r="BM35" i="10"/>
  <c r="BN35" i="10" s="1"/>
  <c r="BO35" i="10"/>
  <c r="BM24" i="10"/>
  <c r="BN24" i="10" s="1"/>
  <c r="BO24" i="10"/>
  <c r="BM54" i="10"/>
  <c r="BN54" i="10" s="1"/>
  <c r="BO54" i="10"/>
  <c r="BM37" i="10"/>
  <c r="BN37" i="10" s="1"/>
  <c r="BO37" i="10"/>
  <c r="BM10" i="10"/>
  <c r="BN10" i="10" s="1"/>
  <c r="BO10" i="10"/>
  <c r="BM40" i="10"/>
  <c r="BN40" i="10" s="1"/>
  <c r="BO40" i="10"/>
  <c r="BM33" i="10"/>
  <c r="BO33" i="10"/>
  <c r="BM70" i="10"/>
  <c r="BN70" i="10" s="1"/>
  <c r="BO70" i="10"/>
  <c r="BM68" i="10"/>
  <c r="BN68" i="10" s="1"/>
  <c r="BO68" i="10"/>
  <c r="BM11" i="10"/>
  <c r="BN11" i="10" s="1"/>
  <c r="BO11" i="10"/>
  <c r="BM25" i="10"/>
  <c r="BN25" i="10" s="1"/>
  <c r="BO25" i="10"/>
  <c r="BM27" i="10"/>
  <c r="BN27" i="10" s="1"/>
  <c r="BO27" i="10"/>
  <c r="BM26" i="10"/>
  <c r="BN26" i="10" s="1"/>
  <c r="BO26" i="10"/>
  <c r="BM9" i="10"/>
  <c r="BN9" i="10" s="1"/>
  <c r="BO9" i="10"/>
  <c r="BM5" i="10"/>
  <c r="BO5" i="10"/>
  <c r="BM39" i="10"/>
  <c r="BN39" i="10" s="1"/>
  <c r="BO39" i="10"/>
  <c r="BM41" i="10"/>
  <c r="BN41" i="10" s="1"/>
  <c r="BO41" i="10"/>
  <c r="BM44" i="10"/>
  <c r="BN44" i="10" s="1"/>
  <c r="BO44" i="10"/>
  <c r="BM23" i="10"/>
  <c r="BN23" i="10" s="1"/>
  <c r="BO23" i="10"/>
  <c r="BM14" i="10"/>
  <c r="BN14" i="10" s="1"/>
  <c r="BO14" i="10"/>
  <c r="BM30" i="10"/>
  <c r="BN30" i="10" s="1"/>
  <c r="BO30" i="10"/>
  <c r="BM50" i="10"/>
  <c r="BN50" i="10" s="1"/>
  <c r="BO50" i="10"/>
  <c r="BM53" i="10"/>
  <c r="BO53" i="10"/>
  <c r="BM67" i="10"/>
  <c r="BN67" i="10" s="1"/>
  <c r="BO67" i="10"/>
  <c r="BM43" i="10"/>
  <c r="BN43" i="10" s="1"/>
  <c r="BO43" i="10"/>
  <c r="BM73" i="10"/>
  <c r="BN73" i="10" s="1"/>
  <c r="BO73" i="10"/>
  <c r="BM8" i="10"/>
  <c r="BN8" i="10" s="1"/>
  <c r="BO8" i="10"/>
  <c r="BM64" i="10"/>
  <c r="BN64" i="10" s="1"/>
  <c r="BO64" i="10"/>
  <c r="BM63" i="10"/>
  <c r="BN63" i="10" s="1"/>
  <c r="BO63" i="10"/>
  <c r="BM51" i="10"/>
  <c r="BN51" i="10" s="1"/>
  <c r="BO51" i="10"/>
  <c r="BM22" i="10"/>
  <c r="BO22" i="10"/>
  <c r="BM59" i="10"/>
  <c r="BN59" i="10" s="1"/>
  <c r="BO59" i="10"/>
  <c r="BM61" i="10"/>
  <c r="BN61" i="10" s="1"/>
  <c r="BO61" i="10"/>
  <c r="BM28" i="10"/>
  <c r="BN28" i="10" s="1"/>
  <c r="BO28" i="10"/>
  <c r="BM115" i="10"/>
  <c r="BN115" i="10" s="1"/>
  <c r="BO115" i="10"/>
  <c r="BM151" i="10"/>
  <c r="BN151" i="10" s="1"/>
  <c r="BO151" i="10"/>
  <c r="BM127" i="10"/>
  <c r="BN127" i="10" s="1"/>
  <c r="BO127" i="10"/>
  <c r="BM120" i="10"/>
  <c r="BN120" i="10" s="1"/>
  <c r="BO120" i="10"/>
  <c r="BM137" i="10"/>
  <c r="BO137" i="10"/>
  <c r="BM139" i="10"/>
  <c r="BN139" i="10" s="1"/>
  <c r="BO139" i="10"/>
  <c r="BM138" i="10"/>
  <c r="BN138" i="10" s="1"/>
  <c r="BO138" i="10"/>
  <c r="BM147" i="10"/>
  <c r="BN147" i="10" s="1"/>
  <c r="BO147" i="10"/>
  <c r="BM165" i="10"/>
  <c r="BN165" i="10" s="1"/>
  <c r="BO165" i="10"/>
  <c r="BM131" i="10"/>
  <c r="BN131" i="10" s="1"/>
  <c r="BO131" i="10"/>
  <c r="BM133" i="10"/>
  <c r="BN133" i="10" s="1"/>
  <c r="BO133" i="10"/>
  <c r="BM140" i="10"/>
  <c r="BN140" i="10" s="1"/>
  <c r="BO140" i="10"/>
  <c r="BM148" i="10"/>
  <c r="BO148" i="10"/>
  <c r="BM161" i="10"/>
  <c r="BN161" i="10" s="1"/>
  <c r="BO161" i="10"/>
  <c r="BM112" i="10"/>
  <c r="BN112" i="10" s="1"/>
  <c r="BO112" i="10"/>
  <c r="BM111" i="10"/>
  <c r="BN111" i="10" s="1"/>
  <c r="BO111" i="10"/>
  <c r="BM130" i="10"/>
  <c r="BN130" i="10" s="1"/>
  <c r="BO130" i="10"/>
  <c r="BM156" i="10"/>
  <c r="BN156" i="10" s="1"/>
  <c r="BO156" i="10"/>
  <c r="BM118" i="10"/>
  <c r="BN118" i="10" s="1"/>
  <c r="BO118" i="10"/>
  <c r="BM110" i="10"/>
  <c r="BN110" i="10" s="1"/>
  <c r="BO110" i="10"/>
  <c r="BM149" i="10"/>
  <c r="BO149" i="10"/>
  <c r="BM168" i="10"/>
  <c r="BN168" i="10" s="1"/>
  <c r="BO168" i="10"/>
  <c r="BM109" i="10"/>
  <c r="BN109" i="10" s="1"/>
  <c r="BO109" i="10"/>
  <c r="BM113" i="10"/>
  <c r="BN113" i="10" s="1"/>
  <c r="BO113" i="10"/>
  <c r="BM141" i="10"/>
  <c r="BN141" i="10" s="1"/>
  <c r="BO141" i="10"/>
  <c r="BM144" i="10"/>
  <c r="BN144" i="10" s="1"/>
  <c r="BO144" i="10"/>
  <c r="BM128" i="10"/>
  <c r="BN128" i="10" s="1"/>
  <c r="BO128" i="10"/>
  <c r="BM166" i="10"/>
  <c r="BN166" i="10" s="1"/>
  <c r="BO166" i="10"/>
  <c r="BM157" i="10"/>
  <c r="BO157" i="10"/>
  <c r="BM142" i="10"/>
  <c r="BN142" i="10" s="1"/>
  <c r="BO142" i="10"/>
  <c r="BM134" i="10"/>
  <c r="BN134" i="10" s="1"/>
  <c r="BO134" i="10"/>
  <c r="BM158" i="10"/>
  <c r="BN158" i="10" s="1"/>
  <c r="BO158" i="10"/>
  <c r="BK20" i="10"/>
  <c r="BK19" i="10"/>
  <c r="BK7" i="10"/>
  <c r="BK72" i="10"/>
  <c r="BK35" i="10"/>
  <c r="BK24" i="10"/>
  <c r="BK54" i="10"/>
  <c r="BK37" i="10"/>
  <c r="BK10" i="10"/>
  <c r="BK40" i="10"/>
  <c r="BK33" i="10"/>
  <c r="BK70" i="10"/>
  <c r="BK68" i="10"/>
  <c r="BK11" i="10"/>
  <c r="BK25" i="10"/>
  <c r="BK27" i="10"/>
  <c r="BK26" i="10"/>
  <c r="BK9" i="10"/>
  <c r="BK5" i="10"/>
  <c r="BK39" i="10"/>
  <c r="BK41" i="10"/>
  <c r="BK44" i="10"/>
  <c r="BK23" i="10"/>
  <c r="BK14" i="10"/>
  <c r="BK30" i="10"/>
  <c r="BK50" i="10"/>
  <c r="BK53" i="10"/>
  <c r="BK67" i="10"/>
  <c r="BK43" i="10"/>
  <c r="BK73" i="10"/>
  <c r="BK8" i="10"/>
  <c r="BK64" i="10"/>
  <c r="BK63" i="10"/>
  <c r="BK51" i="10"/>
  <c r="BK22" i="10"/>
  <c r="BK59" i="10"/>
  <c r="BK61" i="10"/>
  <c r="BK28" i="10"/>
  <c r="BK115" i="10"/>
  <c r="BK151" i="10"/>
  <c r="BK127" i="10"/>
  <c r="BK120" i="10"/>
  <c r="BK137" i="10"/>
  <c r="BK139" i="10"/>
  <c r="BK138" i="10"/>
  <c r="BK147" i="10"/>
  <c r="BK165" i="10"/>
  <c r="BK131" i="10"/>
  <c r="BK133" i="10"/>
  <c r="BK140" i="10"/>
  <c r="BK148" i="10"/>
  <c r="BK161" i="10"/>
  <c r="BK112" i="10"/>
  <c r="BK111" i="10"/>
  <c r="BK130" i="10"/>
  <c r="BK156" i="10"/>
  <c r="BK118" i="10"/>
  <c r="BK110" i="10"/>
  <c r="BK149" i="10"/>
  <c r="BK168" i="10"/>
  <c r="BK109" i="10"/>
  <c r="BK113" i="10"/>
  <c r="BK141" i="10"/>
  <c r="BK144" i="10"/>
  <c r="BK128" i="10"/>
  <c r="BK166" i="10"/>
  <c r="BK157" i="10"/>
  <c r="BK142" i="10"/>
  <c r="BK134" i="10"/>
  <c r="BK158" i="10"/>
  <c r="BE20" i="10"/>
  <c r="BE7" i="10"/>
  <c r="BE72" i="10"/>
  <c r="BE35" i="10"/>
  <c r="BE54" i="10"/>
  <c r="BE37" i="10"/>
  <c r="BE10" i="10"/>
  <c r="BE33" i="10"/>
  <c r="BE68" i="10"/>
  <c r="BE25" i="10"/>
  <c r="BE26" i="10"/>
  <c r="BE5" i="10"/>
  <c r="BE39" i="10"/>
  <c r="BE41" i="10"/>
  <c r="BE23" i="10"/>
  <c r="BE14" i="10"/>
  <c r="BE30" i="10"/>
  <c r="BE53" i="10"/>
  <c r="BE67" i="10"/>
  <c r="BE43" i="10"/>
  <c r="BE8" i="10"/>
  <c r="BE63" i="10"/>
  <c r="BE22" i="10"/>
  <c r="BE59" i="10"/>
  <c r="BE61" i="10"/>
  <c r="BE115" i="10"/>
  <c r="BE151" i="10"/>
  <c r="BE127" i="10"/>
  <c r="BE137" i="10"/>
  <c r="BE139" i="10"/>
  <c r="BE138" i="10"/>
  <c r="BE147" i="10"/>
  <c r="BE165" i="10"/>
  <c r="BE131" i="10"/>
  <c r="BE133" i="10"/>
  <c r="BE140" i="10"/>
  <c r="BE148" i="10"/>
  <c r="BE130" i="10"/>
  <c r="BE156" i="10"/>
  <c r="BE118" i="10"/>
  <c r="BE110" i="10"/>
  <c r="BE149" i="10"/>
  <c r="BE168" i="10"/>
  <c r="BE141" i="10"/>
  <c r="BE144" i="10"/>
  <c r="BE128" i="10"/>
  <c r="BE166" i="10"/>
  <c r="BE157" i="10"/>
  <c r="BE142" i="10"/>
  <c r="BE134" i="10"/>
  <c r="BE158" i="10"/>
  <c r="AI20" i="10"/>
  <c r="AK20" i="10"/>
  <c r="AK19" i="10"/>
  <c r="AL7" i="10"/>
  <c r="AM7" i="10" s="1"/>
  <c r="AK7" i="10"/>
  <c r="AN72" i="10"/>
  <c r="AK72" i="10"/>
  <c r="AL35" i="10"/>
  <c r="AM35" i="10" s="1"/>
  <c r="AK35" i="10"/>
  <c r="AL24" i="10"/>
  <c r="AM24" i="10" s="1"/>
  <c r="AK24" i="10"/>
  <c r="AK54" i="10"/>
  <c r="AN37" i="10"/>
  <c r="AK37" i="10"/>
  <c r="AL10" i="10"/>
  <c r="AM10" i="10" s="1"/>
  <c r="AI40" i="10"/>
  <c r="AK40" i="10"/>
  <c r="AL33" i="10"/>
  <c r="AM33" i="10" s="1"/>
  <c r="AK33" i="10"/>
  <c r="AN70" i="10"/>
  <c r="AK70" i="10"/>
  <c r="AL68" i="10"/>
  <c r="AM68" i="10" s="1"/>
  <c r="AK68" i="10"/>
  <c r="AK11" i="10"/>
  <c r="AK25" i="10"/>
  <c r="AI27" i="10"/>
  <c r="AK27" i="10"/>
  <c r="AI26" i="10"/>
  <c r="AK26" i="10"/>
  <c r="AK9" i="10"/>
  <c r="AK5" i="10"/>
  <c r="AL39" i="10"/>
  <c r="AM39" i="10" s="1"/>
  <c r="AK39" i="10"/>
  <c r="AI41" i="10"/>
  <c r="AK41" i="10"/>
  <c r="AK44" i="10"/>
  <c r="AL23" i="10"/>
  <c r="AM23" i="10" s="1"/>
  <c r="AK23" i="10"/>
  <c r="AN14" i="10"/>
  <c r="AK14" i="10"/>
  <c r="AI30" i="10"/>
  <c r="AK30" i="10"/>
  <c r="AN50" i="10"/>
  <c r="AL53" i="10"/>
  <c r="AM53" i="10" s="1"/>
  <c r="AK53" i="10"/>
  <c r="AI67" i="10"/>
  <c r="AK67" i="10"/>
  <c r="AK43" i="10"/>
  <c r="AK73" i="10"/>
  <c r="AK8" i="10"/>
  <c r="AN64" i="10"/>
  <c r="AK64" i="10"/>
  <c r="AL63" i="10"/>
  <c r="AM63" i="10" s="1"/>
  <c r="AK63" i="10"/>
  <c r="AI51" i="10"/>
  <c r="AK51" i="10"/>
  <c r="AL22" i="10"/>
  <c r="AM22" i="10" s="1"/>
  <c r="AK22" i="10"/>
  <c r="AL59" i="10"/>
  <c r="AM59" i="10" s="1"/>
  <c r="AK59" i="10"/>
  <c r="AI61" i="10"/>
  <c r="AK61" i="10"/>
  <c r="AK28" i="10"/>
  <c r="AK115" i="10"/>
  <c r="AL151" i="10"/>
  <c r="AM151" i="10" s="1"/>
  <c r="AK151" i="10"/>
  <c r="AI127" i="10"/>
  <c r="AK127" i="10"/>
  <c r="AK120" i="10"/>
  <c r="AL137" i="10"/>
  <c r="AM137" i="10" s="1"/>
  <c r="AK137" i="10"/>
  <c r="AI139" i="10"/>
  <c r="AK139" i="10"/>
  <c r="AK138" i="10"/>
  <c r="AL147" i="10"/>
  <c r="AM147" i="10" s="1"/>
  <c r="AK147" i="10"/>
  <c r="AK165" i="10"/>
  <c r="AN131" i="10"/>
  <c r="AK131" i="10"/>
  <c r="AL133" i="10"/>
  <c r="AM133" i="10" s="1"/>
  <c r="AN140" i="10"/>
  <c r="AK140" i="10"/>
  <c r="AI148" i="10"/>
  <c r="AK148" i="10"/>
  <c r="AL161" i="10"/>
  <c r="AM161" i="10" s="1"/>
  <c r="AK161" i="10"/>
  <c r="AI112" i="10"/>
  <c r="AK112" i="10"/>
  <c r="AK111" i="10"/>
  <c r="AL130" i="10"/>
  <c r="AM130" i="10" s="1"/>
  <c r="AL156" i="10"/>
  <c r="AM156" i="10" s="1"/>
  <c r="AK156" i="10"/>
  <c r="AL118" i="10"/>
  <c r="AM118" i="10" s="1"/>
  <c r="AK118" i="10"/>
  <c r="AN110" i="10"/>
  <c r="AK110" i="10"/>
  <c r="AL149" i="10"/>
  <c r="AM149" i="10" s="1"/>
  <c r="AK149" i="10"/>
  <c r="AI168" i="10"/>
  <c r="AK168" i="10"/>
  <c r="AK109" i="10"/>
  <c r="AK113" i="10"/>
  <c r="AK141" i="10"/>
  <c r="AL144" i="10"/>
  <c r="AM144" i="10" s="1"/>
  <c r="AK144" i="10"/>
  <c r="AL128" i="10"/>
  <c r="AM128" i="10" s="1"/>
  <c r="AK128" i="10"/>
  <c r="AN166" i="10"/>
  <c r="AL157" i="10"/>
  <c r="AM157" i="10" s="1"/>
  <c r="AK157" i="10"/>
  <c r="AL142" i="10"/>
  <c r="AM142" i="10" s="1"/>
  <c r="AK142" i="10"/>
  <c r="AI134" i="10"/>
  <c r="AK134" i="10"/>
  <c r="AK158" i="10"/>
  <c r="P20" i="10"/>
  <c r="P19" i="10"/>
  <c r="P7" i="10"/>
  <c r="P72" i="10"/>
  <c r="P35" i="10"/>
  <c r="P24" i="10"/>
  <c r="P54" i="10"/>
  <c r="P37" i="10"/>
  <c r="P10" i="10"/>
  <c r="P40" i="10"/>
  <c r="P33" i="10"/>
  <c r="P70" i="10"/>
  <c r="P68" i="10"/>
  <c r="P11" i="10"/>
  <c r="P25" i="10"/>
  <c r="P27" i="10"/>
  <c r="P26" i="10"/>
  <c r="P9" i="10"/>
  <c r="P5" i="10"/>
  <c r="P39" i="10"/>
  <c r="P41" i="10"/>
  <c r="P44" i="10"/>
  <c r="P23" i="10"/>
  <c r="P14" i="10"/>
  <c r="P30" i="10"/>
  <c r="P50" i="10"/>
  <c r="P53" i="10"/>
  <c r="P67" i="10"/>
  <c r="P43" i="10"/>
  <c r="P73" i="10"/>
  <c r="P8" i="10"/>
  <c r="P64" i="10"/>
  <c r="P63" i="10"/>
  <c r="P51" i="10"/>
  <c r="P22" i="10"/>
  <c r="P59" i="10"/>
  <c r="P61" i="10"/>
  <c r="P28" i="10"/>
  <c r="P115" i="10"/>
  <c r="P151" i="10"/>
  <c r="P127" i="10"/>
  <c r="P120" i="10"/>
  <c r="P137" i="10"/>
  <c r="P139" i="10"/>
  <c r="P138" i="10"/>
  <c r="P147" i="10"/>
  <c r="P165" i="10"/>
  <c r="P131" i="10"/>
  <c r="P133" i="10"/>
  <c r="P140" i="10"/>
  <c r="P148" i="10"/>
  <c r="P161" i="10"/>
  <c r="P112" i="10"/>
  <c r="P111" i="10"/>
  <c r="P130" i="10"/>
  <c r="P156" i="10"/>
  <c r="P118" i="10"/>
  <c r="P110" i="10"/>
  <c r="P149" i="10"/>
  <c r="P168" i="10"/>
  <c r="P109" i="10"/>
  <c r="P113" i="10"/>
  <c r="P141" i="10"/>
  <c r="P144" i="10"/>
  <c r="P128" i="10"/>
  <c r="P166" i="10"/>
  <c r="P157" i="10"/>
  <c r="P142" i="10"/>
  <c r="P134" i="10"/>
  <c r="P158" i="10"/>
  <c r="BF109" i="10" l="1"/>
  <c r="BG109" i="10" s="1"/>
  <c r="AL112" i="10"/>
  <c r="AM112" i="10" s="1"/>
  <c r="AI161" i="10"/>
  <c r="AI157" i="10"/>
  <c r="AI166" i="10"/>
  <c r="BF161" i="10"/>
  <c r="BG161" i="10" s="1"/>
  <c r="AN30" i="10"/>
  <c r="AN128" i="10"/>
  <c r="AI133" i="10"/>
  <c r="AO115" i="10"/>
  <c r="AP115" i="10" s="1"/>
  <c r="AL64" i="10"/>
  <c r="AM64" i="10" s="1"/>
  <c r="AI53" i="10"/>
  <c r="AI50" i="10"/>
  <c r="AL30" i="10"/>
  <c r="AM30" i="10" s="1"/>
  <c r="BF112" i="10"/>
  <c r="BG112" i="10" s="1"/>
  <c r="BF139" i="10"/>
  <c r="BG139" i="10" s="1"/>
  <c r="AN149" i="10"/>
  <c r="AN148" i="10"/>
  <c r="AN10" i="10"/>
  <c r="AN133" i="10"/>
  <c r="AN157" i="10"/>
  <c r="AI149" i="10"/>
  <c r="AO118" i="10"/>
  <c r="AP118" i="10" s="1"/>
  <c r="AO130" i="10"/>
  <c r="AP130" i="10" s="1"/>
  <c r="AI140" i="10"/>
  <c r="AN53" i="10"/>
  <c r="AI10" i="10"/>
  <c r="BE112" i="10"/>
  <c r="BF70" i="10"/>
  <c r="BG70" i="10" s="1"/>
  <c r="AO141" i="10"/>
  <c r="AP141" i="10" s="1"/>
  <c r="AL168" i="10"/>
  <c r="AM168" i="10" s="1"/>
  <c r="AL131" i="10"/>
  <c r="AM131" i="10" s="1"/>
  <c r="AL127" i="10"/>
  <c r="AM127" i="10" s="1"/>
  <c r="AL67" i="10"/>
  <c r="AM67" i="10" s="1"/>
  <c r="AO14" i="10"/>
  <c r="AP14" i="10" s="1"/>
  <c r="AL41" i="10"/>
  <c r="AM41" i="10" s="1"/>
  <c r="BF138" i="10"/>
  <c r="BG138" i="10" s="1"/>
  <c r="AO8" i="10"/>
  <c r="AP8" i="10" s="1"/>
  <c r="AL14" i="10"/>
  <c r="AM14" i="10" s="1"/>
  <c r="CE139" i="10"/>
  <c r="CF139" i="10" s="1"/>
  <c r="AI131" i="10"/>
  <c r="AL27" i="10"/>
  <c r="AM27" i="10" s="1"/>
  <c r="AI70" i="10"/>
  <c r="BE109" i="10"/>
  <c r="BE161" i="10"/>
  <c r="BF147" i="10"/>
  <c r="BG147" i="10" s="1"/>
  <c r="BF67" i="10"/>
  <c r="BG67" i="10" s="1"/>
  <c r="BE70" i="10"/>
  <c r="CE67" i="10"/>
  <c r="CF67" i="10" s="1"/>
  <c r="AK166" i="10"/>
  <c r="AO166" i="10"/>
  <c r="AP166" i="10" s="1"/>
  <c r="AN120" i="10"/>
  <c r="AI120" i="10"/>
  <c r="AK50" i="10"/>
  <c r="AO50" i="10"/>
  <c r="AP50" i="10" s="1"/>
  <c r="AO30" i="10"/>
  <c r="AP30" i="10" s="1"/>
  <c r="AO5" i="10"/>
  <c r="AP5" i="10" s="1"/>
  <c r="AI5" i="10"/>
  <c r="AN5" i="10"/>
  <c r="BF118" i="10"/>
  <c r="BG118" i="10" s="1"/>
  <c r="AN144" i="10"/>
  <c r="AI144" i="10"/>
  <c r="AO144" i="10"/>
  <c r="AP144" i="10" s="1"/>
  <c r="AO148" i="10"/>
  <c r="AP148" i="10" s="1"/>
  <c r="AL148" i="10"/>
  <c r="AM148" i="10" s="1"/>
  <c r="AO137" i="10"/>
  <c r="AP137" i="10" s="1"/>
  <c r="AI137" i="10"/>
  <c r="AN137" i="10"/>
  <c r="AI22" i="10"/>
  <c r="AN22" i="10"/>
  <c r="AN51" i="10"/>
  <c r="AO51" i="10"/>
  <c r="AP51" i="10" s="1"/>
  <c r="AO23" i="10"/>
  <c r="AP23" i="10" s="1"/>
  <c r="AN26" i="10"/>
  <c r="AO26" i="10"/>
  <c r="AP26" i="10" s="1"/>
  <c r="AL37" i="10"/>
  <c r="AM37" i="10" s="1"/>
  <c r="AN20" i="10"/>
  <c r="AO20" i="10"/>
  <c r="AP20" i="10" s="1"/>
  <c r="AK133" i="10"/>
  <c r="AO133" i="10"/>
  <c r="AP133" i="10" s="1"/>
  <c r="AO131" i="10"/>
  <c r="AP131" i="10" s="1"/>
  <c r="AN127" i="10"/>
  <c r="AO127" i="10"/>
  <c r="AP127" i="10" s="1"/>
  <c r="AI63" i="10"/>
  <c r="AN63" i="10"/>
  <c r="AI39" i="10"/>
  <c r="AL5" i="10"/>
  <c r="AM5" i="10" s="1"/>
  <c r="AL26" i="10"/>
  <c r="AM26" i="10" s="1"/>
  <c r="AN68" i="10"/>
  <c r="AI68" i="10"/>
  <c r="AI72" i="10"/>
  <c r="AL20" i="10"/>
  <c r="AM20" i="10" s="1"/>
  <c r="BF134" i="10"/>
  <c r="BG134" i="10" s="1"/>
  <c r="BF113" i="10"/>
  <c r="BG113" i="10" s="1"/>
  <c r="BE113" i="10"/>
  <c r="AN156" i="10"/>
  <c r="AI156" i="10"/>
  <c r="AO156" i="10"/>
  <c r="AP156" i="10" s="1"/>
  <c r="AL138" i="10"/>
  <c r="AM138" i="10" s="1"/>
  <c r="AI138" i="10"/>
  <c r="AK10" i="10"/>
  <c r="AO10" i="10"/>
  <c r="AP10" i="10" s="1"/>
  <c r="AO7" i="10"/>
  <c r="AP7" i="10" s="1"/>
  <c r="AI7" i="10"/>
  <c r="AN7" i="10"/>
  <c r="BF142" i="10"/>
  <c r="BG142" i="10" s="1"/>
  <c r="AI128" i="10"/>
  <c r="AO110" i="10"/>
  <c r="AP110" i="10" s="1"/>
  <c r="AI118" i="10"/>
  <c r="AN118" i="10"/>
  <c r="AK130" i="10"/>
  <c r="AN151" i="10"/>
  <c r="AI151" i="10"/>
  <c r="AN9" i="10"/>
  <c r="AI9" i="10"/>
  <c r="AN27" i="10"/>
  <c r="AO27" i="10"/>
  <c r="AP27" i="10" s="1"/>
  <c r="AI33" i="10"/>
  <c r="AN33" i="10"/>
  <c r="AN40" i="10"/>
  <c r="AO40" i="10"/>
  <c r="AP40" i="10" s="1"/>
  <c r="AI37" i="10"/>
  <c r="AN35" i="10"/>
  <c r="AI35" i="10"/>
  <c r="AN19" i="10"/>
  <c r="AI19" i="10"/>
  <c r="BF128" i="10"/>
  <c r="BG128" i="10" s="1"/>
  <c r="BF111" i="10"/>
  <c r="BG111" i="10" s="1"/>
  <c r="BE111" i="10"/>
  <c r="CD112" i="10"/>
  <c r="CE112" i="10"/>
  <c r="CG112" i="10" s="1"/>
  <c r="CD127" i="10"/>
  <c r="CE127" i="10"/>
  <c r="CG127" i="10" s="1"/>
  <c r="CD63" i="10"/>
  <c r="CE63" i="10"/>
  <c r="CG63" i="10" s="1"/>
  <c r="CD41" i="10"/>
  <c r="CE41" i="10"/>
  <c r="CG41" i="10" s="1"/>
  <c r="CD68" i="10"/>
  <c r="CE68" i="10"/>
  <c r="CG68" i="10" s="1"/>
  <c r="CE144" i="10"/>
  <c r="CF144" i="10" s="1"/>
  <c r="AI110" i="10"/>
  <c r="AO165" i="10"/>
  <c r="AP165" i="10" s="1"/>
  <c r="AO151" i="10"/>
  <c r="AP151" i="10" s="1"/>
  <c r="AO64" i="10"/>
  <c r="AP64" i="10" s="1"/>
  <c r="AI64" i="10"/>
  <c r="AI14" i="10"/>
  <c r="BF166" i="10"/>
  <c r="BG166" i="10" s="1"/>
  <c r="BF110" i="10"/>
  <c r="BG110" i="10" s="1"/>
  <c r="BF133" i="10"/>
  <c r="BG133" i="10" s="1"/>
  <c r="BF151" i="10"/>
  <c r="BG151" i="10" s="1"/>
  <c r="BF59" i="10"/>
  <c r="BG59" i="10" s="1"/>
  <c r="BF14" i="10"/>
  <c r="BG14" i="10" s="1"/>
  <c r="BF39" i="10"/>
  <c r="BG39" i="10" s="1"/>
  <c r="BF37" i="10"/>
  <c r="BG37" i="10" s="1"/>
  <c r="BF72" i="10"/>
  <c r="BG72" i="10" s="1"/>
  <c r="CE156" i="10"/>
  <c r="CF156" i="10" s="1"/>
  <c r="AO37" i="10"/>
  <c r="AP37" i="10" s="1"/>
  <c r="BF158" i="10"/>
  <c r="BG158" i="10" s="1"/>
  <c r="BF140" i="10"/>
  <c r="BG140" i="10" s="1"/>
  <c r="CE64" i="10"/>
  <c r="CF64" i="10" s="1"/>
  <c r="AN109" i="10"/>
  <c r="AO109" i="10"/>
  <c r="AP109" i="10" s="1"/>
  <c r="AN111" i="10"/>
  <c r="AI111" i="10"/>
  <c r="AO111" i="10"/>
  <c r="AP111" i="10" s="1"/>
  <c r="AN43" i="10"/>
  <c r="AO43" i="10"/>
  <c r="AP43" i="10" s="1"/>
  <c r="AN44" i="10"/>
  <c r="AI44" i="10"/>
  <c r="AO44" i="10"/>
  <c r="AP44" i="10" s="1"/>
  <c r="AI54" i="10"/>
  <c r="AO54" i="10"/>
  <c r="AP54" i="10" s="1"/>
  <c r="AN54" i="10"/>
  <c r="AN134" i="10"/>
  <c r="AO134" i="10"/>
  <c r="AP134" i="10" s="1"/>
  <c r="AN113" i="10"/>
  <c r="AI113" i="10"/>
  <c r="AO113" i="10"/>
  <c r="AP113" i="10" s="1"/>
  <c r="AN139" i="10"/>
  <c r="AO139" i="10"/>
  <c r="AP139" i="10" s="1"/>
  <c r="AN61" i="10"/>
  <c r="AO61" i="10"/>
  <c r="AP61" i="10" s="1"/>
  <c r="AN73" i="10"/>
  <c r="AI73" i="10"/>
  <c r="AO73" i="10"/>
  <c r="AP73" i="10" s="1"/>
  <c r="AL44" i="10"/>
  <c r="AM44" i="10" s="1"/>
  <c r="AI25" i="10"/>
  <c r="AN25" i="10"/>
  <c r="AO25" i="10"/>
  <c r="AP25" i="10" s="1"/>
  <c r="AL54" i="10"/>
  <c r="AM54" i="10" s="1"/>
  <c r="AL113" i="10"/>
  <c r="AM113" i="10" s="1"/>
  <c r="AN28" i="10"/>
  <c r="AI28" i="10"/>
  <c r="AO28" i="10"/>
  <c r="AP28" i="10" s="1"/>
  <c r="AO53" i="10"/>
  <c r="AP53" i="10" s="1"/>
  <c r="AN11" i="10"/>
  <c r="AI11" i="10"/>
  <c r="AO11" i="10"/>
  <c r="AP11" i="10" s="1"/>
  <c r="BF168" i="10"/>
  <c r="BG168" i="10" s="1"/>
  <c r="BF28" i="10"/>
  <c r="BG28" i="10" s="1"/>
  <c r="BE28" i="10"/>
  <c r="BF44" i="10"/>
  <c r="BG44" i="10" s="1"/>
  <c r="BE44" i="10"/>
  <c r="BF10" i="10"/>
  <c r="BG10" i="10" s="1"/>
  <c r="BF24" i="10"/>
  <c r="BG24" i="10" s="1"/>
  <c r="BE24" i="10"/>
  <c r="AN142" i="10"/>
  <c r="AO142" i="10"/>
  <c r="AP142" i="10" s="1"/>
  <c r="AI141" i="10"/>
  <c r="AN141" i="10"/>
  <c r="AL109" i="10"/>
  <c r="AM109" i="10" s="1"/>
  <c r="AN59" i="10"/>
  <c r="AO59" i="10"/>
  <c r="AP59" i="10" s="1"/>
  <c r="AI8" i="10"/>
  <c r="AN8" i="10"/>
  <c r="AL43" i="10"/>
  <c r="AM43" i="10" s="1"/>
  <c r="AL134" i="10"/>
  <c r="AM134" i="10" s="1"/>
  <c r="AL141" i="10"/>
  <c r="AM141" i="10" s="1"/>
  <c r="AL111" i="10"/>
  <c r="AM111" i="10" s="1"/>
  <c r="AL139" i="10"/>
  <c r="AM139" i="10" s="1"/>
  <c r="AI115" i="10"/>
  <c r="AN115" i="10"/>
  <c r="AL61" i="10"/>
  <c r="AM61" i="10" s="1"/>
  <c r="AL8" i="10"/>
  <c r="AM8" i="10" s="1"/>
  <c r="AN24" i="10"/>
  <c r="AI24" i="10"/>
  <c r="AO24" i="10"/>
  <c r="AP24" i="10" s="1"/>
  <c r="BF156" i="10"/>
  <c r="BG156" i="10" s="1"/>
  <c r="AN158" i="10"/>
  <c r="AI158" i="10"/>
  <c r="AO158" i="10"/>
  <c r="AP158" i="10" s="1"/>
  <c r="AO149" i="10"/>
  <c r="AP149" i="10" s="1"/>
  <c r="AN161" i="10"/>
  <c r="AO161" i="10"/>
  <c r="AP161" i="10" s="1"/>
  <c r="AI165" i="10"/>
  <c r="AN165" i="10"/>
  <c r="AN138" i="10"/>
  <c r="AO138" i="10"/>
  <c r="AP138" i="10" s="1"/>
  <c r="AO120" i="10"/>
  <c r="AP120" i="10" s="1"/>
  <c r="AL115" i="10"/>
  <c r="AM115" i="10" s="1"/>
  <c r="AL73" i="10"/>
  <c r="AM73" i="10" s="1"/>
  <c r="AN39" i="10"/>
  <c r="AO39" i="10"/>
  <c r="AP39" i="10" s="1"/>
  <c r="AL25" i="10"/>
  <c r="AM25" i="10" s="1"/>
  <c r="AO33" i="10"/>
  <c r="AP33" i="10" s="1"/>
  <c r="BF127" i="10"/>
  <c r="BG127" i="10" s="1"/>
  <c r="BF30" i="10"/>
  <c r="BG30" i="10" s="1"/>
  <c r="AL158" i="10"/>
  <c r="AM158" i="10" s="1"/>
  <c r="AI142" i="10"/>
  <c r="AO157" i="10"/>
  <c r="AP157" i="10" s="1"/>
  <c r="AO128" i="10"/>
  <c r="AP128" i="10" s="1"/>
  <c r="AI109" i="10"/>
  <c r="AN168" i="10"/>
  <c r="AO168" i="10"/>
  <c r="AP168" i="10" s="1"/>
  <c r="AI130" i="10"/>
  <c r="AN130" i="10"/>
  <c r="AN112" i="10"/>
  <c r="AO112" i="10"/>
  <c r="AP112" i="10" s="1"/>
  <c r="AO140" i="10"/>
  <c r="AP140" i="10" s="1"/>
  <c r="AL165" i="10"/>
  <c r="AM165" i="10" s="1"/>
  <c r="AN147" i="10"/>
  <c r="AI147" i="10"/>
  <c r="AO147" i="10"/>
  <c r="AP147" i="10" s="1"/>
  <c r="AL28" i="10"/>
  <c r="AM28" i="10" s="1"/>
  <c r="AI59" i="10"/>
  <c r="AO22" i="10"/>
  <c r="AP22" i="10" s="1"/>
  <c r="AO63" i="10"/>
  <c r="AP63" i="10" s="1"/>
  <c r="AI43" i="10"/>
  <c r="AN67" i="10"/>
  <c r="AO67" i="10"/>
  <c r="AP67" i="10" s="1"/>
  <c r="AI23" i="10"/>
  <c r="AN23" i="10"/>
  <c r="AN41" i="10"/>
  <c r="AO41" i="10"/>
  <c r="AP41" i="10" s="1"/>
  <c r="AO9" i="10"/>
  <c r="AP9" i="10" s="1"/>
  <c r="AL11" i="10"/>
  <c r="AM11" i="10" s="1"/>
  <c r="AO19" i="10"/>
  <c r="AP19" i="10" s="1"/>
  <c r="BF144" i="10"/>
  <c r="BG144" i="10" s="1"/>
  <c r="BF131" i="10"/>
  <c r="BG131" i="10" s="1"/>
  <c r="BF64" i="10"/>
  <c r="BG64" i="10" s="1"/>
  <c r="BE64" i="10"/>
  <c r="BF27" i="10"/>
  <c r="BG27" i="10" s="1"/>
  <c r="BE27" i="10"/>
  <c r="AL72" i="10"/>
  <c r="AM72" i="10" s="1"/>
  <c r="BF51" i="10"/>
  <c r="BG51" i="10" s="1"/>
  <c r="BE51" i="10"/>
  <c r="BF41" i="10"/>
  <c r="BG41" i="10" s="1"/>
  <c r="CD44" i="10"/>
  <c r="CE44" i="10"/>
  <c r="CF44" i="10" s="1"/>
  <c r="AL166" i="10"/>
  <c r="AM166" i="10" s="1"/>
  <c r="AL110" i="10"/>
  <c r="AM110" i="10" s="1"/>
  <c r="AL140" i="10"/>
  <c r="AM140" i="10" s="1"/>
  <c r="AL120" i="10"/>
  <c r="AM120" i="10" s="1"/>
  <c r="AL51" i="10"/>
  <c r="AM51" i="10" s="1"/>
  <c r="AO68" i="10"/>
  <c r="AP68" i="10" s="1"/>
  <c r="AL40" i="10"/>
  <c r="AM40" i="10" s="1"/>
  <c r="BF73" i="10"/>
  <c r="BG73" i="10" s="1"/>
  <c r="BE73" i="10"/>
  <c r="BF26" i="10"/>
  <c r="BG26" i="10" s="1"/>
  <c r="BF11" i="10"/>
  <c r="BG11" i="10" s="1"/>
  <c r="BE11" i="10"/>
  <c r="BF20" i="10"/>
  <c r="BG20" i="10" s="1"/>
  <c r="CD128" i="10"/>
  <c r="CE128" i="10"/>
  <c r="CG128" i="10" s="1"/>
  <c r="CE138" i="10"/>
  <c r="CG138" i="10" s="1"/>
  <c r="CE134" i="10"/>
  <c r="CG134" i="10" s="1"/>
  <c r="AL70" i="10"/>
  <c r="AM70" i="10" s="1"/>
  <c r="BF61" i="10"/>
  <c r="BG61" i="10" s="1"/>
  <c r="BF9" i="10"/>
  <c r="BG9" i="10" s="1"/>
  <c r="BE9" i="10"/>
  <c r="BF35" i="10"/>
  <c r="BG35" i="10" s="1"/>
  <c r="BF19" i="10"/>
  <c r="BG19" i="10" s="1"/>
  <c r="BE19" i="10"/>
  <c r="CD147" i="10"/>
  <c r="CE147" i="10"/>
  <c r="CF147" i="10" s="1"/>
  <c r="AL50" i="10"/>
  <c r="AM50" i="10" s="1"/>
  <c r="AL9" i="10"/>
  <c r="AM9" i="10" s="1"/>
  <c r="AO35" i="10"/>
  <c r="AP35" i="10" s="1"/>
  <c r="AL19" i="10"/>
  <c r="AM19" i="10" s="1"/>
  <c r="BF63" i="10"/>
  <c r="BG63" i="10" s="1"/>
  <c r="AO70" i="10"/>
  <c r="AP70" i="10" s="1"/>
  <c r="AO72" i="10"/>
  <c r="AP72" i="10" s="1"/>
  <c r="BF120" i="10"/>
  <c r="BG120" i="10" s="1"/>
  <c r="BE120" i="10"/>
  <c r="BF43" i="10"/>
  <c r="BG43" i="10" s="1"/>
  <c r="BF50" i="10"/>
  <c r="BG50" i="10" s="1"/>
  <c r="BE50" i="10"/>
  <c r="BF68" i="10"/>
  <c r="BG68" i="10" s="1"/>
  <c r="BF40" i="10"/>
  <c r="BG40" i="10" s="1"/>
  <c r="BE40" i="10"/>
  <c r="CE151" i="10"/>
  <c r="CF151" i="10" s="1"/>
  <c r="CD166" i="10"/>
  <c r="CE166" i="10"/>
  <c r="CD28" i="10"/>
  <c r="CE28" i="10"/>
  <c r="CF28" i="10" s="1"/>
  <c r="CD51" i="10"/>
  <c r="CE51" i="10"/>
  <c r="CE110" i="10"/>
  <c r="CD109" i="10"/>
  <c r="CE109" i="10"/>
  <c r="CD118" i="10"/>
  <c r="CE118" i="10"/>
  <c r="CD43" i="10"/>
  <c r="CE43" i="10"/>
  <c r="CD30" i="10"/>
  <c r="CE30" i="10"/>
  <c r="CD10" i="10"/>
  <c r="CE10" i="10"/>
  <c r="CF10" i="10" s="1"/>
  <c r="CD20" i="10"/>
  <c r="CE20" i="10"/>
  <c r="CE113" i="10"/>
  <c r="CF113" i="10" s="1"/>
  <c r="CE140" i="10"/>
  <c r="CE61" i="10"/>
  <c r="CE50" i="10"/>
  <c r="CE35" i="10"/>
  <c r="CD161" i="10"/>
  <c r="CE161" i="10"/>
  <c r="CF161" i="10" s="1"/>
  <c r="CD131" i="10"/>
  <c r="CE131" i="10"/>
  <c r="CF131" i="10" s="1"/>
  <c r="CD39" i="10"/>
  <c r="CE39" i="10"/>
  <c r="CF39" i="10" s="1"/>
  <c r="CE168" i="10"/>
  <c r="CF168" i="10" s="1"/>
  <c r="CE111" i="10"/>
  <c r="CF111" i="10" s="1"/>
  <c r="CE133" i="10"/>
  <c r="CE120" i="10"/>
  <c r="CE59" i="10"/>
  <c r="CF59" i="10" s="1"/>
  <c r="CE73" i="10"/>
  <c r="CF73" i="10" s="1"/>
  <c r="CE14" i="10"/>
  <c r="CF14" i="10" s="1"/>
  <c r="CE26" i="10"/>
  <c r="CD142" i="10"/>
  <c r="CE142" i="10"/>
  <c r="CF142" i="10" s="1"/>
  <c r="CD27" i="10"/>
  <c r="CE27" i="10"/>
  <c r="CF27" i="10" s="1"/>
  <c r="CD70" i="10"/>
  <c r="CE70" i="10"/>
  <c r="CF70" i="10" s="1"/>
  <c r="CD37" i="10"/>
  <c r="CE37" i="10"/>
  <c r="CF37" i="10" s="1"/>
  <c r="CD72" i="10"/>
  <c r="CE72" i="10"/>
  <c r="CF72" i="10" s="1"/>
  <c r="CD25" i="10"/>
  <c r="CE25" i="10"/>
  <c r="CF25" i="10" s="1"/>
  <c r="CD33" i="10"/>
  <c r="CE33" i="10"/>
  <c r="CF33" i="10" s="1"/>
  <c r="CD54" i="10"/>
  <c r="CE54" i="10"/>
  <c r="CF54" i="10" s="1"/>
  <c r="CD7" i="10"/>
  <c r="CE7" i="10"/>
  <c r="CF7" i="10" s="1"/>
  <c r="CD158" i="10"/>
  <c r="CE158" i="10"/>
  <c r="CF158" i="10" s="1"/>
  <c r="CD9" i="10"/>
  <c r="CE9" i="10"/>
  <c r="CF9" i="10" s="1"/>
  <c r="CD11" i="10"/>
  <c r="CE11" i="10"/>
  <c r="CF11" i="10" s="1"/>
  <c r="CD40" i="10"/>
  <c r="CE40" i="10"/>
  <c r="CF40" i="10" s="1"/>
  <c r="CD24" i="10"/>
  <c r="CE24" i="10"/>
  <c r="CF24" i="10" s="1"/>
  <c r="CD19" i="10"/>
  <c r="CE19" i="10"/>
  <c r="CF19" i="10" s="1"/>
  <c r="CE157" i="10"/>
  <c r="CF157" i="10" s="1"/>
  <c r="CE141" i="10"/>
  <c r="CF141" i="10" s="1"/>
  <c r="CE149" i="10"/>
  <c r="CF149" i="10" s="1"/>
  <c r="CE130" i="10"/>
  <c r="CF130" i="10" s="1"/>
  <c r="CE148" i="10"/>
  <c r="CF148" i="10" s="1"/>
  <c r="CE165" i="10"/>
  <c r="CF165" i="10" s="1"/>
  <c r="CE137" i="10"/>
  <c r="CF137" i="10" s="1"/>
  <c r="CE115" i="10"/>
  <c r="CF115" i="10" s="1"/>
  <c r="CE22" i="10"/>
  <c r="CF22" i="10" s="1"/>
  <c r="CE8" i="10"/>
  <c r="CF8" i="10" s="1"/>
  <c r="CE53" i="10"/>
  <c r="CF53" i="10" s="1"/>
  <c r="CE23" i="10"/>
  <c r="CF23" i="10" s="1"/>
  <c r="CE5" i="10"/>
  <c r="CF5" i="10" s="1"/>
  <c r="BF157" i="10"/>
  <c r="BG157" i="10" s="1"/>
  <c r="BF141" i="10"/>
  <c r="BG141" i="10" s="1"/>
  <c r="BF149" i="10"/>
  <c r="BG149" i="10" s="1"/>
  <c r="BF130" i="10"/>
  <c r="BG130" i="10" s="1"/>
  <c r="BF148" i="10"/>
  <c r="BG148" i="10" s="1"/>
  <c r="BF165" i="10"/>
  <c r="BG165" i="10" s="1"/>
  <c r="BF137" i="10"/>
  <c r="BG137" i="10" s="1"/>
  <c r="BF115" i="10"/>
  <c r="BG115" i="10" s="1"/>
  <c r="BF22" i="10"/>
  <c r="BG22" i="10" s="1"/>
  <c r="BF8" i="10"/>
  <c r="BG8" i="10" s="1"/>
  <c r="BF53" i="10"/>
  <c r="BG53" i="10" s="1"/>
  <c r="BF23" i="10"/>
  <c r="BG23" i="10" s="1"/>
  <c r="BF5" i="10"/>
  <c r="BG5" i="10" s="1"/>
  <c r="BF25" i="10"/>
  <c r="BG25" i="10" s="1"/>
  <c r="BF33" i="10"/>
  <c r="BG33" i="10" s="1"/>
  <c r="BF54" i="10"/>
  <c r="BG54" i="10" s="1"/>
  <c r="BF7" i="10"/>
  <c r="BG7" i="10" s="1"/>
  <c r="K8" i="25"/>
  <c r="CG111" i="10" l="1"/>
  <c r="CF68" i="10"/>
  <c r="CF112" i="10"/>
  <c r="CF63" i="10"/>
  <c r="CG67" i="10"/>
  <c r="CG144" i="10"/>
  <c r="CG64" i="10"/>
  <c r="CG139" i="10"/>
  <c r="CG73" i="10"/>
  <c r="CG44" i="10"/>
  <c r="CF134" i="10"/>
  <c r="CG131" i="10"/>
  <c r="CG28" i="10"/>
  <c r="CF138" i="10"/>
  <c r="CF127" i="10"/>
  <c r="CG156" i="10"/>
  <c r="CG10" i="10"/>
  <c r="CG147" i="10"/>
  <c r="CF41" i="10"/>
  <c r="CG151" i="10"/>
  <c r="CG168" i="10"/>
  <c r="CF128" i="10"/>
  <c r="CF35" i="10"/>
  <c r="CG35" i="10"/>
  <c r="CF110" i="10"/>
  <c r="CG110" i="10"/>
  <c r="CG26" i="10"/>
  <c r="CF26" i="10"/>
  <c r="CG120" i="10"/>
  <c r="CF120" i="10"/>
  <c r="CF50" i="10"/>
  <c r="CG50" i="10"/>
  <c r="CG20" i="10"/>
  <c r="CF20" i="10"/>
  <c r="CG30" i="10"/>
  <c r="CF30" i="10"/>
  <c r="CG118" i="10"/>
  <c r="CF118" i="10"/>
  <c r="CF51" i="10"/>
  <c r="CG51" i="10"/>
  <c r="CF166" i="10"/>
  <c r="CG166" i="10"/>
  <c r="CG39" i="10"/>
  <c r="CG59" i="10"/>
  <c r="CG161" i="10"/>
  <c r="CG113" i="10"/>
  <c r="CG133" i="10"/>
  <c r="CF133" i="10"/>
  <c r="CG61" i="10"/>
  <c r="CF61" i="10"/>
  <c r="CG14" i="10"/>
  <c r="CF140" i="10"/>
  <c r="CG140" i="10"/>
  <c r="CG43" i="10"/>
  <c r="CF43" i="10"/>
  <c r="CG109" i="10"/>
  <c r="CF109" i="10"/>
  <c r="CG8" i="10"/>
  <c r="CG165" i="10"/>
  <c r="CG141" i="10"/>
  <c r="CG24" i="10"/>
  <c r="CG11" i="10"/>
  <c r="CG158" i="10"/>
  <c r="CG54" i="10"/>
  <c r="CG25" i="10"/>
  <c r="CG37" i="10"/>
  <c r="CG27" i="10"/>
  <c r="CG5" i="10"/>
  <c r="CG22" i="10"/>
  <c r="CG148" i="10"/>
  <c r="CG157" i="10"/>
  <c r="CG23" i="10"/>
  <c r="CG115" i="10"/>
  <c r="CG130" i="10"/>
  <c r="CG19" i="10"/>
  <c r="CG40" i="10"/>
  <c r="CG9" i="10"/>
  <c r="CG7" i="10"/>
  <c r="CG33" i="10"/>
  <c r="CG72" i="10"/>
  <c r="CG70" i="10"/>
  <c r="CG142" i="10"/>
  <c r="CG53" i="10"/>
  <c r="CG137" i="10"/>
  <c r="CG149" i="10"/>
  <c r="CA15" i="10" l="1"/>
  <c r="CD15" i="10" s="1"/>
  <c r="CA29" i="10"/>
  <c r="CA36" i="10"/>
  <c r="CA57" i="10"/>
  <c r="CD57" i="10" s="1"/>
  <c r="CA60" i="10"/>
  <c r="CA13" i="10"/>
  <c r="CA16" i="10"/>
  <c r="CD16" i="10" s="1"/>
  <c r="CA17" i="10"/>
  <c r="CD17" i="10" s="1"/>
  <c r="CA38" i="10"/>
  <c r="CA69" i="10"/>
  <c r="CD69" i="10" s="1"/>
  <c r="CA18" i="10"/>
  <c r="CD18" i="10" s="1"/>
  <c r="CA34" i="10"/>
  <c r="CD34" i="10" s="1"/>
  <c r="CA52" i="10"/>
  <c r="CA65" i="10"/>
  <c r="CA66" i="10"/>
  <c r="CA21" i="10"/>
  <c r="CE21" i="10" s="1"/>
  <c r="CF21" i="10" s="1"/>
  <c r="CA31" i="10"/>
  <c r="CD31" i="10" s="1"/>
  <c r="CA32" i="10"/>
  <c r="CA42" i="10"/>
  <c r="CA45" i="10"/>
  <c r="CD45" i="10" s="1"/>
  <c r="CA47" i="10"/>
  <c r="CA48" i="10"/>
  <c r="CA58" i="10"/>
  <c r="CD58" i="10" s="1"/>
  <c r="CA62" i="10"/>
  <c r="CD62" i="10" s="1"/>
  <c r="CA6" i="10"/>
  <c r="CA12" i="10"/>
  <c r="CD12" i="10" s="1"/>
  <c r="CA46" i="10"/>
  <c r="CA49" i="10"/>
  <c r="CD49" i="10" s="1"/>
  <c r="CA55" i="10"/>
  <c r="CA56" i="10"/>
  <c r="CA71" i="10"/>
  <c r="CA123" i="10"/>
  <c r="CE123" i="10" s="1"/>
  <c r="CF123" i="10" s="1"/>
  <c r="CA159" i="10"/>
  <c r="CD159" i="10" s="1"/>
  <c r="CA122" i="10"/>
  <c r="CA126" i="10"/>
  <c r="CE126" i="10" s="1"/>
  <c r="CF126" i="10" s="1"/>
  <c r="CA117" i="10"/>
  <c r="CE117" i="10" s="1"/>
  <c r="CF117" i="10" s="1"/>
  <c r="CA150" i="10"/>
  <c r="CA155" i="10"/>
  <c r="CA124" i="10"/>
  <c r="CA163" i="10"/>
  <c r="CD163" i="10" s="1"/>
  <c r="CA145" i="10"/>
  <c r="CA114" i="10"/>
  <c r="CA125" i="10"/>
  <c r="CA135" i="10"/>
  <c r="CD135" i="10" s="1"/>
  <c r="CA154" i="10"/>
  <c r="CA143" i="10"/>
  <c r="CA116" i="10"/>
  <c r="CE116" i="10" s="1"/>
  <c r="CF116" i="10" s="1"/>
  <c r="CA132" i="10"/>
  <c r="CD132" i="10" s="1"/>
  <c r="CA153" i="10"/>
  <c r="CA167" i="10"/>
  <c r="CA121" i="10"/>
  <c r="CE121" i="10" s="1"/>
  <c r="CF121" i="10" s="1"/>
  <c r="CA119" i="10"/>
  <c r="CE119" i="10" s="1"/>
  <c r="CF119" i="10" s="1"/>
  <c r="CA152" i="10"/>
  <c r="CA164" i="10"/>
  <c r="CA129" i="10"/>
  <c r="CA146" i="10"/>
  <c r="CD146" i="10" s="1"/>
  <c r="CA160" i="10"/>
  <c r="CA136" i="10"/>
  <c r="CA162" i="10"/>
  <c r="BS15" i="10"/>
  <c r="BT15" i="10"/>
  <c r="BS29" i="10"/>
  <c r="BT29" i="10"/>
  <c r="BS36" i="10"/>
  <c r="BT36" i="10"/>
  <c r="BS57" i="10"/>
  <c r="BT57" i="10"/>
  <c r="BS60" i="10"/>
  <c r="BT60" i="10"/>
  <c r="BS13" i="10"/>
  <c r="BT13" i="10"/>
  <c r="BS16" i="10"/>
  <c r="BT16" i="10"/>
  <c r="BS17" i="10"/>
  <c r="BT17" i="10"/>
  <c r="BS38" i="10"/>
  <c r="BT38" i="10"/>
  <c r="BS69" i="10"/>
  <c r="BT69" i="10"/>
  <c r="BS18" i="10"/>
  <c r="BT18" i="10"/>
  <c r="BS34" i="10"/>
  <c r="BT34" i="10"/>
  <c r="BS52" i="10"/>
  <c r="BT52" i="10"/>
  <c r="BS65" i="10"/>
  <c r="BT65" i="10"/>
  <c r="BS66" i="10"/>
  <c r="BT66" i="10"/>
  <c r="BS21" i="10"/>
  <c r="BT21" i="10"/>
  <c r="BS31" i="10"/>
  <c r="BT31" i="10"/>
  <c r="BS32" i="10"/>
  <c r="BT32" i="10"/>
  <c r="BS42" i="10"/>
  <c r="BT42" i="10"/>
  <c r="BS45" i="10"/>
  <c r="BT45" i="10"/>
  <c r="BS47" i="10"/>
  <c r="BT47" i="10"/>
  <c r="BS48" i="10"/>
  <c r="BT48" i="10"/>
  <c r="BS58" i="10"/>
  <c r="BT58" i="10"/>
  <c r="BS62" i="10"/>
  <c r="BT62" i="10"/>
  <c r="BS6" i="10"/>
  <c r="BT6" i="10"/>
  <c r="BS12" i="10"/>
  <c r="BT12" i="10"/>
  <c r="BS46" i="10"/>
  <c r="BT46" i="10"/>
  <c r="BS49" i="10"/>
  <c r="BT49" i="10"/>
  <c r="BS55" i="10"/>
  <c r="BT55" i="10"/>
  <c r="BS56" i="10"/>
  <c r="BT56" i="10"/>
  <c r="BS71" i="10"/>
  <c r="BT71" i="10"/>
  <c r="BS123" i="10"/>
  <c r="BT123" i="10"/>
  <c r="BS159" i="10"/>
  <c r="BT159" i="10"/>
  <c r="BS122" i="10"/>
  <c r="BT122" i="10"/>
  <c r="BS126" i="10"/>
  <c r="BT126" i="10"/>
  <c r="BS117" i="10"/>
  <c r="BT117" i="10"/>
  <c r="BS150" i="10"/>
  <c r="BT150" i="10"/>
  <c r="BS155" i="10"/>
  <c r="BT155" i="10"/>
  <c r="BS124" i="10"/>
  <c r="BT124" i="10"/>
  <c r="BS163" i="10"/>
  <c r="BT163" i="10"/>
  <c r="BS145" i="10"/>
  <c r="BT145" i="10"/>
  <c r="BS114" i="10"/>
  <c r="BT114" i="10"/>
  <c r="BS125" i="10"/>
  <c r="BT125" i="10"/>
  <c r="BS135" i="10"/>
  <c r="BT135" i="10"/>
  <c r="BS154" i="10"/>
  <c r="BT154" i="10"/>
  <c r="BS143" i="10"/>
  <c r="BT143" i="10"/>
  <c r="BS116" i="10"/>
  <c r="BT116" i="10"/>
  <c r="BS132" i="10"/>
  <c r="BT132" i="10"/>
  <c r="BS153" i="10"/>
  <c r="BT153" i="10"/>
  <c r="BS167" i="10"/>
  <c r="BT167" i="10"/>
  <c r="BS121" i="10"/>
  <c r="BT121" i="10"/>
  <c r="BS119" i="10"/>
  <c r="BT119" i="10"/>
  <c r="BS152" i="10"/>
  <c r="BT152" i="10"/>
  <c r="BS164" i="10"/>
  <c r="BT164" i="10"/>
  <c r="BS129" i="10"/>
  <c r="BT129" i="10"/>
  <c r="BS146" i="10"/>
  <c r="BT146" i="10"/>
  <c r="BS160" i="10"/>
  <c r="BT160" i="10"/>
  <c r="BS136" i="10"/>
  <c r="BT136" i="10"/>
  <c r="BS162" i="10"/>
  <c r="BT162" i="10"/>
  <c r="BM15" i="10"/>
  <c r="BN15" i="10" s="1"/>
  <c r="BO15" i="10"/>
  <c r="BM29" i="10"/>
  <c r="BN29" i="10" s="1"/>
  <c r="BO29" i="10"/>
  <c r="BM36" i="10"/>
  <c r="BN36" i="10" s="1"/>
  <c r="BO36" i="10"/>
  <c r="BM57" i="10"/>
  <c r="BN57" i="10" s="1"/>
  <c r="BO57" i="10"/>
  <c r="BM60" i="10"/>
  <c r="BN60" i="10" s="1"/>
  <c r="BO60" i="10"/>
  <c r="BM13" i="10"/>
  <c r="BN13" i="10" s="1"/>
  <c r="BO13" i="10"/>
  <c r="BM16" i="10"/>
  <c r="BN16" i="10" s="1"/>
  <c r="BO16" i="10"/>
  <c r="BM17" i="10"/>
  <c r="BN17" i="10" s="1"/>
  <c r="BO17" i="10"/>
  <c r="BM38" i="10"/>
  <c r="BN38" i="10" s="1"/>
  <c r="BO38" i="10"/>
  <c r="BM69" i="10"/>
  <c r="BN69" i="10" s="1"/>
  <c r="BO69" i="10"/>
  <c r="BM18" i="10"/>
  <c r="BN18" i="10" s="1"/>
  <c r="BO18" i="10"/>
  <c r="BM34" i="10"/>
  <c r="BN34" i="10" s="1"/>
  <c r="BO34" i="10"/>
  <c r="BM52" i="10"/>
  <c r="BN52" i="10" s="1"/>
  <c r="BO52" i="10"/>
  <c r="BM65" i="10"/>
  <c r="BN65" i="10" s="1"/>
  <c r="BO65" i="10"/>
  <c r="BM66" i="10"/>
  <c r="BN66" i="10" s="1"/>
  <c r="BO66" i="10"/>
  <c r="BM21" i="10"/>
  <c r="BN21" i="10" s="1"/>
  <c r="BO21" i="10"/>
  <c r="BM31" i="10"/>
  <c r="BN31" i="10" s="1"/>
  <c r="BO31" i="10"/>
  <c r="BM32" i="10"/>
  <c r="BN32" i="10" s="1"/>
  <c r="BO32" i="10"/>
  <c r="BM42" i="10"/>
  <c r="BN42" i="10" s="1"/>
  <c r="BO42" i="10"/>
  <c r="BM45" i="10"/>
  <c r="BN45" i="10" s="1"/>
  <c r="BO45" i="10"/>
  <c r="BM47" i="10"/>
  <c r="BN47" i="10" s="1"/>
  <c r="BO47" i="10"/>
  <c r="BM48" i="10"/>
  <c r="BN48" i="10" s="1"/>
  <c r="BO48" i="10"/>
  <c r="BM58" i="10"/>
  <c r="BN58" i="10" s="1"/>
  <c r="BO58" i="10"/>
  <c r="BM62" i="10"/>
  <c r="BN62" i="10" s="1"/>
  <c r="BO62" i="10"/>
  <c r="BM6" i="10"/>
  <c r="BN6" i="10" s="1"/>
  <c r="BO6" i="10"/>
  <c r="BM12" i="10"/>
  <c r="BN12" i="10" s="1"/>
  <c r="BO12" i="10"/>
  <c r="BM46" i="10"/>
  <c r="BN46" i="10" s="1"/>
  <c r="BO46" i="10"/>
  <c r="BM49" i="10"/>
  <c r="BN49" i="10" s="1"/>
  <c r="BO49" i="10"/>
  <c r="BM55" i="10"/>
  <c r="BN55" i="10" s="1"/>
  <c r="BO55" i="10"/>
  <c r="BM56" i="10"/>
  <c r="BN56" i="10" s="1"/>
  <c r="BO56" i="10"/>
  <c r="BM71" i="10"/>
  <c r="BN71" i="10" s="1"/>
  <c r="BO71" i="10"/>
  <c r="BM123" i="10"/>
  <c r="BN123" i="10" s="1"/>
  <c r="BO123" i="10"/>
  <c r="BM159" i="10"/>
  <c r="BN159" i="10" s="1"/>
  <c r="BO159" i="10"/>
  <c r="BM122" i="10"/>
  <c r="BN122" i="10" s="1"/>
  <c r="BO122" i="10"/>
  <c r="BM126" i="10"/>
  <c r="BN126" i="10" s="1"/>
  <c r="BO126" i="10"/>
  <c r="BM117" i="10"/>
  <c r="BN117" i="10" s="1"/>
  <c r="BO117" i="10"/>
  <c r="BM150" i="10"/>
  <c r="BN150" i="10" s="1"/>
  <c r="BO150" i="10"/>
  <c r="BM155" i="10"/>
  <c r="BN155" i="10" s="1"/>
  <c r="BO155" i="10"/>
  <c r="BM124" i="10"/>
  <c r="BN124" i="10" s="1"/>
  <c r="BO124" i="10"/>
  <c r="BM163" i="10"/>
  <c r="BN163" i="10" s="1"/>
  <c r="BO163" i="10"/>
  <c r="BM145" i="10"/>
  <c r="BN145" i="10" s="1"/>
  <c r="BO145" i="10"/>
  <c r="BM114" i="10"/>
  <c r="BN114" i="10" s="1"/>
  <c r="BO114" i="10"/>
  <c r="BM125" i="10"/>
  <c r="BN125" i="10" s="1"/>
  <c r="BO125" i="10"/>
  <c r="BM135" i="10"/>
  <c r="BN135" i="10" s="1"/>
  <c r="BO135" i="10"/>
  <c r="BM154" i="10"/>
  <c r="BN154" i="10" s="1"/>
  <c r="BO154" i="10"/>
  <c r="BM143" i="10"/>
  <c r="BN143" i="10" s="1"/>
  <c r="BO143" i="10"/>
  <c r="BM116" i="10"/>
  <c r="BN116" i="10" s="1"/>
  <c r="BO116" i="10"/>
  <c r="BM132" i="10"/>
  <c r="BN132" i="10" s="1"/>
  <c r="BO132" i="10"/>
  <c r="BM153" i="10"/>
  <c r="BN153" i="10" s="1"/>
  <c r="BO153" i="10"/>
  <c r="BM167" i="10"/>
  <c r="BN167" i="10" s="1"/>
  <c r="BO167" i="10"/>
  <c r="BM121" i="10"/>
  <c r="BN121" i="10" s="1"/>
  <c r="BO121" i="10"/>
  <c r="BM119" i="10"/>
  <c r="BN119" i="10" s="1"/>
  <c r="BO119" i="10"/>
  <c r="BM152" i="10"/>
  <c r="BN152" i="10" s="1"/>
  <c r="BO152" i="10"/>
  <c r="BM164" i="10"/>
  <c r="BN164" i="10" s="1"/>
  <c r="BO164" i="10"/>
  <c r="BM129" i="10"/>
  <c r="BN129" i="10" s="1"/>
  <c r="BO129" i="10"/>
  <c r="BM146" i="10"/>
  <c r="BN146" i="10" s="1"/>
  <c r="BO146" i="10"/>
  <c r="BM160" i="10"/>
  <c r="BN160" i="10" s="1"/>
  <c r="BO160" i="10"/>
  <c r="BM136" i="10"/>
  <c r="BN136" i="10" s="1"/>
  <c r="BO136" i="10"/>
  <c r="BM162" i="10"/>
  <c r="BN162" i="10" s="1"/>
  <c r="BO162" i="10"/>
  <c r="BK15" i="10"/>
  <c r="BK29" i="10"/>
  <c r="BK36" i="10"/>
  <c r="BK57" i="10"/>
  <c r="BK60" i="10"/>
  <c r="BK13" i="10"/>
  <c r="BK16" i="10"/>
  <c r="BK17" i="10"/>
  <c r="BK38" i="10"/>
  <c r="BK69" i="10"/>
  <c r="BK18" i="10"/>
  <c r="BK34" i="10"/>
  <c r="BK52" i="10"/>
  <c r="BK65" i="10"/>
  <c r="BK66" i="10"/>
  <c r="BK21" i="10"/>
  <c r="BK31" i="10"/>
  <c r="BK32" i="10"/>
  <c r="BK42" i="10"/>
  <c r="BK45" i="10"/>
  <c r="BK47" i="10"/>
  <c r="BK48" i="10"/>
  <c r="BK58" i="10"/>
  <c r="BK62" i="10"/>
  <c r="BK6" i="10"/>
  <c r="BK12" i="10"/>
  <c r="BK46" i="10"/>
  <c r="BK49" i="10"/>
  <c r="BK55" i="10"/>
  <c r="BK56" i="10"/>
  <c r="BK71" i="10"/>
  <c r="BK123" i="10"/>
  <c r="BK159" i="10"/>
  <c r="BK122" i="10"/>
  <c r="BK126" i="10"/>
  <c r="BK117" i="10"/>
  <c r="BK150" i="10"/>
  <c r="BK155" i="10"/>
  <c r="BK124" i="10"/>
  <c r="BK163" i="10"/>
  <c r="BK145" i="10"/>
  <c r="BK114" i="10"/>
  <c r="BK125" i="10"/>
  <c r="BK135" i="10"/>
  <c r="BK154" i="10"/>
  <c r="BK143" i="10"/>
  <c r="BK116" i="10"/>
  <c r="BK132" i="10"/>
  <c r="BK153" i="10"/>
  <c r="BK167" i="10"/>
  <c r="BK121" i="10"/>
  <c r="BK119" i="10"/>
  <c r="BK152" i="10"/>
  <c r="BK164" i="10"/>
  <c r="BK129" i="10"/>
  <c r="BK146" i="10"/>
  <c r="BK160" i="10"/>
  <c r="BK136" i="10"/>
  <c r="BK162" i="10"/>
  <c r="BE15" i="10"/>
  <c r="BE29" i="10"/>
  <c r="BE36" i="10"/>
  <c r="BE57" i="10"/>
  <c r="BE60" i="10"/>
  <c r="BE13" i="10"/>
  <c r="BE16" i="10"/>
  <c r="BE17" i="10"/>
  <c r="BE38" i="10"/>
  <c r="BE69" i="10"/>
  <c r="BE18" i="10"/>
  <c r="BE34" i="10"/>
  <c r="BE52" i="10"/>
  <c r="BE65" i="10"/>
  <c r="BE66" i="10"/>
  <c r="BE21" i="10"/>
  <c r="BE31" i="10"/>
  <c r="BE32" i="10"/>
  <c r="BE42" i="10"/>
  <c r="BE45" i="10"/>
  <c r="BE47" i="10"/>
  <c r="BE48" i="10"/>
  <c r="BE58" i="10"/>
  <c r="BE62" i="10"/>
  <c r="BE6" i="10"/>
  <c r="BE12" i="10"/>
  <c r="BE46" i="10"/>
  <c r="BE49" i="10"/>
  <c r="BE55" i="10"/>
  <c r="BE56" i="10"/>
  <c r="BE71" i="10"/>
  <c r="BE123" i="10"/>
  <c r="BE159" i="10"/>
  <c r="BE122" i="10"/>
  <c r="BE126" i="10"/>
  <c r="BE117" i="10"/>
  <c r="BE150" i="10"/>
  <c r="BE155" i="10"/>
  <c r="BE124" i="10"/>
  <c r="BE163" i="10"/>
  <c r="BE145" i="10"/>
  <c r="BE114" i="10"/>
  <c r="BE125" i="10"/>
  <c r="BE135" i="10"/>
  <c r="BE154" i="10"/>
  <c r="BE143" i="10"/>
  <c r="BE116" i="10"/>
  <c r="BE132" i="10"/>
  <c r="BE153" i="10"/>
  <c r="BE167" i="10"/>
  <c r="BE121" i="10"/>
  <c r="BE119" i="10"/>
  <c r="BE152" i="10"/>
  <c r="BE164" i="10"/>
  <c r="BE129" i="10"/>
  <c r="BE146" i="10"/>
  <c r="BE160" i="10"/>
  <c r="BE136" i="10"/>
  <c r="BE162" i="10"/>
  <c r="AK15" i="10"/>
  <c r="AI29" i="10"/>
  <c r="AK29" i="10"/>
  <c r="AK36" i="10"/>
  <c r="AI57" i="10"/>
  <c r="AK57" i="10"/>
  <c r="AI60" i="10"/>
  <c r="AK60" i="10"/>
  <c r="AL13" i="10"/>
  <c r="AM13" i="10" s="1"/>
  <c r="AK13" i="10"/>
  <c r="AL16" i="10"/>
  <c r="AM16" i="10" s="1"/>
  <c r="AK16" i="10"/>
  <c r="AI17" i="10"/>
  <c r="AK17" i="10"/>
  <c r="AK38" i="10"/>
  <c r="AI69" i="10"/>
  <c r="AK69" i="10"/>
  <c r="AK18" i="10"/>
  <c r="AI34" i="10"/>
  <c r="AK34" i="10"/>
  <c r="AK52" i="10"/>
  <c r="AL65" i="10"/>
  <c r="AM65" i="10" s="1"/>
  <c r="AK65" i="10"/>
  <c r="AL66" i="10"/>
  <c r="AM66" i="10" s="1"/>
  <c r="AK66" i="10"/>
  <c r="AI21" i="10"/>
  <c r="AK21" i="10"/>
  <c r="AK31" i="10"/>
  <c r="AI32" i="10"/>
  <c r="AK32" i="10"/>
  <c r="AK42" i="10"/>
  <c r="AI45" i="10"/>
  <c r="AK45" i="10"/>
  <c r="AI47" i="10"/>
  <c r="AK47" i="10"/>
  <c r="AL48" i="10"/>
  <c r="AM48" i="10" s="1"/>
  <c r="AK48" i="10"/>
  <c r="AL58" i="10"/>
  <c r="AM58" i="10" s="1"/>
  <c r="AK58" i="10"/>
  <c r="AL62" i="10"/>
  <c r="AM62" i="10" s="1"/>
  <c r="AK62" i="10"/>
  <c r="AK6" i="10"/>
  <c r="AL12" i="10"/>
  <c r="AM12" i="10" s="1"/>
  <c r="AK12" i="10"/>
  <c r="AK46" i="10"/>
  <c r="AI49" i="10"/>
  <c r="AK49" i="10"/>
  <c r="AI55" i="10"/>
  <c r="AK55" i="10"/>
  <c r="AL56" i="10"/>
  <c r="AM56" i="10" s="1"/>
  <c r="AK56" i="10"/>
  <c r="AK71" i="10"/>
  <c r="AI123" i="10"/>
  <c r="AK123" i="10"/>
  <c r="AK159" i="10"/>
  <c r="AI122" i="10"/>
  <c r="AK122" i="10"/>
  <c r="AK126" i="10"/>
  <c r="AI117" i="10"/>
  <c r="AK117" i="10"/>
  <c r="AI150" i="10"/>
  <c r="AK150" i="10"/>
  <c r="AL155" i="10"/>
  <c r="AM155" i="10" s="1"/>
  <c r="AK155" i="10"/>
  <c r="AI124" i="10"/>
  <c r="AK124" i="10"/>
  <c r="AI163" i="10"/>
  <c r="AK163" i="10"/>
  <c r="AI145" i="10"/>
  <c r="AK145" i="10"/>
  <c r="AI114" i="10"/>
  <c r="AK114" i="10"/>
  <c r="AI125" i="10"/>
  <c r="AK125" i="10"/>
  <c r="AI135" i="10"/>
  <c r="AK135" i="10"/>
  <c r="AN154" i="10"/>
  <c r="AK154" i="10"/>
  <c r="AL143" i="10"/>
  <c r="AM143" i="10" s="1"/>
  <c r="AK143" i="10"/>
  <c r="AI116" i="10"/>
  <c r="AK116" i="10"/>
  <c r="AI132" i="10"/>
  <c r="AK132" i="10"/>
  <c r="AI153" i="10"/>
  <c r="AK153" i="10"/>
  <c r="AL167" i="10"/>
  <c r="AM167" i="10" s="1"/>
  <c r="AK167" i="10"/>
  <c r="AI121" i="10"/>
  <c r="AK121" i="10"/>
  <c r="AI119" i="10"/>
  <c r="AK119" i="10"/>
  <c r="AN152" i="10"/>
  <c r="AK152" i="10"/>
  <c r="AN164" i="10"/>
  <c r="AK164" i="10"/>
  <c r="AI129" i="10"/>
  <c r="AK129" i="10"/>
  <c r="AN146" i="10"/>
  <c r="AK146" i="10"/>
  <c r="AI160" i="10"/>
  <c r="AK160" i="10"/>
  <c r="AN136" i="10"/>
  <c r="AK136" i="10"/>
  <c r="AI162" i="10"/>
  <c r="AK162" i="10"/>
  <c r="P15" i="10"/>
  <c r="P29" i="10"/>
  <c r="P36" i="10"/>
  <c r="P57" i="10"/>
  <c r="P60" i="10"/>
  <c r="P13" i="10"/>
  <c r="P16" i="10"/>
  <c r="P17" i="10"/>
  <c r="P38" i="10"/>
  <c r="P69" i="10"/>
  <c r="P18" i="10"/>
  <c r="P34" i="10"/>
  <c r="P52" i="10"/>
  <c r="P65" i="10"/>
  <c r="P66" i="10"/>
  <c r="P21" i="10"/>
  <c r="P31" i="10"/>
  <c r="P32" i="10"/>
  <c r="P42" i="10"/>
  <c r="P45" i="10"/>
  <c r="P47" i="10"/>
  <c r="P48" i="10"/>
  <c r="P58" i="10"/>
  <c r="P62" i="10"/>
  <c r="P6" i="10"/>
  <c r="P12" i="10"/>
  <c r="P46" i="10"/>
  <c r="P49" i="10"/>
  <c r="P55" i="10"/>
  <c r="P56" i="10"/>
  <c r="P71" i="10"/>
  <c r="P123" i="10"/>
  <c r="P159" i="10"/>
  <c r="P122" i="10"/>
  <c r="P126" i="10"/>
  <c r="P117" i="10"/>
  <c r="P150" i="10"/>
  <c r="P155" i="10"/>
  <c r="P124" i="10"/>
  <c r="P163" i="10"/>
  <c r="P145" i="10"/>
  <c r="P114" i="10"/>
  <c r="P125" i="10"/>
  <c r="P135" i="10"/>
  <c r="P154" i="10"/>
  <c r="P143" i="10"/>
  <c r="P116" i="10"/>
  <c r="P132" i="10"/>
  <c r="P153" i="10"/>
  <c r="P167" i="10"/>
  <c r="P121" i="10"/>
  <c r="P119" i="10"/>
  <c r="P152" i="10"/>
  <c r="P164" i="10"/>
  <c r="P129" i="10"/>
  <c r="P146" i="10"/>
  <c r="P160" i="10"/>
  <c r="P136" i="10"/>
  <c r="P162" i="10"/>
  <c r="F30" i="28" l="1"/>
  <c r="F23" i="28"/>
  <c r="AN160" i="10"/>
  <c r="AO38" i="10"/>
  <c r="AP38" i="10" s="1"/>
  <c r="AO159" i="10"/>
  <c r="AP159" i="10" s="1"/>
  <c r="AL132" i="10"/>
  <c r="AM132" i="10" s="1"/>
  <c r="AL29" i="10"/>
  <c r="AM29" i="10" s="1"/>
  <c r="BF36" i="10"/>
  <c r="BG36" i="10" s="1"/>
  <c r="AL123" i="10"/>
  <c r="AM123" i="10" s="1"/>
  <c r="AL17" i="10"/>
  <c r="AM17" i="10" s="1"/>
  <c r="AL163" i="10"/>
  <c r="AM163" i="10" s="1"/>
  <c r="AN124" i="10"/>
  <c r="AL122" i="10"/>
  <c r="AM122" i="10" s="1"/>
  <c r="AL69" i="10"/>
  <c r="AM69" i="10" s="1"/>
  <c r="AO146" i="10"/>
  <c r="AP146" i="10" s="1"/>
  <c r="AO71" i="10"/>
  <c r="AP71" i="10" s="1"/>
  <c r="AI12" i="10"/>
  <c r="AI62" i="10"/>
  <c r="AO52" i="10"/>
  <c r="AP52" i="10" s="1"/>
  <c r="AN153" i="10"/>
  <c r="AO47" i="10"/>
  <c r="AP47" i="10" s="1"/>
  <c r="AL60" i="10"/>
  <c r="AM60" i="10" s="1"/>
  <c r="BF18" i="10"/>
  <c r="BG18" i="10" s="1"/>
  <c r="AI146" i="10"/>
  <c r="AL121" i="10"/>
  <c r="AM121" i="10" s="1"/>
  <c r="AN47" i="10"/>
  <c r="AO15" i="10"/>
  <c r="AP15" i="10" s="1"/>
  <c r="D30" i="28"/>
  <c r="AL160" i="10"/>
  <c r="AM160" i="10" s="1"/>
  <c r="AI167" i="10"/>
  <c r="AO116" i="10"/>
  <c r="AP116" i="10" s="1"/>
  <c r="AL114" i="10"/>
  <c r="AM114" i="10" s="1"/>
  <c r="AO124" i="10"/>
  <c r="AP124" i="10" s="1"/>
  <c r="AO58" i="10"/>
  <c r="AP58" i="10" s="1"/>
  <c r="AO31" i="10"/>
  <c r="AP31" i="10" s="1"/>
  <c r="AO66" i="10"/>
  <c r="AP66" i="10" s="1"/>
  <c r="BF123" i="10"/>
  <c r="BG123" i="10" s="1"/>
  <c r="BF46" i="10"/>
  <c r="BG46" i="10" s="1"/>
  <c r="BF132" i="10"/>
  <c r="BG132" i="10" s="1"/>
  <c r="BF116" i="10"/>
  <c r="BG116" i="10" s="1"/>
  <c r="BF125" i="10"/>
  <c r="BG125" i="10" s="1"/>
  <c r="BF42" i="10"/>
  <c r="BG42" i="10" s="1"/>
  <c r="AL124" i="10"/>
  <c r="AM124" i="10" s="1"/>
  <c r="AL55" i="10"/>
  <c r="AM55" i="10" s="1"/>
  <c r="AL45" i="10"/>
  <c r="AM45" i="10" s="1"/>
  <c r="AL32" i="10"/>
  <c r="AM32" i="10" s="1"/>
  <c r="BF162" i="10"/>
  <c r="BG162" i="10" s="1"/>
  <c r="CD121" i="10"/>
  <c r="CE62" i="10"/>
  <c r="CF62" i="10" s="1"/>
  <c r="CD117" i="10"/>
  <c r="CD21" i="10"/>
  <c r="CE146" i="10"/>
  <c r="CF146" i="10" s="1"/>
  <c r="CE135" i="10"/>
  <c r="CF135" i="10" s="1"/>
  <c r="CD123" i="10"/>
  <c r="CE45" i="10"/>
  <c r="CE34" i="10"/>
  <c r="CE163" i="10"/>
  <c r="CF163" i="10" s="1"/>
  <c r="CE49" i="10"/>
  <c r="CF49" i="10" s="1"/>
  <c r="CE18" i="10"/>
  <c r="CF18" i="10" s="1"/>
  <c r="CD119" i="10"/>
  <c r="CE57" i="10"/>
  <c r="BF62" i="10"/>
  <c r="BG62" i="10" s="1"/>
  <c r="BF17" i="10"/>
  <c r="BG17" i="10" s="1"/>
  <c r="BF146" i="10"/>
  <c r="BG146" i="10" s="1"/>
  <c r="BF129" i="10"/>
  <c r="BG129" i="10" s="1"/>
  <c r="BF121" i="10"/>
  <c r="BG121" i="10" s="1"/>
  <c r="BF163" i="10"/>
  <c r="BG163" i="10" s="1"/>
  <c r="BF124" i="10"/>
  <c r="BG124" i="10" s="1"/>
  <c r="BF126" i="10"/>
  <c r="BG126" i="10" s="1"/>
  <c r="BF58" i="10"/>
  <c r="BG58" i="10" s="1"/>
  <c r="BF16" i="10"/>
  <c r="BG16" i="10" s="1"/>
  <c r="BF21" i="10"/>
  <c r="BG21" i="10" s="1"/>
  <c r="BF66" i="10"/>
  <c r="BG66" i="10" s="1"/>
  <c r="AL129" i="10"/>
  <c r="AM129" i="10" s="1"/>
  <c r="AL153" i="10"/>
  <c r="AM153" i="10" s="1"/>
  <c r="AN116" i="10"/>
  <c r="AN145" i="10"/>
  <c r="AL52" i="10"/>
  <c r="AM52" i="10" s="1"/>
  <c r="AO16" i="10"/>
  <c r="AP16" i="10" s="1"/>
  <c r="AL57" i="10"/>
  <c r="AM57" i="10" s="1"/>
  <c r="AL146" i="10"/>
  <c r="AM146" i="10" s="1"/>
  <c r="AI152" i="10"/>
  <c r="AL116" i="10"/>
  <c r="AM116" i="10" s="1"/>
  <c r="AL125" i="10"/>
  <c r="AM125" i="10" s="1"/>
  <c r="AL145" i="10"/>
  <c r="AM145" i="10" s="1"/>
  <c r="AL117" i="10"/>
  <c r="AM117" i="10" s="1"/>
  <c r="AL71" i="10"/>
  <c r="AM71" i="10" s="1"/>
  <c r="AN55" i="10"/>
  <c r="AL47" i="10"/>
  <c r="AM47" i="10" s="1"/>
  <c r="AL34" i="10"/>
  <c r="AM34" i="10" s="1"/>
  <c r="AN60" i="10"/>
  <c r="AN129" i="10"/>
  <c r="AO145" i="10"/>
  <c r="AP145" i="10" s="1"/>
  <c r="AL21" i="10"/>
  <c r="AM21" i="10" s="1"/>
  <c r="AL49" i="10"/>
  <c r="AM49" i="10" s="1"/>
  <c r="AO129" i="10"/>
  <c r="AP129" i="10" s="1"/>
  <c r="AO153" i="10"/>
  <c r="AP153" i="10" s="1"/>
  <c r="AI154" i="10"/>
  <c r="AO55" i="10"/>
  <c r="AP55" i="10" s="1"/>
  <c r="AN52" i="10"/>
  <c r="AI52" i="10"/>
  <c r="AO60" i="10"/>
  <c r="AP60" i="10" s="1"/>
  <c r="AL119" i="10"/>
  <c r="AM119" i="10" s="1"/>
  <c r="AI126" i="10"/>
  <c r="AN126" i="10"/>
  <c r="AI46" i="10"/>
  <c r="AN46" i="10"/>
  <c r="AI42" i="10"/>
  <c r="AN42" i="10"/>
  <c r="AI18" i="10"/>
  <c r="AN18" i="10"/>
  <c r="AI36" i="10"/>
  <c r="AN36" i="10"/>
  <c r="CE12" i="10"/>
  <c r="CG21" i="10"/>
  <c r="AL152" i="10"/>
  <c r="AM152" i="10" s="1"/>
  <c r="AL154" i="10"/>
  <c r="AM154" i="10" s="1"/>
  <c r="AL150" i="10"/>
  <c r="AM150" i="10" s="1"/>
  <c r="AI159" i="10"/>
  <c r="AN159" i="10"/>
  <c r="AI6" i="10"/>
  <c r="AN6" i="10"/>
  <c r="AI31" i="10"/>
  <c r="AN31" i="10"/>
  <c r="AI38" i="10"/>
  <c r="AN38" i="10"/>
  <c r="AI15" i="10"/>
  <c r="AN15" i="10"/>
  <c r="CE69" i="10"/>
  <c r="CF69" i="10" s="1"/>
  <c r="AN162" i="10"/>
  <c r="AL136" i="10"/>
  <c r="AM136" i="10" s="1"/>
  <c r="AO152" i="10"/>
  <c r="AP152" i="10" s="1"/>
  <c r="AN121" i="10"/>
  <c r="AO154" i="10"/>
  <c r="AP154" i="10" s="1"/>
  <c r="AN125" i="10"/>
  <c r="AO150" i="10"/>
  <c r="AP150" i="10" s="1"/>
  <c r="AL126" i="10"/>
  <c r="AM126" i="10" s="1"/>
  <c r="AL159" i="10"/>
  <c r="AM159" i="10" s="1"/>
  <c r="AI71" i="10"/>
  <c r="AN71" i="10"/>
  <c r="AL46" i="10"/>
  <c r="AM46" i="10" s="1"/>
  <c r="AL6" i="10"/>
  <c r="AM6" i="10" s="1"/>
  <c r="AI58" i="10"/>
  <c r="AN58" i="10"/>
  <c r="AL42" i="10"/>
  <c r="AM42" i="10" s="1"/>
  <c r="AL31" i="10"/>
  <c r="AM31" i="10" s="1"/>
  <c r="AI66" i="10"/>
  <c r="AN66" i="10"/>
  <c r="AL18" i="10"/>
  <c r="AM18" i="10" s="1"/>
  <c r="AL38" i="10"/>
  <c r="AM38" i="10" s="1"/>
  <c r="AI16" i="10"/>
  <c r="AN16" i="10"/>
  <c r="AL36" i="10"/>
  <c r="AM36" i="10" s="1"/>
  <c r="AL15" i="10"/>
  <c r="AM15" i="10" s="1"/>
  <c r="BF119" i="10"/>
  <c r="BG119" i="10" s="1"/>
  <c r="BF135" i="10"/>
  <c r="BG135" i="10" s="1"/>
  <c r="BF117" i="10"/>
  <c r="BG117" i="10" s="1"/>
  <c r="BF49" i="10"/>
  <c r="BG49" i="10" s="1"/>
  <c r="BF45" i="10"/>
  <c r="BG45" i="10" s="1"/>
  <c r="BF34" i="10"/>
  <c r="BG34" i="10" s="1"/>
  <c r="BF57" i="10"/>
  <c r="BG57" i="10" s="1"/>
  <c r="CG123" i="10"/>
  <c r="CD116" i="10"/>
  <c r="AL162" i="10"/>
  <c r="AM162" i="10" s="1"/>
  <c r="AL135" i="10"/>
  <c r="AM135" i="10" s="1"/>
  <c r="BF71" i="10"/>
  <c r="BG71" i="10" s="1"/>
  <c r="AO162" i="10"/>
  <c r="AP162" i="10" s="1"/>
  <c r="AL164" i="10"/>
  <c r="AM164" i="10" s="1"/>
  <c r="AO6" i="10"/>
  <c r="AP6" i="10" s="1"/>
  <c r="AO160" i="10"/>
  <c r="AP160" i="10" s="1"/>
  <c r="AN150" i="10"/>
  <c r="CE162" i="10"/>
  <c r="CF162" i="10" s="1"/>
  <c r="CD162" i="10"/>
  <c r="CE129" i="10"/>
  <c r="CD129" i="10"/>
  <c r="CE125" i="10"/>
  <c r="CF125" i="10" s="1"/>
  <c r="CD125" i="10"/>
  <c r="CE124" i="10"/>
  <c r="CF124" i="10" s="1"/>
  <c r="CD124" i="10"/>
  <c r="CD71" i="10"/>
  <c r="CE71" i="10"/>
  <c r="CF71" i="10" s="1"/>
  <c r="CD46" i="10"/>
  <c r="CE46" i="10"/>
  <c r="CF46" i="10" s="1"/>
  <c r="CD42" i="10"/>
  <c r="CE42" i="10"/>
  <c r="CD66" i="10"/>
  <c r="CE66" i="10"/>
  <c r="CF66" i="10" s="1"/>
  <c r="CD36" i="10"/>
  <c r="CE36" i="10"/>
  <c r="CD126" i="10"/>
  <c r="BF160" i="10"/>
  <c r="BG160" i="10" s="1"/>
  <c r="BF152" i="10"/>
  <c r="BG152" i="10" s="1"/>
  <c r="BF153" i="10"/>
  <c r="BG153" i="10" s="1"/>
  <c r="BF154" i="10"/>
  <c r="BG154" i="10" s="1"/>
  <c r="BF145" i="10"/>
  <c r="BG145" i="10" s="1"/>
  <c r="BF150" i="10"/>
  <c r="BG150" i="10" s="1"/>
  <c r="BF159" i="10"/>
  <c r="BG159" i="10" s="1"/>
  <c r="BF55" i="10"/>
  <c r="BG55" i="10" s="1"/>
  <c r="BF6" i="10"/>
  <c r="BG6" i="10" s="1"/>
  <c r="BF47" i="10"/>
  <c r="BG47" i="10" s="1"/>
  <c r="BF31" i="10"/>
  <c r="BG31" i="10" s="1"/>
  <c r="BF52" i="10"/>
  <c r="BG52" i="10" s="1"/>
  <c r="BF38" i="10"/>
  <c r="BG38" i="10" s="1"/>
  <c r="BF60" i="10"/>
  <c r="BG60" i="10" s="1"/>
  <c r="BF15" i="10"/>
  <c r="BG15" i="10" s="1"/>
  <c r="CE132" i="10"/>
  <c r="CE17" i="10"/>
  <c r="CD160" i="10"/>
  <c r="CE160" i="10"/>
  <c r="CF160" i="10" s="1"/>
  <c r="CD152" i="10"/>
  <c r="CE152" i="10"/>
  <c r="CF152" i="10" s="1"/>
  <c r="CD153" i="10"/>
  <c r="CE153" i="10"/>
  <c r="CF153" i="10" s="1"/>
  <c r="CD154" i="10"/>
  <c r="CE154" i="10"/>
  <c r="CF154" i="10" s="1"/>
  <c r="CD145" i="10"/>
  <c r="CE145" i="10"/>
  <c r="CF145" i="10" s="1"/>
  <c r="CD150" i="10"/>
  <c r="CE150" i="10"/>
  <c r="CF150" i="10" s="1"/>
  <c r="CD55" i="10"/>
  <c r="CE55" i="10"/>
  <c r="CF55" i="10" s="1"/>
  <c r="CD6" i="10"/>
  <c r="CE6" i="10"/>
  <c r="CF6" i="10" s="1"/>
  <c r="CD47" i="10"/>
  <c r="CE47" i="10"/>
  <c r="CF47" i="10" s="1"/>
  <c r="CD52" i="10"/>
  <c r="CE52" i="10"/>
  <c r="CF52" i="10" s="1"/>
  <c r="CD38" i="10"/>
  <c r="CE38" i="10"/>
  <c r="CF38" i="10" s="1"/>
  <c r="CD60" i="10"/>
  <c r="CE60" i="10"/>
  <c r="CF60" i="10" s="1"/>
  <c r="CG121" i="10"/>
  <c r="CG116" i="10"/>
  <c r="CG124" i="10"/>
  <c r="CG126" i="10"/>
  <c r="CE159" i="10"/>
  <c r="CF159" i="10" s="1"/>
  <c r="CE31" i="10"/>
  <c r="CF31" i="10" s="1"/>
  <c r="CE15" i="10"/>
  <c r="CF15" i="10" s="1"/>
  <c r="CD136" i="10"/>
  <c r="CE136" i="10"/>
  <c r="CF136" i="10" s="1"/>
  <c r="CD164" i="10"/>
  <c r="CE164" i="10"/>
  <c r="CF164" i="10" s="1"/>
  <c r="CD167" i="10"/>
  <c r="CE167" i="10"/>
  <c r="CF167" i="10" s="1"/>
  <c r="CD143" i="10"/>
  <c r="CE143" i="10"/>
  <c r="CF143" i="10" s="1"/>
  <c r="CD114" i="10"/>
  <c r="CE114" i="10"/>
  <c r="CF114" i="10" s="1"/>
  <c r="CD155" i="10"/>
  <c r="CE155" i="10"/>
  <c r="CF155" i="10" s="1"/>
  <c r="CD122" i="10"/>
  <c r="CE122" i="10"/>
  <c r="CF122" i="10" s="1"/>
  <c r="CD56" i="10"/>
  <c r="CE56" i="10"/>
  <c r="CF56" i="10" s="1"/>
  <c r="CD48" i="10"/>
  <c r="CE48" i="10"/>
  <c r="CF48" i="10" s="1"/>
  <c r="CD32" i="10"/>
  <c r="CE32" i="10"/>
  <c r="CF32" i="10" s="1"/>
  <c r="CD65" i="10"/>
  <c r="CE65" i="10"/>
  <c r="CF65" i="10" s="1"/>
  <c r="CD13" i="10"/>
  <c r="CE13" i="10"/>
  <c r="CF13" i="10" s="1"/>
  <c r="CD29" i="10"/>
  <c r="CE29" i="10"/>
  <c r="CF29" i="10" s="1"/>
  <c r="CG119" i="10"/>
  <c r="CG117" i="10"/>
  <c r="CE58" i="10"/>
  <c r="CF58" i="10" s="1"/>
  <c r="CE16" i="10"/>
  <c r="CF16" i="10" s="1"/>
  <c r="BF136" i="10"/>
  <c r="BG136" i="10" s="1"/>
  <c r="BF164" i="10"/>
  <c r="BG164" i="10" s="1"/>
  <c r="BF167" i="10"/>
  <c r="BG167" i="10" s="1"/>
  <c r="BF143" i="10"/>
  <c r="BG143" i="10" s="1"/>
  <c r="BF114" i="10"/>
  <c r="BG114" i="10" s="1"/>
  <c r="BF155" i="10"/>
  <c r="BG155" i="10" s="1"/>
  <c r="BF122" i="10"/>
  <c r="BG122" i="10" s="1"/>
  <c r="BF56" i="10"/>
  <c r="BG56" i="10" s="1"/>
  <c r="BF12" i="10"/>
  <c r="BG12" i="10" s="1"/>
  <c r="BF48" i="10"/>
  <c r="BG48" i="10" s="1"/>
  <c r="BF32" i="10"/>
  <c r="BG32" i="10" s="1"/>
  <c r="BF65" i="10"/>
  <c r="BG65" i="10" s="1"/>
  <c r="BF69" i="10"/>
  <c r="BG69" i="10" s="1"/>
  <c r="BF13" i="10"/>
  <c r="BG13" i="10" s="1"/>
  <c r="BF29" i="10"/>
  <c r="BG29" i="10" s="1"/>
  <c r="AN143" i="10"/>
  <c r="AO143" i="10"/>
  <c r="AP143" i="10" s="1"/>
  <c r="AN155" i="10"/>
  <c r="AO155" i="10"/>
  <c r="AP155" i="10" s="1"/>
  <c r="AN56" i="10"/>
  <c r="AO56" i="10"/>
  <c r="AP56" i="10" s="1"/>
  <c r="AN48" i="10"/>
  <c r="AO48" i="10"/>
  <c r="AP48" i="10" s="1"/>
  <c r="AN65" i="10"/>
  <c r="AO65" i="10"/>
  <c r="AP65" i="10" s="1"/>
  <c r="AN13" i="10"/>
  <c r="AO13" i="10"/>
  <c r="AP13" i="10" s="1"/>
  <c r="AN119" i="10"/>
  <c r="AO119" i="10"/>
  <c r="AP119" i="10" s="1"/>
  <c r="AN135" i="10"/>
  <c r="AO135" i="10"/>
  <c r="AP135" i="10" s="1"/>
  <c r="AN117" i="10"/>
  <c r="AO117" i="10"/>
  <c r="AP117" i="10" s="1"/>
  <c r="AN49" i="10"/>
  <c r="AO49" i="10"/>
  <c r="AP49" i="10" s="1"/>
  <c r="AN45" i="10"/>
  <c r="AO45" i="10"/>
  <c r="AP45" i="10" s="1"/>
  <c r="AN34" i="10"/>
  <c r="AO34" i="10"/>
  <c r="AP34" i="10" s="1"/>
  <c r="AN57" i="10"/>
  <c r="AO57" i="10"/>
  <c r="AP57" i="10" s="1"/>
  <c r="AO136" i="10"/>
  <c r="AP136" i="10" s="1"/>
  <c r="AO164" i="10"/>
  <c r="AP164" i="10" s="1"/>
  <c r="AN167" i="10"/>
  <c r="AO167" i="10"/>
  <c r="AP167" i="10" s="1"/>
  <c r="AN114" i="10"/>
  <c r="AO114" i="10"/>
  <c r="AP114" i="10" s="1"/>
  <c r="AN122" i="10"/>
  <c r="AO122" i="10"/>
  <c r="AP122" i="10" s="1"/>
  <c r="AN12" i="10"/>
  <c r="AO12" i="10"/>
  <c r="AP12" i="10" s="1"/>
  <c r="AN32" i="10"/>
  <c r="AO32" i="10"/>
  <c r="AP32" i="10" s="1"/>
  <c r="AN69" i="10"/>
  <c r="AO69" i="10"/>
  <c r="AP69" i="10" s="1"/>
  <c r="AN29" i="10"/>
  <c r="AO29" i="10"/>
  <c r="AP29" i="10" s="1"/>
  <c r="AI136" i="10"/>
  <c r="AI164" i="10"/>
  <c r="AO121" i="10"/>
  <c r="AP121" i="10" s="1"/>
  <c r="AN132" i="10"/>
  <c r="AO132" i="10"/>
  <c r="AP132" i="10" s="1"/>
  <c r="AI143" i="10"/>
  <c r="AO125" i="10"/>
  <c r="AP125" i="10" s="1"/>
  <c r="AN163" i="10"/>
  <c r="AO163" i="10"/>
  <c r="AP163" i="10" s="1"/>
  <c r="AI155" i="10"/>
  <c r="AO126" i="10"/>
  <c r="AP126" i="10" s="1"/>
  <c r="AN123" i="10"/>
  <c r="AO123" i="10"/>
  <c r="AP123" i="10" s="1"/>
  <c r="AI56" i="10"/>
  <c r="AO46" i="10"/>
  <c r="AP46" i="10" s="1"/>
  <c r="AN62" i="10"/>
  <c r="AO62" i="10"/>
  <c r="AP62" i="10" s="1"/>
  <c r="AI48" i="10"/>
  <c r="AO42" i="10"/>
  <c r="AP42" i="10" s="1"/>
  <c r="AN21" i="10"/>
  <c r="AO21" i="10"/>
  <c r="AP21" i="10" s="1"/>
  <c r="AI65" i="10"/>
  <c r="AO18" i="10"/>
  <c r="AP18" i="10" s="1"/>
  <c r="AN17" i="10"/>
  <c r="AO17" i="10"/>
  <c r="AP17" i="10" s="1"/>
  <c r="AI13" i="10"/>
  <c r="AO36" i="10"/>
  <c r="AP36" i="10" s="1"/>
  <c r="D23" i="28" l="1"/>
  <c r="CG62" i="10"/>
  <c r="CG135" i="10"/>
  <c r="CG146" i="10"/>
  <c r="CG12" i="10"/>
  <c r="CF12" i="10"/>
  <c r="CG17" i="10"/>
  <c r="CF17" i="10"/>
  <c r="CG49" i="10"/>
  <c r="CG34" i="10"/>
  <c r="CF34" i="10"/>
  <c r="CG132" i="10"/>
  <c r="CF132" i="10"/>
  <c r="CG129" i="10"/>
  <c r="CF129" i="10"/>
  <c r="CG45" i="10"/>
  <c r="CF45" i="10"/>
  <c r="CG36" i="10"/>
  <c r="CF36" i="10"/>
  <c r="CG42" i="10"/>
  <c r="CF42" i="10"/>
  <c r="CG57" i="10"/>
  <c r="CF57" i="10"/>
  <c r="CG18" i="10"/>
  <c r="CG163" i="10"/>
  <c r="CG162" i="10"/>
  <c r="CG125" i="10"/>
  <c r="CG46" i="10"/>
  <c r="CG69" i="10"/>
  <c r="CG66" i="10"/>
  <c r="CG71" i="10"/>
  <c r="CG29" i="10"/>
  <c r="CG65" i="10"/>
  <c r="CG48" i="10"/>
  <c r="CG122" i="10"/>
  <c r="CG114" i="10"/>
  <c r="CG167" i="10"/>
  <c r="CG136" i="10"/>
  <c r="CG159" i="10"/>
  <c r="CG31" i="10"/>
  <c r="CG38" i="10"/>
  <c r="CG47" i="10"/>
  <c r="CG55" i="10"/>
  <c r="CG145" i="10"/>
  <c r="CG153" i="10"/>
  <c r="CG160" i="10"/>
  <c r="CG16" i="10"/>
  <c r="CG13" i="10"/>
  <c r="CG32" i="10"/>
  <c r="CG56" i="10"/>
  <c r="CG155" i="10"/>
  <c r="CG143" i="10"/>
  <c r="CG164" i="10"/>
  <c r="CG15" i="10"/>
  <c r="CG58" i="10"/>
  <c r="CG60" i="10"/>
  <c r="CG52" i="10"/>
  <c r="CG6" i="10"/>
  <c r="CG150" i="10"/>
  <c r="CG154" i="10"/>
  <c r="CG152" i="10"/>
  <c r="AI172" i="10"/>
  <c r="AV265" i="10" l="1"/>
  <c r="AV282" i="10"/>
  <c r="AV281" i="10"/>
  <c r="AV278" i="10"/>
  <c r="AV277" i="10"/>
  <c r="AV216" i="10"/>
  <c r="AV217" i="10"/>
  <c r="AV98" i="10"/>
  <c r="AV107" i="10"/>
  <c r="AV100" i="10"/>
  <c r="AV97" i="10"/>
  <c r="AV94" i="10"/>
  <c r="AV93" i="10"/>
  <c r="AV91" i="10"/>
  <c r="AV88" i="10"/>
  <c r="AV108" i="10"/>
  <c r="AV106" i="10"/>
  <c r="AV105" i="10"/>
  <c r="AV104" i="10"/>
  <c r="AV103" i="10"/>
  <c r="AV101" i="10"/>
  <c r="AV99" i="10"/>
  <c r="AV96" i="10"/>
  <c r="AV95" i="10"/>
  <c r="AV92" i="10"/>
  <c r="AV90" i="10"/>
  <c r="AV89" i="10"/>
  <c r="AV87" i="10"/>
  <c r="AV84" i="10"/>
  <c r="AV83" i="10"/>
  <c r="AV82" i="10"/>
  <c r="AV81" i="10"/>
  <c r="AV80" i="10"/>
  <c r="AV79" i="10"/>
  <c r="AV77" i="10"/>
  <c r="AV75" i="10"/>
  <c r="AV74" i="10"/>
  <c r="AV78" i="10"/>
  <c r="AV76" i="10"/>
  <c r="AV230" i="10"/>
  <c r="AV225" i="10"/>
  <c r="AV200" i="10"/>
  <c r="AV180" i="10"/>
  <c r="AV177" i="10"/>
  <c r="AV178" i="10"/>
  <c r="AV181" i="10"/>
  <c r="AV179" i="10"/>
  <c r="AV176" i="10"/>
  <c r="AV174" i="10"/>
  <c r="AV173" i="10"/>
  <c r="AV172" i="10"/>
  <c r="AV170" i="10"/>
  <c r="AV169" i="10"/>
  <c r="AV175" i="10"/>
  <c r="AV171" i="10"/>
  <c r="AV102" i="10"/>
  <c r="AV86" i="10"/>
  <c r="AV85" i="10"/>
  <c r="AV220" i="10"/>
  <c r="AV243" i="10"/>
  <c r="AV234" i="10"/>
  <c r="AV233" i="10"/>
  <c r="AV227" i="10"/>
  <c r="AV247" i="10"/>
  <c r="AV246" i="10"/>
  <c r="AV244" i="10"/>
  <c r="AV242" i="10"/>
  <c r="AV241" i="10"/>
  <c r="AV239" i="10"/>
  <c r="AV238" i="10"/>
  <c r="AV235" i="10"/>
  <c r="AV229" i="10"/>
  <c r="AV228" i="10"/>
  <c r="AV224" i="10"/>
  <c r="AV223" i="10"/>
  <c r="AV222" i="10"/>
  <c r="AV218" i="10"/>
  <c r="AV219" i="10"/>
  <c r="AV215" i="10"/>
  <c r="AV214" i="10"/>
  <c r="AV213" i="10"/>
  <c r="AV212" i="10"/>
  <c r="AV211" i="10"/>
  <c r="AV210" i="10"/>
  <c r="AV209" i="10"/>
  <c r="AV273" i="10"/>
  <c r="AV275" i="10"/>
  <c r="AV274" i="10"/>
  <c r="AV271" i="10"/>
  <c r="AV270" i="10"/>
  <c r="AV269" i="10"/>
  <c r="AV268" i="10"/>
  <c r="AV272" i="10"/>
  <c r="AV267" i="10"/>
  <c r="AV204" i="10"/>
  <c r="AV259" i="10"/>
  <c r="AV201" i="10"/>
  <c r="AV276" i="10"/>
  <c r="AV264" i="10"/>
  <c r="AV258" i="10"/>
  <c r="AV288" i="10"/>
  <c r="AV289" i="10"/>
  <c r="AV263" i="10"/>
  <c r="AV262" i="10"/>
  <c r="AV261" i="10"/>
  <c r="AV256" i="10"/>
  <c r="AV249" i="10"/>
  <c r="AV248" i="10"/>
  <c r="CL259" i="10" l="1"/>
  <c r="CA259" i="10"/>
  <c r="AK248" i="10"/>
  <c r="CA196" i="10" l="1"/>
  <c r="CD196" i="10" s="1"/>
  <c r="CA197" i="10"/>
  <c r="CD197" i="10" s="1"/>
  <c r="CA185" i="10"/>
  <c r="CD185" i="10" s="1"/>
  <c r="CA186" i="10"/>
  <c r="CE186" i="10" s="1"/>
  <c r="CF186" i="10" s="1"/>
  <c r="CA189" i="10"/>
  <c r="CD189" i="10" s="1"/>
  <c r="CA190" i="10"/>
  <c r="CD190" i="10" s="1"/>
  <c r="CA191" i="10"/>
  <c r="CD191" i="10" s="1"/>
  <c r="CA195" i="10"/>
  <c r="CE195" i="10" s="1"/>
  <c r="CF195" i="10" s="1"/>
  <c r="BS196" i="10"/>
  <c r="BT196" i="10"/>
  <c r="BS197" i="10"/>
  <c r="BT197" i="10"/>
  <c r="BS185" i="10"/>
  <c r="BT185" i="10"/>
  <c r="BS186" i="10"/>
  <c r="BT186" i="10"/>
  <c r="BS189" i="10"/>
  <c r="BT189" i="10"/>
  <c r="BS190" i="10"/>
  <c r="BT190" i="10"/>
  <c r="BS191" i="10"/>
  <c r="BT191" i="10"/>
  <c r="BS195" i="10"/>
  <c r="BT195" i="10"/>
  <c r="BS206" i="10"/>
  <c r="BT206" i="10"/>
  <c r="BS205" i="10"/>
  <c r="BT205" i="10"/>
  <c r="BS208" i="10"/>
  <c r="BT208" i="10"/>
  <c r="BS207" i="10"/>
  <c r="BT207" i="10"/>
  <c r="BM196" i="10"/>
  <c r="BN196" i="10" s="1"/>
  <c r="BO196" i="10"/>
  <c r="BM197" i="10"/>
  <c r="BN197" i="10" s="1"/>
  <c r="BO197" i="10"/>
  <c r="BM185" i="10"/>
  <c r="BN185" i="10" s="1"/>
  <c r="BO185" i="10"/>
  <c r="BM186" i="10"/>
  <c r="BN186" i="10" s="1"/>
  <c r="BO186" i="10"/>
  <c r="BM189" i="10"/>
  <c r="BN189" i="10" s="1"/>
  <c r="BO189" i="10"/>
  <c r="BM190" i="10"/>
  <c r="BN190" i="10" s="1"/>
  <c r="BO190" i="10"/>
  <c r="BM191" i="10"/>
  <c r="BN191" i="10" s="1"/>
  <c r="BO191" i="10"/>
  <c r="BM195" i="10"/>
  <c r="BN195" i="10" s="1"/>
  <c r="BO195" i="10"/>
  <c r="BK194" i="10"/>
  <c r="BK196" i="10"/>
  <c r="BK197" i="10"/>
  <c r="BK185" i="10"/>
  <c r="BK186" i="10"/>
  <c r="BK189" i="10"/>
  <c r="BK190" i="10"/>
  <c r="BK191" i="10"/>
  <c r="BK195" i="10"/>
  <c r="BE196" i="10"/>
  <c r="BE197" i="10"/>
  <c r="BE185" i="10"/>
  <c r="BE186" i="10"/>
  <c r="BE189" i="10"/>
  <c r="BE190" i="10"/>
  <c r="BE191" i="10"/>
  <c r="AN185" i="10"/>
  <c r="AK185" i="10"/>
  <c r="AL186" i="10"/>
  <c r="AM186" i="10" s="1"/>
  <c r="AK186" i="10"/>
  <c r="AN189" i="10"/>
  <c r="AK189" i="10"/>
  <c r="AI190" i="10"/>
  <c r="AK190" i="10"/>
  <c r="AN191" i="10"/>
  <c r="AK191" i="10"/>
  <c r="AL195" i="10"/>
  <c r="AM195" i="10" s="1"/>
  <c r="AK195" i="10"/>
  <c r="AI186" i="10" l="1"/>
  <c r="AN186" i="10"/>
  <c r="AI195" i="10"/>
  <c r="AN195" i="10"/>
  <c r="BF185" i="10"/>
  <c r="BG185" i="10" s="1"/>
  <c r="AL190" i="10"/>
  <c r="AM190" i="10" s="1"/>
  <c r="AI189" i="10"/>
  <c r="AL185" i="10"/>
  <c r="AM185" i="10" s="1"/>
  <c r="AL191" i="10"/>
  <c r="AM191" i="10" s="1"/>
  <c r="BF195" i="10"/>
  <c r="BG195" i="10" s="1"/>
  <c r="CD186" i="10"/>
  <c r="AL189" i="10"/>
  <c r="AM189" i="10" s="1"/>
  <c r="AO195" i="10"/>
  <c r="AP195" i="10" s="1"/>
  <c r="AI191" i="10"/>
  <c r="AO189" i="10"/>
  <c r="AP189" i="10" s="1"/>
  <c r="AO186" i="10"/>
  <c r="AP186" i="10" s="1"/>
  <c r="AI185" i="10"/>
  <c r="CE191" i="10"/>
  <c r="CF191" i="10" s="1"/>
  <c r="CE185" i="10"/>
  <c r="CF185" i="10" s="1"/>
  <c r="CD195" i="10"/>
  <c r="BF197" i="10"/>
  <c r="BG197" i="10" s="1"/>
  <c r="CE189" i="10"/>
  <c r="CF189" i="10" s="1"/>
  <c r="CE196" i="10"/>
  <c r="CF196" i="10" s="1"/>
  <c r="CG195" i="10"/>
  <c r="CG186" i="10"/>
  <c r="AO190" i="10"/>
  <c r="AP190" i="10" s="1"/>
  <c r="CE190" i="10"/>
  <c r="CF190" i="10" s="1"/>
  <c r="CE197" i="10"/>
  <c r="CF197" i="10" s="1"/>
  <c r="AO191" i="10"/>
  <c r="AP191" i="10" s="1"/>
  <c r="AN190" i="10"/>
  <c r="AO185" i="10"/>
  <c r="AP185" i="10" s="1"/>
  <c r="BF191" i="10"/>
  <c r="BG191" i="10" s="1"/>
  <c r="BF190" i="10"/>
  <c r="BG190" i="10" s="1"/>
  <c r="BF186" i="10"/>
  <c r="BG186" i="10" s="1"/>
  <c r="BF189" i="10"/>
  <c r="BG189" i="10" s="1"/>
  <c r="BF196" i="10"/>
  <c r="BG196" i="10" s="1"/>
  <c r="BE195" i="10"/>
  <c r="CG196" i="10" l="1"/>
  <c r="CG191" i="10"/>
  <c r="CG189" i="10"/>
  <c r="CG185" i="10"/>
  <c r="CG197" i="10"/>
  <c r="CG190" i="10"/>
  <c r="P194" i="10"/>
  <c r="P196" i="10"/>
  <c r="P197" i="10"/>
  <c r="P185" i="10"/>
  <c r="P186" i="10"/>
  <c r="P189" i="10"/>
  <c r="P190" i="10"/>
  <c r="P191" i="10"/>
  <c r="P195" i="10"/>
  <c r="P206" i="10"/>
  <c r="P205" i="10"/>
  <c r="P208" i="10"/>
  <c r="P207" i="10"/>
  <c r="P251" i="10"/>
  <c r="P260" i="10"/>
  <c r="P266" i="10"/>
  <c r="P287" i="10"/>
  <c r="P250" i="10"/>
  <c r="P286" i="10"/>
  <c r="P198" i="10"/>
  <c r="P202" i="10"/>
  <c r="P203" i="10"/>
  <c r="P199" i="10"/>
  <c r="P226" i="10"/>
  <c r="P231" i="10"/>
  <c r="P236" i="10"/>
  <c r="P245" i="10"/>
  <c r="P221" i="10"/>
  <c r="P237" i="10"/>
  <c r="P252" i="10"/>
  <c r="P254" i="10"/>
  <c r="P257" i="10"/>
  <c r="P283" i="10"/>
  <c r="P284" i="10"/>
  <c r="P253" i="10"/>
  <c r="P255" i="10"/>
  <c r="P285" i="10"/>
  <c r="AK196" i="10" l="1"/>
  <c r="AL196" i="10"/>
  <c r="AM196" i="10" s="1"/>
  <c r="AN196" i="10" l="1"/>
  <c r="AO196" i="10"/>
  <c r="AP196" i="10" s="1"/>
  <c r="AI196" i="10"/>
  <c r="Y74" i="25"/>
  <c r="Y73" i="25"/>
  <c r="Y72" i="25"/>
  <c r="Y71" i="25"/>
  <c r="Y70" i="25"/>
  <c r="Y5" i="25"/>
  <c r="Z74" i="25"/>
  <c r="Z73" i="25"/>
  <c r="Z72" i="25"/>
  <c r="Z71" i="25"/>
  <c r="Z70" i="25"/>
  <c r="Z69" i="25"/>
  <c r="Y69" i="25" s="1"/>
  <c r="X69" i="25" s="1"/>
  <c r="Z68" i="25"/>
  <c r="Y68" i="25" s="1"/>
  <c r="X68" i="25" s="1"/>
  <c r="Z67" i="25"/>
  <c r="Y67" i="25" s="1"/>
  <c r="X67" i="25" s="1"/>
  <c r="Z65" i="25"/>
  <c r="Y65" i="25" s="1"/>
  <c r="X65" i="25" s="1"/>
  <c r="Z64" i="25"/>
  <c r="Y64" i="25" s="1"/>
  <c r="X64" i="25" s="1"/>
  <c r="Z63" i="25"/>
  <c r="Y63" i="25" s="1"/>
  <c r="X63" i="25" s="1"/>
  <c r="Z5" i="25"/>
  <c r="X70" i="25" l="1"/>
  <c r="X74" i="25"/>
  <c r="X5" i="25"/>
  <c r="X73" i="25"/>
  <c r="X71" i="25"/>
  <c r="X72" i="25"/>
  <c r="F12" i="28"/>
  <c r="H12" i="28" l="1"/>
  <c r="C30" i="28"/>
  <c r="CJ256" i="10"/>
  <c r="CJ261" i="10"/>
  <c r="CJ262" i="10"/>
  <c r="CJ263" i="10"/>
  <c r="CJ289" i="10"/>
  <c r="CJ288" i="10"/>
  <c r="CJ258" i="10"/>
  <c r="CJ264" i="10"/>
  <c r="CJ276" i="10"/>
  <c r="CJ201" i="10"/>
  <c r="CJ259" i="10"/>
  <c r="CJ204" i="10"/>
  <c r="CJ267" i="10"/>
  <c r="CJ272" i="10"/>
  <c r="CJ268" i="10"/>
  <c r="CJ269" i="10"/>
  <c r="CJ270" i="10"/>
  <c r="CJ271" i="10"/>
  <c r="CJ274" i="10"/>
  <c r="CJ275" i="10"/>
  <c r="CJ273" i="10"/>
  <c r="CJ209" i="10"/>
  <c r="CJ210" i="10"/>
  <c r="CJ211" i="10"/>
  <c r="CJ212" i="10"/>
  <c r="CJ213" i="10"/>
  <c r="CJ214" i="10"/>
  <c r="CJ215" i="10"/>
  <c r="CJ219" i="10"/>
  <c r="CJ218" i="10"/>
  <c r="CJ222" i="10"/>
  <c r="CJ223" i="10"/>
  <c r="CJ224" i="10"/>
  <c r="CJ228" i="10"/>
  <c r="CJ229" i="10"/>
  <c r="CJ235" i="10"/>
  <c r="CJ238" i="10"/>
  <c r="CJ239" i="10"/>
  <c r="CJ241" i="10"/>
  <c r="CJ242" i="10"/>
  <c r="CJ244" i="10"/>
  <c r="CJ246" i="10"/>
  <c r="CJ247" i="10"/>
  <c r="CJ227" i="10"/>
  <c r="CJ233" i="10"/>
  <c r="CJ234" i="10"/>
  <c r="CJ243" i="10"/>
  <c r="CJ85" i="10"/>
  <c r="CJ86" i="10"/>
  <c r="CJ102" i="10"/>
  <c r="CJ200" i="10"/>
  <c r="CJ225" i="10"/>
  <c r="CJ230" i="10"/>
  <c r="CJ76" i="10"/>
  <c r="CJ78" i="10"/>
  <c r="CJ74" i="10"/>
  <c r="CJ75" i="10"/>
  <c r="CJ77" i="10"/>
  <c r="CJ79" i="10"/>
  <c r="CJ80" i="10"/>
  <c r="CJ81" i="10"/>
  <c r="CJ82" i="10"/>
  <c r="CJ83" i="10"/>
  <c r="CJ84" i="10"/>
  <c r="CJ87" i="10"/>
  <c r="CJ89" i="10"/>
  <c r="CJ90" i="10"/>
  <c r="CJ92" i="10"/>
  <c r="CJ95" i="10"/>
  <c r="CJ96" i="10"/>
  <c r="CJ99" i="10"/>
  <c r="CJ101" i="10"/>
  <c r="CJ103" i="10"/>
  <c r="CJ104" i="10"/>
  <c r="CJ105" i="10"/>
  <c r="CJ106" i="10"/>
  <c r="CJ108" i="10"/>
  <c r="CJ88" i="10"/>
  <c r="CJ91" i="10"/>
  <c r="CJ93" i="10"/>
  <c r="CJ94" i="10"/>
  <c r="CJ97" i="10"/>
  <c r="CJ100" i="10"/>
  <c r="CJ107" i="10"/>
  <c r="CJ98" i="10"/>
  <c r="CJ217" i="10"/>
  <c r="CJ216" i="10"/>
  <c r="CJ277" i="10"/>
  <c r="CJ278" i="10"/>
  <c r="CJ281" i="10"/>
  <c r="CJ282" i="10"/>
  <c r="CJ265" i="10"/>
  <c r="CJ280" i="10"/>
  <c r="CJ279" i="10"/>
  <c r="CJ187" i="10"/>
  <c r="CJ193" i="10"/>
  <c r="CA256" i="10"/>
  <c r="CD256" i="10" s="1"/>
  <c r="CA261" i="10"/>
  <c r="CD261" i="10" s="1"/>
  <c r="CA262" i="10"/>
  <c r="CA263" i="10"/>
  <c r="CE263" i="10" s="1"/>
  <c r="CF263" i="10" s="1"/>
  <c r="CA289" i="10"/>
  <c r="CA288" i="10"/>
  <c r="CD288" i="10" s="1"/>
  <c r="CD175" i="10"/>
  <c r="CA169" i="10"/>
  <c r="CA170" i="10"/>
  <c r="CD170" i="10" s="1"/>
  <c r="CA172" i="10"/>
  <c r="CE172" i="10" s="1"/>
  <c r="CF172" i="10" s="1"/>
  <c r="CA173" i="10"/>
  <c r="CE173" i="10" s="1"/>
  <c r="CF173" i="10" s="1"/>
  <c r="CA174" i="10"/>
  <c r="CA176" i="10"/>
  <c r="CD176" i="10" s="1"/>
  <c r="CA179" i="10"/>
  <c r="CA181" i="10"/>
  <c r="CD181" i="10" s="1"/>
  <c r="CA178" i="10"/>
  <c r="CD178" i="10" s="1"/>
  <c r="CA177" i="10"/>
  <c r="CD177" i="10" s="1"/>
  <c r="CA180" i="10"/>
  <c r="CA258" i="10"/>
  <c r="CA264" i="10"/>
  <c r="CA276" i="10"/>
  <c r="CD276" i="10" s="1"/>
  <c r="CA201" i="10"/>
  <c r="CE259" i="10"/>
  <c r="CF259" i="10" s="1"/>
  <c r="CA204" i="10"/>
  <c r="CA267" i="10"/>
  <c r="CD267" i="10" s="1"/>
  <c r="CA272" i="10"/>
  <c r="CD272" i="10" s="1"/>
  <c r="CA268" i="10"/>
  <c r="CE268" i="10" s="1"/>
  <c r="CF268" i="10" s="1"/>
  <c r="CA269" i="10"/>
  <c r="CA270" i="10"/>
  <c r="CD270" i="10" s="1"/>
  <c r="CA271" i="10"/>
  <c r="CA274" i="10"/>
  <c r="CE274" i="10" s="1"/>
  <c r="CF274" i="10" s="1"/>
  <c r="CA275" i="10"/>
  <c r="CD275" i="10" s="1"/>
  <c r="CA273" i="10"/>
  <c r="CD273" i="10" s="1"/>
  <c r="CA209" i="10"/>
  <c r="CA210" i="10"/>
  <c r="CE210" i="10" s="1"/>
  <c r="CF210" i="10" s="1"/>
  <c r="CA211" i="10"/>
  <c r="CA212" i="10"/>
  <c r="CD212" i="10" s="1"/>
  <c r="CA213" i="10"/>
  <c r="CA214" i="10"/>
  <c r="CE214" i="10" s="1"/>
  <c r="CF214" i="10" s="1"/>
  <c r="CA215" i="10"/>
  <c r="CA219" i="10"/>
  <c r="CD219" i="10" s="1"/>
  <c r="CA218" i="10"/>
  <c r="CE218" i="10" s="1"/>
  <c r="CF218" i="10" s="1"/>
  <c r="CA222" i="10"/>
  <c r="CE222" i="10" s="1"/>
  <c r="CF222" i="10" s="1"/>
  <c r="CA223" i="10"/>
  <c r="CA224" i="10"/>
  <c r="CD224" i="10" s="1"/>
  <c r="CA228" i="10"/>
  <c r="CA229" i="10"/>
  <c r="CE229" i="10" s="1"/>
  <c r="CF229" i="10" s="1"/>
  <c r="CA235" i="10"/>
  <c r="CD235" i="10" s="1"/>
  <c r="CA238" i="10"/>
  <c r="CD238" i="10" s="1"/>
  <c r="CA239" i="10"/>
  <c r="CA241" i="10"/>
  <c r="CE241" i="10" s="1"/>
  <c r="CF241" i="10" s="1"/>
  <c r="CA242" i="10"/>
  <c r="CA244" i="10"/>
  <c r="CD244" i="10" s="1"/>
  <c r="CA246" i="10"/>
  <c r="CA247" i="10"/>
  <c r="CE247" i="10" s="1"/>
  <c r="CF247" i="10" s="1"/>
  <c r="CA227" i="10"/>
  <c r="CA233" i="10"/>
  <c r="CD233" i="10" s="1"/>
  <c r="CA234" i="10"/>
  <c r="CE234" i="10" s="1"/>
  <c r="CF234" i="10" s="1"/>
  <c r="CA243" i="10"/>
  <c r="CE243" i="10" s="1"/>
  <c r="CF243" i="10" s="1"/>
  <c r="CA220" i="10"/>
  <c r="CA85" i="10"/>
  <c r="CE85" i="10" s="1"/>
  <c r="CF85" i="10" s="1"/>
  <c r="CA86" i="10"/>
  <c r="CD86" i="10" s="1"/>
  <c r="CA102" i="10"/>
  <c r="CD102" i="10" s="1"/>
  <c r="CA200" i="10"/>
  <c r="CA225" i="10"/>
  <c r="CE225" i="10" s="1"/>
  <c r="CF225" i="10" s="1"/>
  <c r="CA230" i="10"/>
  <c r="CA76" i="10"/>
  <c r="CD76" i="10" s="1"/>
  <c r="CA78" i="10"/>
  <c r="CA74" i="10"/>
  <c r="CE74" i="10" s="1"/>
  <c r="CF74" i="10" s="1"/>
  <c r="CA75" i="10"/>
  <c r="CD75" i="10" s="1"/>
  <c r="CA77" i="10"/>
  <c r="CD77" i="10" s="1"/>
  <c r="CA79" i="10"/>
  <c r="CE79" i="10" s="1"/>
  <c r="CF79" i="10" s="1"/>
  <c r="CA80" i="10"/>
  <c r="CE80" i="10" s="1"/>
  <c r="CF80" i="10" s="1"/>
  <c r="CA81" i="10"/>
  <c r="CA82" i="10"/>
  <c r="CD82" i="10" s="1"/>
  <c r="CA83" i="10"/>
  <c r="CA84" i="10"/>
  <c r="CE84" i="10" s="1"/>
  <c r="CF84" i="10" s="1"/>
  <c r="CA87" i="10"/>
  <c r="CD87" i="10" s="1"/>
  <c r="CA89" i="10"/>
  <c r="CD89" i="10" s="1"/>
  <c r="CA90" i="10"/>
  <c r="CE90" i="10" s="1"/>
  <c r="CF90" i="10" s="1"/>
  <c r="CA92" i="10"/>
  <c r="CE92" i="10" s="1"/>
  <c r="CF92" i="10" s="1"/>
  <c r="CA95" i="10"/>
  <c r="CA96" i="10"/>
  <c r="CD96" i="10" s="1"/>
  <c r="CA99" i="10"/>
  <c r="CD99" i="10" s="1"/>
  <c r="CA101" i="10"/>
  <c r="CD101" i="10" s="1"/>
  <c r="CA103" i="10"/>
  <c r="CD103" i="10" s="1"/>
  <c r="CA104" i="10"/>
  <c r="CD104" i="10" s="1"/>
  <c r="CA105" i="10"/>
  <c r="CD105" i="10" s="1"/>
  <c r="CA106" i="10"/>
  <c r="CD106" i="10" s="1"/>
  <c r="CA108" i="10"/>
  <c r="CD108" i="10" s="1"/>
  <c r="CA88" i="10"/>
  <c r="CD88" i="10" s="1"/>
  <c r="CA91" i="10"/>
  <c r="CD91" i="10" s="1"/>
  <c r="CA93" i="10"/>
  <c r="CD93" i="10" s="1"/>
  <c r="CA94" i="10"/>
  <c r="CD94" i="10" s="1"/>
  <c r="CA97" i="10"/>
  <c r="CD97" i="10" s="1"/>
  <c r="CA100" i="10"/>
  <c r="CD100" i="10" s="1"/>
  <c r="CA107" i="10"/>
  <c r="CD107" i="10" s="1"/>
  <c r="CA98" i="10"/>
  <c r="CD98" i="10" s="1"/>
  <c r="CA217" i="10"/>
  <c r="CD217" i="10" s="1"/>
  <c r="CE217" i="10" s="1"/>
  <c r="CA216" i="10"/>
  <c r="CE216" i="10" s="1"/>
  <c r="CA277" i="10"/>
  <c r="CD277" i="10" s="1"/>
  <c r="CE277" i="10" s="1"/>
  <c r="CA278" i="10"/>
  <c r="CD278" i="10" s="1"/>
  <c r="CE278" i="10" s="1"/>
  <c r="CA281" i="10"/>
  <c r="CD281" i="10" s="1"/>
  <c r="CE281" i="10" s="1"/>
  <c r="CA282" i="10"/>
  <c r="CD282" i="10" s="1"/>
  <c r="CE282" i="10" s="1"/>
  <c r="CA265" i="10"/>
  <c r="CE265" i="10" s="1"/>
  <c r="CG265" i="10" s="1"/>
  <c r="CA280" i="10"/>
  <c r="CE280" i="10" s="1"/>
  <c r="CA279" i="10"/>
  <c r="CE279" i="10" s="1"/>
  <c r="CG279" i="10" s="1"/>
  <c r="CA187" i="10"/>
  <c r="CD187" i="10" s="1"/>
  <c r="CE187" i="10" s="1"/>
  <c r="CF187" i="10" s="1"/>
  <c r="CA193" i="10"/>
  <c r="CD193" i="10" s="1"/>
  <c r="CE193" i="10" s="1"/>
  <c r="CF193" i="10" s="1"/>
  <c r="CA184" i="10"/>
  <c r="CA182" i="10"/>
  <c r="CE182" i="10" s="1"/>
  <c r="CA183" i="10"/>
  <c r="CA188" i="10"/>
  <c r="CE188" i="10" s="1"/>
  <c r="CA192" i="10"/>
  <c r="CA194" i="10"/>
  <c r="CA206" i="10"/>
  <c r="CD206" i="10" s="1"/>
  <c r="CE206" i="10" s="1"/>
  <c r="CF206" i="10" s="1"/>
  <c r="CA205" i="10"/>
  <c r="CD205" i="10" s="1"/>
  <c r="CA208" i="10"/>
  <c r="CD208" i="10" s="1"/>
  <c r="CA207" i="10"/>
  <c r="CD207" i="10" s="1"/>
  <c r="CA251" i="10"/>
  <c r="CD251" i="10" s="1"/>
  <c r="CE251" i="10" s="1"/>
  <c r="CF251" i="10" s="1"/>
  <c r="CA260" i="10"/>
  <c r="CD260" i="10" s="1"/>
  <c r="CE260" i="10" s="1"/>
  <c r="CF260" i="10" s="1"/>
  <c r="CA266" i="10"/>
  <c r="CD266" i="10" s="1"/>
  <c r="CE266" i="10" s="1"/>
  <c r="CF266" i="10" s="1"/>
  <c r="CA287" i="10"/>
  <c r="CD287" i="10" s="1"/>
  <c r="CE287" i="10" s="1"/>
  <c r="CF287" i="10" s="1"/>
  <c r="CA250" i="10"/>
  <c r="CD250" i="10" s="1"/>
  <c r="CA286" i="10"/>
  <c r="CD286" i="10" s="1"/>
  <c r="CA198" i="10"/>
  <c r="CD198" i="10" s="1"/>
  <c r="CE198" i="10" s="1"/>
  <c r="CF198" i="10" s="1"/>
  <c r="CA202" i="10"/>
  <c r="CD202" i="10" s="1"/>
  <c r="CE202" i="10" s="1"/>
  <c r="CF202" i="10" s="1"/>
  <c r="CA203" i="10"/>
  <c r="CD203" i="10" s="1"/>
  <c r="CE203" i="10" s="1"/>
  <c r="CF203" i="10" s="1"/>
  <c r="CA199" i="10"/>
  <c r="CA226" i="10"/>
  <c r="CD226" i="10" s="1"/>
  <c r="CE226" i="10" s="1"/>
  <c r="CF226" i="10" s="1"/>
  <c r="CA231" i="10"/>
  <c r="CD231" i="10" s="1"/>
  <c r="CE231" i="10" s="1"/>
  <c r="CF231" i="10" s="1"/>
  <c r="CA236" i="10"/>
  <c r="CE236" i="10" s="1"/>
  <c r="CA245" i="10"/>
  <c r="CE245" i="10" s="1"/>
  <c r="CF245" i="10" s="1"/>
  <c r="CA221" i="10"/>
  <c r="CE221" i="10" s="1"/>
  <c r="CA237" i="10"/>
  <c r="CE237" i="10" s="1"/>
  <c r="CF237" i="10" s="1"/>
  <c r="CA252" i="10"/>
  <c r="CD252" i="10" s="1"/>
  <c r="CE252" i="10" s="1"/>
  <c r="CF252" i="10" s="1"/>
  <c r="CA254" i="10"/>
  <c r="CD254" i="10" s="1"/>
  <c r="CE254" i="10" s="1"/>
  <c r="CF254" i="10" s="1"/>
  <c r="CA257" i="10"/>
  <c r="CD257" i="10" s="1"/>
  <c r="CE257" i="10" s="1"/>
  <c r="CF257" i="10" s="1"/>
  <c r="CA283" i="10"/>
  <c r="CD283" i="10" s="1"/>
  <c r="CE283" i="10" s="1"/>
  <c r="CF283" i="10" s="1"/>
  <c r="CA284" i="10"/>
  <c r="CE284" i="10" s="1"/>
  <c r="CA253" i="10"/>
  <c r="CE253" i="10" s="1"/>
  <c r="CF253" i="10" s="1"/>
  <c r="CA255" i="10"/>
  <c r="CA285" i="10"/>
  <c r="BV248" i="10"/>
  <c r="BV249" i="10"/>
  <c r="BV256" i="10"/>
  <c r="BV261" i="10"/>
  <c r="BV262" i="10"/>
  <c r="BV263" i="10"/>
  <c r="BV289" i="10"/>
  <c r="BV288" i="10"/>
  <c r="BV171" i="10"/>
  <c r="BV175" i="10"/>
  <c r="BV169" i="10"/>
  <c r="BV170" i="10"/>
  <c r="BV172" i="10"/>
  <c r="BV173" i="10"/>
  <c r="BV174" i="10"/>
  <c r="BV176" i="10"/>
  <c r="BV179" i="10"/>
  <c r="BV181" i="10"/>
  <c r="BV178" i="10"/>
  <c r="BV177" i="10"/>
  <c r="BV180" i="10"/>
  <c r="BV258" i="10"/>
  <c r="BV264" i="10"/>
  <c r="BV276" i="10"/>
  <c r="BV201" i="10"/>
  <c r="BV259" i="10"/>
  <c r="BV204" i="10"/>
  <c r="BV267" i="10"/>
  <c r="BV272" i="10"/>
  <c r="BV268" i="10"/>
  <c r="BV269" i="10"/>
  <c r="BV270" i="10"/>
  <c r="BV271" i="10"/>
  <c r="BV274" i="10"/>
  <c r="BV275" i="10"/>
  <c r="BV273" i="10"/>
  <c r="BV209" i="10"/>
  <c r="BV210" i="10"/>
  <c r="BV211" i="10"/>
  <c r="BV212" i="10"/>
  <c r="BV213" i="10"/>
  <c r="BV214" i="10"/>
  <c r="BV215" i="10"/>
  <c r="BV219" i="10"/>
  <c r="BV218" i="10"/>
  <c r="BV222" i="10"/>
  <c r="BV223" i="10"/>
  <c r="BV224" i="10"/>
  <c r="BV228" i="10"/>
  <c r="BV229" i="10"/>
  <c r="BV235" i="10"/>
  <c r="BV238" i="10"/>
  <c r="BV239" i="10"/>
  <c r="BV241" i="10"/>
  <c r="BV242" i="10"/>
  <c r="BV244" i="10"/>
  <c r="BV246" i="10"/>
  <c r="BV247" i="10"/>
  <c r="BV227" i="10"/>
  <c r="BV233" i="10"/>
  <c r="BV234" i="10"/>
  <c r="BV243" i="10"/>
  <c r="BV220" i="10"/>
  <c r="BV85" i="10"/>
  <c r="BV86" i="10"/>
  <c r="BV102" i="10"/>
  <c r="BV200" i="10"/>
  <c r="BV225" i="10"/>
  <c r="BV230" i="10"/>
  <c r="BV76" i="10"/>
  <c r="BV78" i="10"/>
  <c r="BV74" i="10"/>
  <c r="BV75" i="10"/>
  <c r="BV77" i="10"/>
  <c r="BV79" i="10"/>
  <c r="BV80" i="10"/>
  <c r="BV81" i="10"/>
  <c r="BV82" i="10"/>
  <c r="BV83" i="10"/>
  <c r="BV84" i="10"/>
  <c r="BV87" i="10"/>
  <c r="BV89" i="10"/>
  <c r="BV90" i="10"/>
  <c r="BV92" i="10"/>
  <c r="BV95" i="10"/>
  <c r="BV96" i="10"/>
  <c r="BV99" i="10"/>
  <c r="BV101" i="10"/>
  <c r="BV103" i="10"/>
  <c r="BV104" i="10"/>
  <c r="BV105" i="10"/>
  <c r="BV106" i="10"/>
  <c r="BV108" i="10"/>
  <c r="BV88" i="10"/>
  <c r="BV91" i="10"/>
  <c r="BV93" i="10"/>
  <c r="BV94" i="10"/>
  <c r="BV97" i="10"/>
  <c r="BV100" i="10"/>
  <c r="BV107" i="10"/>
  <c r="BV98" i="10"/>
  <c r="BV217" i="10"/>
  <c r="BV216" i="10"/>
  <c r="BV277" i="10"/>
  <c r="BV278" i="10"/>
  <c r="BV281" i="10"/>
  <c r="BV282" i="10"/>
  <c r="BV265" i="10"/>
  <c r="BV280" i="10"/>
  <c r="BV279" i="10"/>
  <c r="BV187" i="10"/>
  <c r="BV193" i="10"/>
  <c r="BV182" i="10"/>
  <c r="BV183" i="10"/>
  <c r="BS249" i="10"/>
  <c r="BT249" i="10"/>
  <c r="BS256" i="10"/>
  <c r="BT256" i="10"/>
  <c r="BS261" i="10"/>
  <c r="BT261" i="10"/>
  <c r="BS262" i="10"/>
  <c r="BT262" i="10"/>
  <c r="BS263" i="10"/>
  <c r="BT263" i="10"/>
  <c r="BS289" i="10"/>
  <c r="BT289" i="10"/>
  <c r="BS288" i="10"/>
  <c r="BT288" i="10"/>
  <c r="BS171" i="10"/>
  <c r="BT171" i="10"/>
  <c r="BS175" i="10"/>
  <c r="BT175" i="10"/>
  <c r="BS169" i="10"/>
  <c r="BT169" i="10"/>
  <c r="BS170" i="10"/>
  <c r="BT170" i="10"/>
  <c r="BS172" i="10"/>
  <c r="BT172" i="10"/>
  <c r="BS173" i="10"/>
  <c r="BT173" i="10"/>
  <c r="BS174" i="10"/>
  <c r="BT174" i="10"/>
  <c r="BS176" i="10"/>
  <c r="BT176" i="10"/>
  <c r="BS179" i="10"/>
  <c r="BT179" i="10"/>
  <c r="BS181" i="10"/>
  <c r="BT181" i="10"/>
  <c r="BS178" i="10"/>
  <c r="BT178" i="10"/>
  <c r="BS177" i="10"/>
  <c r="BT177" i="10"/>
  <c r="BS180" i="10"/>
  <c r="BT180" i="10"/>
  <c r="BS258" i="10"/>
  <c r="BT258" i="10"/>
  <c r="BS264" i="10"/>
  <c r="BT264" i="10"/>
  <c r="BS276" i="10"/>
  <c r="BT276" i="10"/>
  <c r="BS201" i="10"/>
  <c r="BT201" i="10"/>
  <c r="BS259" i="10"/>
  <c r="BT259" i="10"/>
  <c r="BS204" i="10"/>
  <c r="BT204" i="10"/>
  <c r="BS267" i="10"/>
  <c r="BT267" i="10"/>
  <c r="BS272" i="10"/>
  <c r="BT272" i="10"/>
  <c r="BS268" i="10"/>
  <c r="BT268" i="10"/>
  <c r="BS269" i="10"/>
  <c r="BT269" i="10"/>
  <c r="BS270" i="10"/>
  <c r="BT270" i="10"/>
  <c r="BS271" i="10"/>
  <c r="BT271" i="10"/>
  <c r="BS274" i="10"/>
  <c r="BT274" i="10"/>
  <c r="BS275" i="10"/>
  <c r="BT275" i="10"/>
  <c r="BS273" i="10"/>
  <c r="BT273" i="10"/>
  <c r="BS209" i="10"/>
  <c r="BT209" i="10"/>
  <c r="BS210" i="10"/>
  <c r="BT210" i="10"/>
  <c r="BS211" i="10"/>
  <c r="BT211" i="10"/>
  <c r="BS212" i="10"/>
  <c r="BT212" i="10"/>
  <c r="BS213" i="10"/>
  <c r="BT213" i="10"/>
  <c r="BS214" i="10"/>
  <c r="BT214" i="10"/>
  <c r="BS215" i="10"/>
  <c r="BT215" i="10"/>
  <c r="BS219" i="10"/>
  <c r="BT219" i="10"/>
  <c r="BS218" i="10"/>
  <c r="BT218" i="10"/>
  <c r="BS222" i="10"/>
  <c r="BT222" i="10"/>
  <c r="BS223" i="10"/>
  <c r="BT223" i="10"/>
  <c r="BS224" i="10"/>
  <c r="BT224" i="10"/>
  <c r="BS228" i="10"/>
  <c r="BT228" i="10"/>
  <c r="BS229" i="10"/>
  <c r="BT229" i="10"/>
  <c r="BS235" i="10"/>
  <c r="BT235" i="10"/>
  <c r="BS238" i="10"/>
  <c r="BT238" i="10"/>
  <c r="BS239" i="10"/>
  <c r="BT239" i="10"/>
  <c r="BS241" i="10"/>
  <c r="BT241" i="10"/>
  <c r="BS242" i="10"/>
  <c r="BT242" i="10"/>
  <c r="BS244" i="10"/>
  <c r="BT244" i="10"/>
  <c r="BS246" i="10"/>
  <c r="BT246" i="10"/>
  <c r="BS247" i="10"/>
  <c r="BT247" i="10"/>
  <c r="BS227" i="10"/>
  <c r="BT227" i="10"/>
  <c r="BS233" i="10"/>
  <c r="BT233" i="10"/>
  <c r="BS234" i="10"/>
  <c r="BT234" i="10"/>
  <c r="BS243" i="10"/>
  <c r="BT243" i="10"/>
  <c r="BS220" i="10"/>
  <c r="BT220" i="10"/>
  <c r="BS85" i="10"/>
  <c r="BT85" i="10"/>
  <c r="BS86" i="10"/>
  <c r="BT86" i="10"/>
  <c r="BS102" i="10"/>
  <c r="BT102" i="10"/>
  <c r="BS200" i="10"/>
  <c r="BT200" i="10"/>
  <c r="BS225" i="10"/>
  <c r="BT225" i="10"/>
  <c r="BS230" i="10"/>
  <c r="BT230" i="10"/>
  <c r="BS76" i="10"/>
  <c r="BT76" i="10"/>
  <c r="BS78" i="10"/>
  <c r="BT78" i="10"/>
  <c r="BS74" i="10"/>
  <c r="BT74" i="10"/>
  <c r="BS75" i="10"/>
  <c r="BT75" i="10"/>
  <c r="BS77" i="10"/>
  <c r="BT77" i="10"/>
  <c r="BS79" i="10"/>
  <c r="BT79" i="10"/>
  <c r="BS80" i="10"/>
  <c r="BT80" i="10"/>
  <c r="BS81" i="10"/>
  <c r="BT81" i="10"/>
  <c r="BS82" i="10"/>
  <c r="BT82" i="10"/>
  <c r="BS83" i="10"/>
  <c r="BT83" i="10"/>
  <c r="BS84" i="10"/>
  <c r="BT84" i="10"/>
  <c r="BS87" i="10"/>
  <c r="BT87" i="10"/>
  <c r="BS89" i="10"/>
  <c r="BT89" i="10"/>
  <c r="BS90" i="10"/>
  <c r="BT90" i="10"/>
  <c r="BS92" i="10"/>
  <c r="BT92" i="10"/>
  <c r="BS95" i="10"/>
  <c r="BT95" i="10"/>
  <c r="BS96" i="10"/>
  <c r="BT96" i="10"/>
  <c r="BS99" i="10"/>
  <c r="BT99" i="10"/>
  <c r="BS101" i="10"/>
  <c r="BT101" i="10"/>
  <c r="BS103" i="10"/>
  <c r="BT103" i="10"/>
  <c r="BS104" i="10"/>
  <c r="BT104" i="10"/>
  <c r="BS105" i="10"/>
  <c r="BT105" i="10"/>
  <c r="BS106" i="10"/>
  <c r="BT106" i="10"/>
  <c r="BS108" i="10"/>
  <c r="BT108" i="10"/>
  <c r="BS88" i="10"/>
  <c r="BT88" i="10"/>
  <c r="BS91" i="10"/>
  <c r="BT91" i="10"/>
  <c r="BS93" i="10"/>
  <c r="BT93" i="10"/>
  <c r="BS94" i="10"/>
  <c r="BT94" i="10"/>
  <c r="BS97" i="10"/>
  <c r="BT97" i="10"/>
  <c r="BS100" i="10"/>
  <c r="BT100" i="10"/>
  <c r="BS107" i="10"/>
  <c r="BT107" i="10"/>
  <c r="BS98" i="10"/>
  <c r="BT98" i="10"/>
  <c r="BS217" i="10"/>
  <c r="BT217" i="10"/>
  <c r="BS216" i="10"/>
  <c r="BT216" i="10"/>
  <c r="BS277" i="10"/>
  <c r="BT277" i="10"/>
  <c r="BS278" i="10"/>
  <c r="BT278" i="10"/>
  <c r="BS281" i="10"/>
  <c r="BT281" i="10"/>
  <c r="BS282" i="10"/>
  <c r="BT282" i="10"/>
  <c r="BS265" i="10"/>
  <c r="BT265" i="10"/>
  <c r="BS280" i="10"/>
  <c r="BT280" i="10"/>
  <c r="BS279" i="10"/>
  <c r="BT279" i="10"/>
  <c r="BS187" i="10"/>
  <c r="BT187" i="10"/>
  <c r="BS193" i="10"/>
  <c r="BT193" i="10"/>
  <c r="BS184" i="10"/>
  <c r="BT184" i="10"/>
  <c r="BS182" i="10"/>
  <c r="BT182" i="10"/>
  <c r="BS183" i="10"/>
  <c r="BT183" i="10"/>
  <c r="BS188" i="10"/>
  <c r="BT188" i="10"/>
  <c r="BS192" i="10"/>
  <c r="BT192" i="10"/>
  <c r="BS194" i="10"/>
  <c r="BT194" i="10"/>
  <c r="BS251" i="10"/>
  <c r="BT251" i="10"/>
  <c r="BS260" i="10"/>
  <c r="BT260" i="10"/>
  <c r="BS266" i="10"/>
  <c r="BT266" i="10"/>
  <c r="BS287" i="10"/>
  <c r="BT287" i="10"/>
  <c r="BS250" i="10"/>
  <c r="BT250" i="10"/>
  <c r="BS286" i="10"/>
  <c r="BT286" i="10"/>
  <c r="BS198" i="10"/>
  <c r="BT198" i="10"/>
  <c r="BS202" i="10"/>
  <c r="BT202" i="10"/>
  <c r="BS203" i="10"/>
  <c r="BT203" i="10"/>
  <c r="BS199" i="10"/>
  <c r="BT199" i="10"/>
  <c r="BS226" i="10"/>
  <c r="BT226" i="10"/>
  <c r="BS231" i="10"/>
  <c r="BT231" i="10"/>
  <c r="BS236" i="10"/>
  <c r="BT236" i="10"/>
  <c r="BS245" i="10"/>
  <c r="BT245" i="10"/>
  <c r="BS221" i="10"/>
  <c r="BT221" i="10"/>
  <c r="BS237" i="10"/>
  <c r="BT237" i="10"/>
  <c r="BS252" i="10"/>
  <c r="BT252" i="10"/>
  <c r="BS254" i="10"/>
  <c r="BT254" i="10"/>
  <c r="BS257" i="10"/>
  <c r="BT257" i="10"/>
  <c r="BS283" i="10"/>
  <c r="BT283" i="10"/>
  <c r="BS284" i="10"/>
  <c r="BT284" i="10"/>
  <c r="BS253" i="10"/>
  <c r="BT253" i="10"/>
  <c r="BS255" i="10"/>
  <c r="BT255" i="10"/>
  <c r="BS285" i="10"/>
  <c r="BT285" i="10"/>
  <c r="BM249" i="10"/>
  <c r="BN249" i="10"/>
  <c r="BO249" i="10"/>
  <c r="BM256" i="10"/>
  <c r="BN256" i="10"/>
  <c r="BO256" i="10"/>
  <c r="BM261" i="10"/>
  <c r="BN261" i="10" s="1"/>
  <c r="BO261" i="10"/>
  <c r="BM262" i="10"/>
  <c r="BN262" i="10" s="1"/>
  <c r="BO262" i="10"/>
  <c r="BM263" i="10"/>
  <c r="BN263" i="10" s="1"/>
  <c r="BO263" i="10"/>
  <c r="BM289" i="10"/>
  <c r="BN289" i="10" s="1"/>
  <c r="BO289" i="10"/>
  <c r="BM288" i="10"/>
  <c r="BN288" i="10" s="1"/>
  <c r="BO288" i="10"/>
  <c r="BM171" i="10"/>
  <c r="BN171" i="10" s="1"/>
  <c r="BO171" i="10"/>
  <c r="BM175" i="10"/>
  <c r="BN175" i="10" s="1"/>
  <c r="BO175" i="10"/>
  <c r="BM169" i="10"/>
  <c r="BN169" i="10" s="1"/>
  <c r="BO169" i="10"/>
  <c r="BM170" i="10"/>
  <c r="BN170" i="10"/>
  <c r="BO170" i="10"/>
  <c r="BM172" i="10"/>
  <c r="BN172" i="10"/>
  <c r="BO172" i="10"/>
  <c r="BM173" i="10"/>
  <c r="BN173" i="10" s="1"/>
  <c r="BO173" i="10"/>
  <c r="BM174" i="10"/>
  <c r="BN174" i="10" s="1"/>
  <c r="BO174" i="10"/>
  <c r="BM176" i="10"/>
  <c r="BN176" i="10" s="1"/>
  <c r="BO176" i="10"/>
  <c r="BM179" i="10"/>
  <c r="BN179" i="10" s="1"/>
  <c r="BO179" i="10"/>
  <c r="BM181" i="10"/>
  <c r="BN181" i="10" s="1"/>
  <c r="BO181" i="10"/>
  <c r="BM178" i="10"/>
  <c r="BN178" i="10" s="1"/>
  <c r="BO178" i="10"/>
  <c r="BM177" i="10"/>
  <c r="BN177" i="10" s="1"/>
  <c r="BO177" i="10"/>
  <c r="BM180" i="10"/>
  <c r="BN180" i="10" s="1"/>
  <c r="BO180" i="10"/>
  <c r="BM258" i="10"/>
  <c r="BN258" i="10" s="1"/>
  <c r="BO258" i="10"/>
  <c r="BM264" i="10"/>
  <c r="BN264" i="10" s="1"/>
  <c r="BO264" i="10"/>
  <c r="BM276" i="10"/>
  <c r="BN276" i="10" s="1"/>
  <c r="BO276" i="10"/>
  <c r="BM201" i="10"/>
  <c r="BN201" i="10" s="1"/>
  <c r="BO201" i="10"/>
  <c r="BM259" i="10"/>
  <c r="BN259" i="10"/>
  <c r="BO259" i="10"/>
  <c r="BM204" i="10"/>
  <c r="BN204" i="10"/>
  <c r="BO204" i="10"/>
  <c r="BM267" i="10"/>
  <c r="BN267" i="10" s="1"/>
  <c r="BO267" i="10"/>
  <c r="BM272" i="10"/>
  <c r="BN272" i="10" s="1"/>
  <c r="BO272" i="10"/>
  <c r="BM268" i="10"/>
  <c r="BN268" i="10" s="1"/>
  <c r="BO268" i="10"/>
  <c r="BM269" i="10"/>
  <c r="BN269" i="10" s="1"/>
  <c r="BO269" i="10"/>
  <c r="BM270" i="10"/>
  <c r="BN270" i="10" s="1"/>
  <c r="BO270" i="10"/>
  <c r="BM271" i="10"/>
  <c r="BN271" i="10" s="1"/>
  <c r="BO271" i="10"/>
  <c r="BM274" i="10"/>
  <c r="BN274" i="10" s="1"/>
  <c r="BO274" i="10"/>
  <c r="BM275" i="10"/>
  <c r="BN275" i="10" s="1"/>
  <c r="BO275" i="10"/>
  <c r="BM273" i="10"/>
  <c r="BN273" i="10"/>
  <c r="BO273" i="10"/>
  <c r="BM209" i="10"/>
  <c r="BN209" i="10"/>
  <c r="BO209" i="10"/>
  <c r="BM210" i="10"/>
  <c r="BN210" i="10" s="1"/>
  <c r="BO210" i="10"/>
  <c r="BM211" i="10"/>
  <c r="BN211" i="10" s="1"/>
  <c r="BO211" i="10"/>
  <c r="BM212" i="10"/>
  <c r="BN212" i="10" s="1"/>
  <c r="BO212" i="10"/>
  <c r="BM213" i="10"/>
  <c r="BN213" i="10" s="1"/>
  <c r="BO213" i="10"/>
  <c r="BM214" i="10"/>
  <c r="BN214" i="10" s="1"/>
  <c r="BO214" i="10"/>
  <c r="BM215" i="10"/>
  <c r="BN215" i="10" s="1"/>
  <c r="BO215" i="10"/>
  <c r="BM219" i="10"/>
  <c r="BN219" i="10" s="1"/>
  <c r="BO219" i="10"/>
  <c r="BM218" i="10"/>
  <c r="BN218" i="10" s="1"/>
  <c r="BO218" i="10"/>
  <c r="BM222" i="10"/>
  <c r="BN222" i="10" s="1"/>
  <c r="BO222" i="10"/>
  <c r="BM223" i="10"/>
  <c r="BN223" i="10" s="1"/>
  <c r="BO223" i="10"/>
  <c r="BM224" i="10"/>
  <c r="BN224" i="10" s="1"/>
  <c r="BO224" i="10"/>
  <c r="BM228" i="10"/>
  <c r="BN228" i="10" s="1"/>
  <c r="BO228" i="10"/>
  <c r="BM229" i="10"/>
  <c r="BN229" i="10" s="1"/>
  <c r="BO229" i="10"/>
  <c r="BM235" i="10"/>
  <c r="BN235" i="10"/>
  <c r="BO235" i="10"/>
  <c r="BM238" i="10"/>
  <c r="BN238" i="10"/>
  <c r="BO238" i="10"/>
  <c r="BM239" i="10"/>
  <c r="BN239" i="10" s="1"/>
  <c r="BO239" i="10"/>
  <c r="BM241" i="10"/>
  <c r="BN241" i="10" s="1"/>
  <c r="BO241" i="10"/>
  <c r="BM242" i="10"/>
  <c r="BN242" i="10" s="1"/>
  <c r="BO242" i="10"/>
  <c r="BM244" i="10"/>
  <c r="BN244" i="10" s="1"/>
  <c r="BO244" i="10"/>
  <c r="BM246" i="10"/>
  <c r="BN246" i="10" s="1"/>
  <c r="BO246" i="10"/>
  <c r="BM247" i="10"/>
  <c r="BN247" i="10" s="1"/>
  <c r="BO247" i="10"/>
  <c r="BM227" i="10"/>
  <c r="BN227" i="10"/>
  <c r="BO227" i="10"/>
  <c r="BM233" i="10"/>
  <c r="BN233" i="10"/>
  <c r="BO233" i="10"/>
  <c r="BM234" i="10"/>
  <c r="BN234" i="10" s="1"/>
  <c r="BO234" i="10"/>
  <c r="BM243" i="10"/>
  <c r="BN243" i="10" s="1"/>
  <c r="BO243" i="10"/>
  <c r="BM220" i="10"/>
  <c r="BN220" i="10" s="1"/>
  <c r="BO220" i="10"/>
  <c r="BM85" i="10"/>
  <c r="BN85" i="10" s="1"/>
  <c r="BO85" i="10"/>
  <c r="BM86" i="10"/>
  <c r="BN86" i="10" s="1"/>
  <c r="BO86" i="10"/>
  <c r="BM102" i="10"/>
  <c r="BN102" i="10" s="1"/>
  <c r="BO102" i="10"/>
  <c r="BM200" i="10"/>
  <c r="BN200" i="10" s="1"/>
  <c r="BO200" i="10"/>
  <c r="BM225" i="10"/>
  <c r="BN225" i="10" s="1"/>
  <c r="BO225" i="10"/>
  <c r="BM230" i="10"/>
  <c r="BN230" i="10" s="1"/>
  <c r="BO230" i="10"/>
  <c r="BM76" i="10"/>
  <c r="BN76" i="10" s="1"/>
  <c r="BO76" i="10"/>
  <c r="BM78" i="10"/>
  <c r="BN78" i="10" s="1"/>
  <c r="BO78" i="10"/>
  <c r="BM74" i="10"/>
  <c r="BN74" i="10" s="1"/>
  <c r="BO74" i="10"/>
  <c r="BM75" i="10"/>
  <c r="BN75" i="10" s="1"/>
  <c r="BO75" i="10"/>
  <c r="BM77" i="10"/>
  <c r="BN77" i="10" s="1"/>
  <c r="BO77" i="10"/>
  <c r="BM79" i="10"/>
  <c r="BN79" i="10" s="1"/>
  <c r="BO79" i="10"/>
  <c r="BM80" i="10"/>
  <c r="BN80" i="10"/>
  <c r="BO80" i="10"/>
  <c r="BM81" i="10"/>
  <c r="BN81" i="10"/>
  <c r="BO81" i="10"/>
  <c r="BM82" i="10"/>
  <c r="BN82" i="10" s="1"/>
  <c r="BO82" i="10"/>
  <c r="BM83" i="10"/>
  <c r="BN83" i="10" s="1"/>
  <c r="BO83" i="10"/>
  <c r="BM84" i="10"/>
  <c r="BN84" i="10" s="1"/>
  <c r="BO84" i="10"/>
  <c r="BM87" i="10"/>
  <c r="BN87" i="10" s="1"/>
  <c r="BO87" i="10"/>
  <c r="BM89" i="10"/>
  <c r="BN89" i="10" s="1"/>
  <c r="BO89" i="10"/>
  <c r="BM90" i="10"/>
  <c r="BN90" i="10" s="1"/>
  <c r="BO90" i="10"/>
  <c r="BM92" i="10"/>
  <c r="BN92" i="10"/>
  <c r="BO92" i="10"/>
  <c r="BM95" i="10"/>
  <c r="BN95" i="10"/>
  <c r="BO95" i="10"/>
  <c r="BM96" i="10"/>
  <c r="BN96" i="10" s="1"/>
  <c r="BO96" i="10"/>
  <c r="BM99" i="10"/>
  <c r="BN99" i="10" s="1"/>
  <c r="BO99" i="10"/>
  <c r="BM101" i="10"/>
  <c r="BN101" i="10" s="1"/>
  <c r="BO101" i="10"/>
  <c r="BM103" i="10"/>
  <c r="BN103" i="10" s="1"/>
  <c r="BO103" i="10"/>
  <c r="BM104" i="10"/>
  <c r="BN104" i="10" s="1"/>
  <c r="BO104" i="10"/>
  <c r="BM105" i="10"/>
  <c r="BN105" i="10" s="1"/>
  <c r="BO105" i="10"/>
  <c r="BM106" i="10"/>
  <c r="BN106" i="10"/>
  <c r="BO106" i="10"/>
  <c r="BM108" i="10"/>
  <c r="BN108" i="10"/>
  <c r="BO108" i="10"/>
  <c r="BM88" i="10"/>
  <c r="BN88" i="10" s="1"/>
  <c r="BO88" i="10"/>
  <c r="BM91" i="10"/>
  <c r="BN91" i="10" s="1"/>
  <c r="BO91" i="10"/>
  <c r="BM93" i="10"/>
  <c r="BN93" i="10" s="1"/>
  <c r="BO93" i="10"/>
  <c r="BM94" i="10"/>
  <c r="BN94" i="10" s="1"/>
  <c r="BO94" i="10"/>
  <c r="BM97" i="10"/>
  <c r="BN97" i="10" s="1"/>
  <c r="BO97" i="10"/>
  <c r="BM100" i="10"/>
  <c r="BN100" i="10" s="1"/>
  <c r="BO100" i="10"/>
  <c r="BM107" i="10"/>
  <c r="BN107" i="10"/>
  <c r="BO107" i="10"/>
  <c r="BM98" i="10"/>
  <c r="BN98" i="10"/>
  <c r="BO98" i="10"/>
  <c r="BM217" i="10"/>
  <c r="BN217" i="10" s="1"/>
  <c r="BO217" i="10"/>
  <c r="BM216" i="10"/>
  <c r="BN216" i="10"/>
  <c r="BO216" i="10"/>
  <c r="BM277" i="10"/>
  <c r="BN277" i="10" s="1"/>
  <c r="BO277" i="10"/>
  <c r="BM278" i="10"/>
  <c r="BN278" i="10" s="1"/>
  <c r="BO278" i="10"/>
  <c r="BM281" i="10"/>
  <c r="BN281" i="10" s="1"/>
  <c r="BO281" i="10"/>
  <c r="BM282" i="10"/>
  <c r="BN282" i="10" s="1"/>
  <c r="BO282" i="10"/>
  <c r="BM265" i="10"/>
  <c r="BN265" i="10"/>
  <c r="BO265" i="10"/>
  <c r="BM280" i="10"/>
  <c r="BN280" i="10" s="1"/>
  <c r="BO280" i="10"/>
  <c r="BM279" i="10"/>
  <c r="BN279" i="10" s="1"/>
  <c r="BO279" i="10"/>
  <c r="BM187" i="10"/>
  <c r="BN187" i="10" s="1"/>
  <c r="BO187" i="10"/>
  <c r="BM184" i="10"/>
  <c r="BN184" i="10" s="1"/>
  <c r="BO184" i="10"/>
  <c r="BM182" i="10"/>
  <c r="BN182" i="10" s="1"/>
  <c r="BO182" i="10"/>
  <c r="BM183" i="10"/>
  <c r="BN183" i="10" s="1"/>
  <c r="BO183" i="10"/>
  <c r="BM188" i="10"/>
  <c r="BN188" i="10" s="1"/>
  <c r="BO188" i="10"/>
  <c r="BM192" i="10"/>
  <c r="BN192" i="10" s="1"/>
  <c r="BO192" i="10"/>
  <c r="BM194" i="10"/>
  <c r="BN194" i="10" s="1"/>
  <c r="BO194" i="10"/>
  <c r="BM206" i="10"/>
  <c r="BN206" i="10" s="1"/>
  <c r="BO206" i="10"/>
  <c r="BM205" i="10"/>
  <c r="BN205" i="10" s="1"/>
  <c r="BO205" i="10"/>
  <c r="BM208" i="10"/>
  <c r="BN208" i="10" s="1"/>
  <c r="BO208" i="10"/>
  <c r="BM207" i="10"/>
  <c r="BN207" i="10" s="1"/>
  <c r="BO207" i="10"/>
  <c r="BM251" i="10"/>
  <c r="BN251" i="10" s="1"/>
  <c r="BO251" i="10"/>
  <c r="BM260" i="10"/>
  <c r="BN260" i="10" s="1"/>
  <c r="BO260" i="10"/>
  <c r="BM266" i="10"/>
  <c r="BN266" i="10" s="1"/>
  <c r="BO266" i="10"/>
  <c r="BM287" i="10"/>
  <c r="BN287" i="10" s="1"/>
  <c r="BO287" i="10"/>
  <c r="BM250" i="10"/>
  <c r="BN250" i="10" s="1"/>
  <c r="BO250" i="10"/>
  <c r="BM286" i="10"/>
  <c r="BN286" i="10" s="1"/>
  <c r="BO286" i="10"/>
  <c r="BM198" i="10"/>
  <c r="BN198" i="10" s="1"/>
  <c r="BO198" i="10"/>
  <c r="BM202" i="10"/>
  <c r="BN202" i="10" s="1"/>
  <c r="BO202" i="10"/>
  <c r="BM203" i="10"/>
  <c r="BN203" i="10" s="1"/>
  <c r="BO203" i="10"/>
  <c r="BM199" i="10"/>
  <c r="BN199" i="10" s="1"/>
  <c r="BO199" i="10"/>
  <c r="BM226" i="10"/>
  <c r="BN226" i="10" s="1"/>
  <c r="BO226" i="10"/>
  <c r="BM231" i="10"/>
  <c r="BN231" i="10" s="1"/>
  <c r="BO231" i="10"/>
  <c r="BM236" i="10"/>
  <c r="BN236" i="10" s="1"/>
  <c r="BO236" i="10"/>
  <c r="BM245" i="10"/>
  <c r="BN245" i="10" s="1"/>
  <c r="BO245" i="10"/>
  <c r="BM221" i="10"/>
  <c r="BN221" i="10" s="1"/>
  <c r="BO221" i="10"/>
  <c r="BM237" i="10"/>
  <c r="BN237" i="10" s="1"/>
  <c r="BO237" i="10"/>
  <c r="BM252" i="10"/>
  <c r="BN252" i="10" s="1"/>
  <c r="BO252" i="10"/>
  <c r="BM254" i="10"/>
  <c r="BN254" i="10" s="1"/>
  <c r="BO254" i="10"/>
  <c r="BM257" i="10"/>
  <c r="BN257" i="10" s="1"/>
  <c r="BO257" i="10"/>
  <c r="BM283" i="10"/>
  <c r="BN283" i="10" s="1"/>
  <c r="BO283" i="10"/>
  <c r="BM284" i="10"/>
  <c r="BN284" i="10" s="1"/>
  <c r="BO284" i="10"/>
  <c r="BM253" i="10"/>
  <c r="BN253" i="10" s="1"/>
  <c r="BO253" i="10"/>
  <c r="BM255" i="10"/>
  <c r="BN255" i="10" s="1"/>
  <c r="BO255" i="10"/>
  <c r="BM285" i="10"/>
  <c r="BN285" i="10" s="1"/>
  <c r="BO285" i="10"/>
  <c r="BJ248" i="10"/>
  <c r="BK248" i="10"/>
  <c r="BJ249" i="10"/>
  <c r="BK249" i="10"/>
  <c r="BJ256" i="10"/>
  <c r="BK256" i="10"/>
  <c r="BJ261" i="10"/>
  <c r="BK261" i="10"/>
  <c r="BJ262" i="10"/>
  <c r="BK262" i="10"/>
  <c r="BJ263" i="10"/>
  <c r="BK263" i="10"/>
  <c r="BJ289" i="10"/>
  <c r="BK289" i="10"/>
  <c r="BJ288" i="10"/>
  <c r="BK288" i="10"/>
  <c r="BJ171" i="10"/>
  <c r="BK171" i="10"/>
  <c r="BJ175" i="10"/>
  <c r="BK175" i="10"/>
  <c r="BJ169" i="10"/>
  <c r="BK169" i="10"/>
  <c r="BJ170" i="10"/>
  <c r="BK170" i="10"/>
  <c r="BJ172" i="10"/>
  <c r="BK172" i="10"/>
  <c r="BJ173" i="10"/>
  <c r="BK173" i="10"/>
  <c r="BJ174" i="10"/>
  <c r="BK174" i="10"/>
  <c r="BJ176" i="10"/>
  <c r="BK176" i="10"/>
  <c r="BJ179" i="10"/>
  <c r="BK179" i="10"/>
  <c r="BJ181" i="10"/>
  <c r="BK181" i="10"/>
  <c r="BJ178" i="10"/>
  <c r="BK178" i="10"/>
  <c r="BJ177" i="10"/>
  <c r="BK177" i="10"/>
  <c r="BJ180" i="10"/>
  <c r="BK180" i="10"/>
  <c r="BJ258" i="10"/>
  <c r="BK258" i="10"/>
  <c r="BJ264" i="10"/>
  <c r="BK264" i="10"/>
  <c r="BJ276" i="10"/>
  <c r="BK276" i="10"/>
  <c r="BJ201" i="10"/>
  <c r="BK201" i="10"/>
  <c r="BJ259" i="10"/>
  <c r="BK259" i="10"/>
  <c r="BJ204" i="10"/>
  <c r="BK204" i="10"/>
  <c r="BJ267" i="10"/>
  <c r="BK267" i="10"/>
  <c r="BJ272" i="10"/>
  <c r="BK272" i="10"/>
  <c r="BJ268" i="10"/>
  <c r="BK268" i="10"/>
  <c r="BJ269" i="10"/>
  <c r="BK269" i="10"/>
  <c r="BJ270" i="10"/>
  <c r="BK270" i="10"/>
  <c r="BJ271" i="10"/>
  <c r="BK271" i="10"/>
  <c r="BJ274" i="10"/>
  <c r="BK274" i="10"/>
  <c r="BJ275" i="10"/>
  <c r="BK275" i="10"/>
  <c r="BJ273" i="10"/>
  <c r="BK273" i="10"/>
  <c r="BJ209" i="10"/>
  <c r="BK209" i="10"/>
  <c r="BJ210" i="10"/>
  <c r="BK210" i="10"/>
  <c r="BJ211" i="10"/>
  <c r="BK211" i="10"/>
  <c r="BJ212" i="10"/>
  <c r="BK212" i="10"/>
  <c r="BJ213" i="10"/>
  <c r="BK213" i="10"/>
  <c r="BJ214" i="10"/>
  <c r="BK214" i="10"/>
  <c r="BJ215" i="10"/>
  <c r="BK215" i="10"/>
  <c r="BJ219" i="10"/>
  <c r="BK219" i="10"/>
  <c r="BJ218" i="10"/>
  <c r="BK218" i="10"/>
  <c r="BJ222" i="10"/>
  <c r="BK222" i="10"/>
  <c r="BJ223" i="10"/>
  <c r="BK223" i="10"/>
  <c r="BJ224" i="10"/>
  <c r="BK224" i="10"/>
  <c r="BJ228" i="10"/>
  <c r="BK228" i="10"/>
  <c r="BJ229" i="10"/>
  <c r="BK229" i="10"/>
  <c r="BJ235" i="10"/>
  <c r="BK235" i="10"/>
  <c r="BJ238" i="10"/>
  <c r="BK238" i="10"/>
  <c r="BJ239" i="10"/>
  <c r="BK239" i="10"/>
  <c r="BJ241" i="10"/>
  <c r="BK241" i="10"/>
  <c r="BJ242" i="10"/>
  <c r="BK242" i="10"/>
  <c r="BJ244" i="10"/>
  <c r="BK244" i="10"/>
  <c r="BJ246" i="10"/>
  <c r="BK246" i="10"/>
  <c r="BJ247" i="10"/>
  <c r="BK247" i="10"/>
  <c r="BJ227" i="10"/>
  <c r="BK227" i="10"/>
  <c r="BJ233" i="10"/>
  <c r="BK233" i="10"/>
  <c r="BJ234" i="10"/>
  <c r="BK234" i="10"/>
  <c r="BJ243" i="10"/>
  <c r="BK243" i="10"/>
  <c r="BK220" i="10"/>
  <c r="BJ85" i="10"/>
  <c r="BK85" i="10"/>
  <c r="BJ86" i="10"/>
  <c r="BK86" i="10"/>
  <c r="BJ102" i="10"/>
  <c r="BK102" i="10"/>
  <c r="BJ200" i="10"/>
  <c r="BK200" i="10"/>
  <c r="BJ225" i="10"/>
  <c r="BK225" i="10"/>
  <c r="BJ230" i="10"/>
  <c r="BK230" i="10"/>
  <c r="BJ76" i="10"/>
  <c r="BK76" i="10"/>
  <c r="BJ78" i="10"/>
  <c r="BK78" i="10"/>
  <c r="BJ74" i="10"/>
  <c r="BK74" i="10"/>
  <c r="BJ75" i="10"/>
  <c r="BK75" i="10"/>
  <c r="BJ77" i="10"/>
  <c r="BK77" i="10"/>
  <c r="BJ79" i="10"/>
  <c r="BK79" i="10"/>
  <c r="BJ80" i="10"/>
  <c r="BK80" i="10"/>
  <c r="BJ81" i="10"/>
  <c r="BK81" i="10"/>
  <c r="BJ82" i="10"/>
  <c r="BK82" i="10"/>
  <c r="BJ83" i="10"/>
  <c r="BK83" i="10"/>
  <c r="BJ84" i="10"/>
  <c r="BK84" i="10"/>
  <c r="BJ87" i="10"/>
  <c r="BK87" i="10"/>
  <c r="BJ89" i="10"/>
  <c r="BK89" i="10"/>
  <c r="BJ90" i="10"/>
  <c r="BK90" i="10"/>
  <c r="BJ92" i="10"/>
  <c r="BK92" i="10"/>
  <c r="BJ95" i="10"/>
  <c r="BK95" i="10"/>
  <c r="BJ96" i="10"/>
  <c r="BK96" i="10"/>
  <c r="BJ99" i="10"/>
  <c r="BK99" i="10"/>
  <c r="BJ101" i="10"/>
  <c r="BK101" i="10"/>
  <c r="BJ103" i="10"/>
  <c r="BK103" i="10"/>
  <c r="BJ104" i="10"/>
  <c r="BK104" i="10"/>
  <c r="BJ105" i="10"/>
  <c r="BK105" i="10"/>
  <c r="BJ106" i="10"/>
  <c r="BK106" i="10"/>
  <c r="BJ108" i="10"/>
  <c r="BK108" i="10"/>
  <c r="BJ88" i="10"/>
  <c r="BK88" i="10"/>
  <c r="BJ91" i="10"/>
  <c r="BK91" i="10"/>
  <c r="BJ93" i="10"/>
  <c r="BK93" i="10"/>
  <c r="BJ94" i="10"/>
  <c r="BK94" i="10"/>
  <c r="BJ97" i="10"/>
  <c r="BK97" i="10"/>
  <c r="BJ100" i="10"/>
  <c r="BK100" i="10"/>
  <c r="BJ107" i="10"/>
  <c r="BK107" i="10"/>
  <c r="BJ98" i="10"/>
  <c r="BK98" i="10"/>
  <c r="BJ217" i="10"/>
  <c r="BK217" i="10"/>
  <c r="BJ216" i="10"/>
  <c r="BK216" i="10"/>
  <c r="BJ277" i="10"/>
  <c r="BK277" i="10"/>
  <c r="BJ278" i="10"/>
  <c r="BK278" i="10"/>
  <c r="BJ281" i="10"/>
  <c r="BK281" i="10"/>
  <c r="BJ282" i="10"/>
  <c r="BK282" i="10"/>
  <c r="BJ265" i="10"/>
  <c r="BK265" i="10"/>
  <c r="BJ280" i="10"/>
  <c r="BK280" i="10"/>
  <c r="BJ279" i="10"/>
  <c r="BK279" i="10"/>
  <c r="BJ187" i="10"/>
  <c r="BK187" i="10"/>
  <c r="BJ193" i="10"/>
  <c r="BK193" i="10"/>
  <c r="BK184" i="10"/>
  <c r="BK182" i="10"/>
  <c r="BK183" i="10"/>
  <c r="BJ188" i="10"/>
  <c r="BK188" i="10"/>
  <c r="BJ192" i="10"/>
  <c r="BK192" i="10"/>
  <c r="BK206" i="10"/>
  <c r="BK205" i="10"/>
  <c r="BK208" i="10"/>
  <c r="BK207" i="10"/>
  <c r="BK251" i="10"/>
  <c r="BK260" i="10"/>
  <c r="BK266" i="10"/>
  <c r="BK287" i="10"/>
  <c r="BK250" i="10"/>
  <c r="BK286" i="10"/>
  <c r="BK198" i="10"/>
  <c r="BK202" i="10"/>
  <c r="BK203" i="10"/>
  <c r="BK199" i="10"/>
  <c r="BK226" i="10"/>
  <c r="BK231" i="10"/>
  <c r="BK236" i="10"/>
  <c r="BK245" i="10"/>
  <c r="BK221" i="10"/>
  <c r="BK237" i="10"/>
  <c r="BK252" i="10"/>
  <c r="BK254" i="10"/>
  <c r="BK257" i="10"/>
  <c r="BK283" i="10"/>
  <c r="BK284" i="10"/>
  <c r="BK253" i="10"/>
  <c r="BK255" i="10"/>
  <c r="BE256" i="10"/>
  <c r="BE262" i="10"/>
  <c r="BE289" i="10"/>
  <c r="BE171" i="10"/>
  <c r="BE175" i="10"/>
  <c r="BE169" i="10"/>
  <c r="BE170" i="10"/>
  <c r="BE172" i="10"/>
  <c r="BE173" i="10"/>
  <c r="BE174" i="10"/>
  <c r="BE176" i="10"/>
  <c r="BE179" i="10"/>
  <c r="BE181" i="10"/>
  <c r="BE178" i="10"/>
  <c r="BE177" i="10"/>
  <c r="BE180" i="10"/>
  <c r="BE258" i="10"/>
  <c r="BE264" i="10"/>
  <c r="BE276" i="10"/>
  <c r="BE201" i="10"/>
  <c r="BE259" i="10"/>
  <c r="BE204" i="10"/>
  <c r="BE267" i="10"/>
  <c r="BE272" i="10"/>
  <c r="BE268" i="10"/>
  <c r="BE269" i="10"/>
  <c r="BE270" i="10"/>
  <c r="BE271" i="10"/>
  <c r="BE274" i="10"/>
  <c r="BE275" i="10"/>
  <c r="BE273" i="10"/>
  <c r="BE209" i="10"/>
  <c r="BE210" i="10"/>
  <c r="BE211" i="10"/>
  <c r="BE212" i="10"/>
  <c r="BE213" i="10"/>
  <c r="BE214" i="10"/>
  <c r="BE215" i="10"/>
  <c r="BE219" i="10"/>
  <c r="BE218" i="10"/>
  <c r="BE222" i="10"/>
  <c r="BE229" i="10"/>
  <c r="BE238" i="10"/>
  <c r="BE239" i="10"/>
  <c r="BE244" i="10"/>
  <c r="BE246" i="10"/>
  <c r="BE247" i="10"/>
  <c r="BE227" i="10"/>
  <c r="BE233" i="10"/>
  <c r="BE234" i="10"/>
  <c r="BE243" i="10"/>
  <c r="BE85" i="10"/>
  <c r="BE86" i="10"/>
  <c r="BE102" i="10"/>
  <c r="BE200" i="10"/>
  <c r="BE225" i="10"/>
  <c r="BE230" i="10"/>
  <c r="BE76" i="10"/>
  <c r="BE78" i="10"/>
  <c r="BE74" i="10"/>
  <c r="BE75" i="10"/>
  <c r="BE77" i="10"/>
  <c r="BE79" i="10"/>
  <c r="BE80" i="10"/>
  <c r="BE81" i="10"/>
  <c r="BE82" i="10"/>
  <c r="BE83" i="10"/>
  <c r="BE84" i="10"/>
  <c r="BE87" i="10"/>
  <c r="BE89" i="10"/>
  <c r="BE90" i="10"/>
  <c r="BE92" i="10"/>
  <c r="BE95" i="10"/>
  <c r="BE96" i="10"/>
  <c r="BE99" i="10"/>
  <c r="BE101" i="10"/>
  <c r="BE103" i="10"/>
  <c r="BE104" i="10"/>
  <c r="BE105" i="10"/>
  <c r="BE106" i="10"/>
  <c r="BE108" i="10"/>
  <c r="BE88" i="10"/>
  <c r="BE91" i="10"/>
  <c r="BE93" i="10"/>
  <c r="BE94" i="10"/>
  <c r="BE97" i="10"/>
  <c r="BE100" i="10"/>
  <c r="BE107" i="10"/>
  <c r="BE98" i="10"/>
  <c r="BE217" i="10"/>
  <c r="BE216" i="10"/>
  <c r="BE277" i="10"/>
  <c r="BE278" i="10"/>
  <c r="BE281" i="10"/>
  <c r="BE282" i="10"/>
  <c r="BE265" i="10"/>
  <c r="BE280" i="10"/>
  <c r="BE279" i="10"/>
  <c r="BE187" i="10"/>
  <c r="BE193" i="10"/>
  <c r="BE184" i="10"/>
  <c r="BE182" i="10"/>
  <c r="BE183" i="10"/>
  <c r="BE188" i="10"/>
  <c r="BE192" i="10"/>
  <c r="BE194" i="10"/>
  <c r="BE206" i="10"/>
  <c r="BE205" i="10"/>
  <c r="BE208" i="10"/>
  <c r="BE207" i="10"/>
  <c r="BE251" i="10"/>
  <c r="BE260" i="10"/>
  <c r="BE266" i="10"/>
  <c r="BE287" i="10"/>
  <c r="BE286" i="10"/>
  <c r="BE202" i="10"/>
  <c r="BE199" i="10"/>
  <c r="BE231" i="10"/>
  <c r="BE245" i="10"/>
  <c r="BE237" i="10"/>
  <c r="BE254" i="10"/>
  <c r="BE283" i="10"/>
  <c r="BE284" i="10"/>
  <c r="BE253" i="10"/>
  <c r="BE285" i="10"/>
  <c r="AI85" i="10"/>
  <c r="AK85" i="10"/>
  <c r="AS85" i="10"/>
  <c r="AT85" i="10"/>
  <c r="AL86" i="10"/>
  <c r="AM86" i="10" s="1"/>
  <c r="AK86" i="10"/>
  <c r="AS86" i="10"/>
  <c r="AT86" i="10"/>
  <c r="AI102" i="10"/>
  <c r="AK102" i="10"/>
  <c r="AS102" i="10"/>
  <c r="AT102" i="10"/>
  <c r="AL200" i="10"/>
  <c r="AM200" i="10" s="1"/>
  <c r="AK200" i="10"/>
  <c r="AS200" i="10"/>
  <c r="AT200" i="10"/>
  <c r="AI225" i="10"/>
  <c r="AK225" i="10"/>
  <c r="AS225" i="10"/>
  <c r="AT225" i="10"/>
  <c r="AL230" i="10"/>
  <c r="AM230" i="10" s="1"/>
  <c r="AK230" i="10"/>
  <c r="AS230" i="10"/>
  <c r="AT230" i="10"/>
  <c r="AI76" i="10"/>
  <c r="AK76" i="10"/>
  <c r="AS76" i="10"/>
  <c r="AT76" i="10"/>
  <c r="AL78" i="10"/>
  <c r="AM78" i="10" s="1"/>
  <c r="AK78" i="10"/>
  <c r="AS78" i="10"/>
  <c r="AT78" i="10"/>
  <c r="AI74" i="10"/>
  <c r="AK74" i="10"/>
  <c r="AS74" i="10"/>
  <c r="AT74" i="10"/>
  <c r="AL75" i="10"/>
  <c r="AM75" i="10" s="1"/>
  <c r="AK75" i="10"/>
  <c r="AS75" i="10"/>
  <c r="AT75" i="10"/>
  <c r="AI77" i="10"/>
  <c r="AK77" i="10"/>
  <c r="AS77" i="10"/>
  <c r="AT77" i="10"/>
  <c r="AI79" i="10"/>
  <c r="AK79" i="10"/>
  <c r="AS79" i="10"/>
  <c r="AT79" i="10"/>
  <c r="AI80" i="10"/>
  <c r="AK80" i="10"/>
  <c r="AS80" i="10"/>
  <c r="AT80" i="10"/>
  <c r="AI81" i="10"/>
  <c r="AK81" i="10"/>
  <c r="AS81" i="10"/>
  <c r="AT81" i="10"/>
  <c r="AI82" i="10"/>
  <c r="AK82" i="10"/>
  <c r="AS82" i="10"/>
  <c r="AT82" i="10"/>
  <c r="AI83" i="10"/>
  <c r="AK83" i="10"/>
  <c r="AS83" i="10"/>
  <c r="AT83" i="10"/>
  <c r="AI84" i="10"/>
  <c r="AK84" i="10"/>
  <c r="AS84" i="10"/>
  <c r="AT84" i="10"/>
  <c r="AL87" i="10"/>
  <c r="AM87" i="10" s="1"/>
  <c r="AK87" i="10"/>
  <c r="AS87" i="10"/>
  <c r="AT87" i="10"/>
  <c r="AI89" i="10"/>
  <c r="AK89" i="10"/>
  <c r="AS89" i="10"/>
  <c r="AT89" i="10"/>
  <c r="AL90" i="10"/>
  <c r="AM90" i="10" s="1"/>
  <c r="AK90" i="10"/>
  <c r="AS90" i="10"/>
  <c r="AT90" i="10"/>
  <c r="AI92" i="10"/>
  <c r="AK92" i="10"/>
  <c r="AS92" i="10"/>
  <c r="AT92" i="10"/>
  <c r="AL95" i="10"/>
  <c r="AM95" i="10" s="1"/>
  <c r="AK95" i="10"/>
  <c r="AS95" i="10"/>
  <c r="AT95" i="10"/>
  <c r="AI96" i="10"/>
  <c r="AK96" i="10"/>
  <c r="AS96" i="10"/>
  <c r="AT96" i="10"/>
  <c r="AL99" i="10"/>
  <c r="AM99" i="10" s="1"/>
  <c r="AK99" i="10"/>
  <c r="AS99" i="10"/>
  <c r="AT99" i="10"/>
  <c r="AI101" i="10"/>
  <c r="AK101" i="10"/>
  <c r="AS101" i="10"/>
  <c r="AT101" i="10"/>
  <c r="AL103" i="10"/>
  <c r="AM103" i="10" s="1"/>
  <c r="AK103" i="10"/>
  <c r="AS103" i="10"/>
  <c r="AT103" i="10"/>
  <c r="AI104" i="10"/>
  <c r="AK104" i="10"/>
  <c r="AS104" i="10"/>
  <c r="AT104" i="10"/>
  <c r="AL105" i="10"/>
  <c r="AM105" i="10" s="1"/>
  <c r="AK105" i="10"/>
  <c r="AS105" i="10"/>
  <c r="AT105" i="10"/>
  <c r="AI106" i="10"/>
  <c r="AK106" i="10"/>
  <c r="AS106" i="10"/>
  <c r="AT106" i="10"/>
  <c r="AL108" i="10"/>
  <c r="AM108" i="10" s="1"/>
  <c r="AK108" i="10"/>
  <c r="AS108" i="10"/>
  <c r="AT108" i="10"/>
  <c r="AI88" i="10"/>
  <c r="AK88" i="10"/>
  <c r="AS88" i="10"/>
  <c r="AT88" i="10"/>
  <c r="AL91" i="10"/>
  <c r="AM91" i="10" s="1"/>
  <c r="AK91" i="10"/>
  <c r="AS91" i="10"/>
  <c r="AT91" i="10"/>
  <c r="AI93" i="10"/>
  <c r="AK93" i="10"/>
  <c r="AS93" i="10"/>
  <c r="AT93" i="10"/>
  <c r="AL94" i="10"/>
  <c r="AM94" i="10" s="1"/>
  <c r="AK94" i="10"/>
  <c r="AS94" i="10"/>
  <c r="AT94" i="10"/>
  <c r="AI97" i="10"/>
  <c r="AK97" i="10"/>
  <c r="AS97" i="10"/>
  <c r="AT97" i="10"/>
  <c r="AL100" i="10"/>
  <c r="AM100" i="10" s="1"/>
  <c r="AK100" i="10"/>
  <c r="AS100" i="10"/>
  <c r="AT100" i="10"/>
  <c r="AI107" i="10"/>
  <c r="AK107" i="10"/>
  <c r="AS107" i="10"/>
  <c r="AT107" i="10"/>
  <c r="AL98" i="10"/>
  <c r="AM98" i="10" s="1"/>
  <c r="AK98" i="10"/>
  <c r="AS98" i="10"/>
  <c r="AT98" i="10"/>
  <c r="AI217" i="10"/>
  <c r="AK217" i="10"/>
  <c r="AS217" i="10"/>
  <c r="AT217" i="10"/>
  <c r="AL216" i="10"/>
  <c r="AM216" i="10" s="1"/>
  <c r="AK216" i="10"/>
  <c r="AS216" i="10"/>
  <c r="AT216" i="10"/>
  <c r="AI277" i="10"/>
  <c r="AK277" i="10"/>
  <c r="AS277" i="10"/>
  <c r="AT277" i="10"/>
  <c r="AL278" i="10"/>
  <c r="AM278" i="10" s="1"/>
  <c r="AK278" i="10"/>
  <c r="AS278" i="10"/>
  <c r="AT278" i="10"/>
  <c r="AI281" i="10"/>
  <c r="AK281" i="10"/>
  <c r="AS281" i="10"/>
  <c r="AT281" i="10"/>
  <c r="AL282" i="10"/>
  <c r="AM282" i="10" s="1"/>
  <c r="AK282" i="10"/>
  <c r="AS282" i="10"/>
  <c r="AT282" i="10"/>
  <c r="AI265" i="10"/>
  <c r="AK265" i="10"/>
  <c r="AS265" i="10"/>
  <c r="AT265" i="10"/>
  <c r="AL280" i="10"/>
  <c r="AM280" i="10" s="1"/>
  <c r="AK280" i="10"/>
  <c r="AS280" i="10"/>
  <c r="AT280" i="10"/>
  <c r="AI279" i="10"/>
  <c r="AK279" i="10"/>
  <c r="AS279" i="10"/>
  <c r="AT279" i="10"/>
  <c r="AL187" i="10"/>
  <c r="AM187" i="10" s="1"/>
  <c r="AK187" i="10"/>
  <c r="AS187" i="10"/>
  <c r="AT187" i="10"/>
  <c r="AK193" i="10"/>
  <c r="AS193" i="10"/>
  <c r="AT193" i="10"/>
  <c r="AL184" i="10"/>
  <c r="AM184" i="10" s="1"/>
  <c r="AK184" i="10"/>
  <c r="AS184" i="10"/>
  <c r="AT184" i="10"/>
  <c r="AI182" i="10"/>
  <c r="AK182" i="10"/>
  <c r="AS182" i="10"/>
  <c r="AT182" i="10"/>
  <c r="AL183" i="10"/>
  <c r="AM183" i="10" s="1"/>
  <c r="AK183" i="10"/>
  <c r="AS183" i="10"/>
  <c r="AT183" i="10"/>
  <c r="AI188" i="10"/>
  <c r="AK188" i="10"/>
  <c r="AS188" i="10"/>
  <c r="AT188" i="10"/>
  <c r="AL192" i="10"/>
  <c r="AM192" i="10" s="1"/>
  <c r="AK192" i="10"/>
  <c r="AS192" i="10"/>
  <c r="AT192" i="10"/>
  <c r="AI194" i="10"/>
  <c r="AK194" i="10"/>
  <c r="AS194" i="10"/>
  <c r="AT194" i="10"/>
  <c r="AL197" i="10"/>
  <c r="AM197" i="10" s="1"/>
  <c r="AK197" i="10"/>
  <c r="AI206" i="10"/>
  <c r="AK206" i="10"/>
  <c r="AL205" i="10"/>
  <c r="AM205" i="10" s="1"/>
  <c r="AK205" i="10"/>
  <c r="AS205" i="10"/>
  <c r="AT205" i="10"/>
  <c r="AI208" i="10"/>
  <c r="AK208" i="10"/>
  <c r="AS208" i="10"/>
  <c r="AT208" i="10"/>
  <c r="AN207" i="10"/>
  <c r="AK207" i="10"/>
  <c r="AS207" i="10"/>
  <c r="AT207" i="10"/>
  <c r="AI251" i="10"/>
  <c r="AK251" i="10"/>
  <c r="AS251" i="10"/>
  <c r="AT251" i="10"/>
  <c r="AN260" i="10"/>
  <c r="AK260" i="10"/>
  <c r="AS260" i="10"/>
  <c r="AT260" i="10"/>
  <c r="AI266" i="10"/>
  <c r="AK266" i="10"/>
  <c r="AS266" i="10"/>
  <c r="AT266" i="10"/>
  <c r="AL287" i="10"/>
  <c r="AM287" i="10" s="1"/>
  <c r="AK287" i="10"/>
  <c r="AS287" i="10"/>
  <c r="AT287" i="10"/>
  <c r="AL250" i="10"/>
  <c r="AM250" i="10" s="1"/>
  <c r="AK250" i="10"/>
  <c r="AS250" i="10"/>
  <c r="AT250" i="10"/>
  <c r="AL286" i="10"/>
  <c r="AM286" i="10" s="1"/>
  <c r="AK286" i="10"/>
  <c r="AS286" i="10"/>
  <c r="AT286" i="10"/>
  <c r="AI198" i="10"/>
  <c r="AK198" i="10"/>
  <c r="AL202" i="10"/>
  <c r="AM202" i="10" s="1"/>
  <c r="AK202" i="10"/>
  <c r="AL203" i="10"/>
  <c r="AM203" i="10" s="1"/>
  <c r="AK203" i="10"/>
  <c r="AL199" i="10"/>
  <c r="AM199" i="10" s="1"/>
  <c r="AK199" i="10"/>
  <c r="AI226" i="10"/>
  <c r="AK226" i="10"/>
  <c r="AL231" i="10"/>
  <c r="AM231" i="10" s="1"/>
  <c r="AK231" i="10"/>
  <c r="AL236" i="10"/>
  <c r="AM236" i="10" s="1"/>
  <c r="AK236" i="10"/>
  <c r="AL245" i="10"/>
  <c r="AM245" i="10" s="1"/>
  <c r="AK245" i="10"/>
  <c r="AI221" i="10"/>
  <c r="AK221" i="10"/>
  <c r="AL237" i="10"/>
  <c r="AM237" i="10" s="1"/>
  <c r="AK237" i="10"/>
  <c r="AL252" i="10"/>
  <c r="AM252" i="10" s="1"/>
  <c r="AK252" i="10"/>
  <c r="AL254" i="10"/>
  <c r="AM254" i="10" s="1"/>
  <c r="AK254" i="10"/>
  <c r="AI257" i="10"/>
  <c r="AK257" i="10"/>
  <c r="AL283" i="10"/>
  <c r="AM283" i="10" s="1"/>
  <c r="AK283" i="10"/>
  <c r="AL284" i="10"/>
  <c r="AM284" i="10" s="1"/>
  <c r="AK284" i="10"/>
  <c r="AL253" i="10"/>
  <c r="AM253" i="10" s="1"/>
  <c r="AK253" i="10"/>
  <c r="AI255" i="10"/>
  <c r="AK255" i="10"/>
  <c r="AL285" i="10"/>
  <c r="AM285" i="10" s="1"/>
  <c r="AK285" i="10"/>
  <c r="AL288" i="10"/>
  <c r="AM288" i="10" s="1"/>
  <c r="AK288" i="10"/>
  <c r="AS288" i="10"/>
  <c r="AT288" i="10"/>
  <c r="AL171" i="10"/>
  <c r="AM171" i="10" s="1"/>
  <c r="AK171" i="10"/>
  <c r="AS171" i="10"/>
  <c r="AT171" i="10"/>
  <c r="AI175" i="10"/>
  <c r="AK175" i="10"/>
  <c r="AS175" i="10"/>
  <c r="AT175" i="10"/>
  <c r="AL169" i="10"/>
  <c r="AM169" i="10" s="1"/>
  <c r="AK169" i="10"/>
  <c r="AS169" i="10"/>
  <c r="AT169" i="10"/>
  <c r="AL170" i="10"/>
  <c r="AM170" i="10" s="1"/>
  <c r="AK170" i="10"/>
  <c r="AS170" i="10"/>
  <c r="AT170" i="10"/>
  <c r="AL172" i="10"/>
  <c r="AM172" i="10" s="1"/>
  <c r="AK172" i="10"/>
  <c r="AS172" i="10"/>
  <c r="AT172" i="10"/>
  <c r="AI173" i="10"/>
  <c r="AK173" i="10"/>
  <c r="AS173" i="10"/>
  <c r="AT173" i="10"/>
  <c r="AL174" i="10"/>
  <c r="AM174" i="10" s="1"/>
  <c r="AK174" i="10"/>
  <c r="AS174" i="10"/>
  <c r="AT174" i="10"/>
  <c r="AI176" i="10"/>
  <c r="AK176" i="10"/>
  <c r="AS176" i="10"/>
  <c r="AT176" i="10"/>
  <c r="AL179" i="10"/>
  <c r="AM179" i="10" s="1"/>
  <c r="AK179" i="10"/>
  <c r="AS179" i="10"/>
  <c r="AT179" i="10"/>
  <c r="AI181" i="10"/>
  <c r="AK181" i="10"/>
  <c r="AS181" i="10"/>
  <c r="AT181" i="10"/>
  <c r="AL178" i="10"/>
  <c r="AM178" i="10" s="1"/>
  <c r="AK178" i="10"/>
  <c r="AS178" i="10"/>
  <c r="AT178" i="10"/>
  <c r="AI177" i="10"/>
  <c r="AK177" i="10"/>
  <c r="AS177" i="10"/>
  <c r="AT177" i="10"/>
  <c r="AL180" i="10"/>
  <c r="AM180" i="10" s="1"/>
  <c r="AK180" i="10"/>
  <c r="AS180" i="10"/>
  <c r="AT180" i="10"/>
  <c r="AI258" i="10"/>
  <c r="AK258" i="10"/>
  <c r="AS258" i="10"/>
  <c r="AT258" i="10"/>
  <c r="AL264" i="10"/>
  <c r="AM264" i="10" s="1"/>
  <c r="AK264" i="10"/>
  <c r="AS264" i="10"/>
  <c r="AT264" i="10"/>
  <c r="AL276" i="10"/>
  <c r="AM276" i="10" s="1"/>
  <c r="AK276" i="10"/>
  <c r="AS276" i="10"/>
  <c r="AT276" i="10"/>
  <c r="AK201" i="10"/>
  <c r="AS201" i="10"/>
  <c r="AT201" i="10"/>
  <c r="AI259" i="10"/>
  <c r="AK259" i="10"/>
  <c r="AS259" i="10"/>
  <c r="AT259" i="10"/>
  <c r="AL204" i="10"/>
  <c r="AM204" i="10" s="1"/>
  <c r="AK204" i="10"/>
  <c r="AS204" i="10"/>
  <c r="AT204" i="10"/>
  <c r="AL267" i="10"/>
  <c r="AM267" i="10" s="1"/>
  <c r="AK267" i="10"/>
  <c r="AS267" i="10"/>
  <c r="AT267" i="10"/>
  <c r="AL272" i="10"/>
  <c r="AM272" i="10" s="1"/>
  <c r="AK272" i="10"/>
  <c r="AS272" i="10"/>
  <c r="AT272" i="10"/>
  <c r="AI268" i="10"/>
  <c r="AK268" i="10"/>
  <c r="AS268" i="10"/>
  <c r="AT268" i="10"/>
  <c r="AL269" i="10"/>
  <c r="AM269" i="10" s="1"/>
  <c r="AK269" i="10"/>
  <c r="AS269" i="10"/>
  <c r="AT269" i="10"/>
  <c r="AL270" i="10"/>
  <c r="AM270" i="10" s="1"/>
  <c r="AK270" i="10"/>
  <c r="AS270" i="10"/>
  <c r="AT270" i="10"/>
  <c r="AL271" i="10"/>
  <c r="AM271" i="10" s="1"/>
  <c r="AK271" i="10"/>
  <c r="AS271" i="10"/>
  <c r="AT271" i="10"/>
  <c r="AI274" i="10"/>
  <c r="AK274" i="10"/>
  <c r="AS274" i="10"/>
  <c r="AT274" i="10"/>
  <c r="AL275" i="10"/>
  <c r="AM275" i="10" s="1"/>
  <c r="AK275" i="10"/>
  <c r="AS275" i="10"/>
  <c r="AT275" i="10"/>
  <c r="AL273" i="10"/>
  <c r="AM273" i="10" s="1"/>
  <c r="AK273" i="10"/>
  <c r="AS273" i="10"/>
  <c r="AT273" i="10"/>
  <c r="AL209" i="10"/>
  <c r="AM209" i="10" s="1"/>
  <c r="AK209" i="10"/>
  <c r="AS209" i="10"/>
  <c r="AT209" i="10"/>
  <c r="AI210" i="10"/>
  <c r="AK210" i="10"/>
  <c r="AS210" i="10"/>
  <c r="AT210" i="10"/>
  <c r="AL211" i="10"/>
  <c r="AM211" i="10" s="1"/>
  <c r="AK211" i="10"/>
  <c r="AS211" i="10"/>
  <c r="AT211" i="10"/>
  <c r="AL212" i="10"/>
  <c r="AM212" i="10" s="1"/>
  <c r="AK212" i="10"/>
  <c r="AS212" i="10"/>
  <c r="AT212" i="10"/>
  <c r="AL213" i="10"/>
  <c r="AM213" i="10" s="1"/>
  <c r="AK213" i="10"/>
  <c r="AS213" i="10"/>
  <c r="AT213" i="10"/>
  <c r="AL214" i="10"/>
  <c r="AM214" i="10" s="1"/>
  <c r="AK214" i="10"/>
  <c r="AS214" i="10"/>
  <c r="AT214" i="10"/>
  <c r="AK215" i="10"/>
  <c r="AS215" i="10"/>
  <c r="AT215" i="10"/>
  <c r="AL219" i="10"/>
  <c r="AM219" i="10" s="1"/>
  <c r="AK219" i="10"/>
  <c r="AS219" i="10"/>
  <c r="AT219" i="10"/>
  <c r="AK218" i="10"/>
  <c r="AS218" i="10"/>
  <c r="AT218" i="10"/>
  <c r="AL222" i="10"/>
  <c r="AM222" i="10" s="1"/>
  <c r="AK222" i="10"/>
  <c r="AS222" i="10"/>
  <c r="AT222" i="10"/>
  <c r="AL223" i="10"/>
  <c r="AM223" i="10" s="1"/>
  <c r="AK223" i="10"/>
  <c r="AS223" i="10"/>
  <c r="AT223" i="10"/>
  <c r="AI224" i="10"/>
  <c r="AK224" i="10"/>
  <c r="AS224" i="10"/>
  <c r="AT224" i="10"/>
  <c r="AL228" i="10"/>
  <c r="AM228" i="10" s="1"/>
  <c r="AK228" i="10"/>
  <c r="AS228" i="10"/>
  <c r="AT228" i="10"/>
  <c r="AI229" i="10"/>
  <c r="AK229" i="10"/>
  <c r="AS229" i="10"/>
  <c r="AT229" i="10"/>
  <c r="AI235" i="10"/>
  <c r="AK235" i="10"/>
  <c r="AS235" i="10"/>
  <c r="AT235" i="10"/>
  <c r="AI238" i="10"/>
  <c r="AK238" i="10"/>
  <c r="AS238" i="10"/>
  <c r="AT238" i="10"/>
  <c r="AL239" i="10"/>
  <c r="AM239" i="10" s="1"/>
  <c r="AK239" i="10"/>
  <c r="AS239" i="10"/>
  <c r="AT239" i="10"/>
  <c r="AI241" i="10"/>
  <c r="AK241" i="10"/>
  <c r="AS241" i="10"/>
  <c r="AT241" i="10"/>
  <c r="AK242" i="10"/>
  <c r="AS242" i="10"/>
  <c r="AT242" i="10"/>
  <c r="AI244" i="10"/>
  <c r="AK244" i="10"/>
  <c r="AS244" i="10"/>
  <c r="AT244" i="10"/>
  <c r="AL246" i="10"/>
  <c r="AM246" i="10" s="1"/>
  <c r="AK246" i="10"/>
  <c r="AS246" i="10"/>
  <c r="AT246" i="10"/>
  <c r="AI247" i="10"/>
  <c r="AK247" i="10"/>
  <c r="AS247" i="10"/>
  <c r="AT247" i="10"/>
  <c r="AK227" i="10"/>
  <c r="AS227" i="10"/>
  <c r="AT227" i="10"/>
  <c r="AI233" i="10"/>
  <c r="AK233" i="10"/>
  <c r="AS233" i="10"/>
  <c r="AT233" i="10"/>
  <c r="AI234" i="10"/>
  <c r="AK234" i="10"/>
  <c r="AS234" i="10"/>
  <c r="AT234" i="10"/>
  <c r="AI243" i="10"/>
  <c r="AK243" i="10"/>
  <c r="AS243" i="10"/>
  <c r="AT243" i="10"/>
  <c r="F17" i="29" l="1"/>
  <c r="D24" i="29"/>
  <c r="D27" i="28"/>
  <c r="F20" i="28"/>
  <c r="CG182" i="10"/>
  <c r="CF182" i="10"/>
  <c r="CG221" i="10"/>
  <c r="CF221" i="10"/>
  <c r="CG188" i="10"/>
  <c r="CF188" i="10"/>
  <c r="CG284" i="10"/>
  <c r="CF284" i="10"/>
  <c r="CG236" i="10"/>
  <c r="CF236" i="10"/>
  <c r="AL201" i="10"/>
  <c r="AM201" i="10" s="1"/>
  <c r="AO201" i="10"/>
  <c r="AL194" i="10"/>
  <c r="AM194" i="10" s="1"/>
  <c r="CE194" i="10"/>
  <c r="CF194" i="10" s="1"/>
  <c r="CD194" i="10"/>
  <c r="CD192" i="10"/>
  <c r="CE192" i="10"/>
  <c r="CF192" i="10" s="1"/>
  <c r="AL217" i="10"/>
  <c r="AM217" i="10" s="1"/>
  <c r="AL251" i="10"/>
  <c r="AM251" i="10" s="1"/>
  <c r="AL96" i="10"/>
  <c r="AM96" i="10" s="1"/>
  <c r="AL257" i="10"/>
  <c r="AM257" i="10" s="1"/>
  <c r="AL259" i="10"/>
  <c r="AM259" i="10" s="1"/>
  <c r="AL266" i="10"/>
  <c r="AM266" i="10" s="1"/>
  <c r="AN259" i="10"/>
  <c r="AN96" i="10"/>
  <c r="AN257" i="10"/>
  <c r="AN217" i="10"/>
  <c r="AL260" i="10"/>
  <c r="AM260" i="10" s="1"/>
  <c r="AL208" i="10"/>
  <c r="AM208" i="10" s="1"/>
  <c r="AL182" i="10"/>
  <c r="AM182" i="10" s="1"/>
  <c r="AL88" i="10"/>
  <c r="AM88" i="10" s="1"/>
  <c r="AL81" i="10"/>
  <c r="AM81" i="10" s="1"/>
  <c r="AL76" i="10"/>
  <c r="AM76" i="10" s="1"/>
  <c r="AN266" i="10"/>
  <c r="AN208" i="10"/>
  <c r="AN182" i="10"/>
  <c r="AN88" i="10"/>
  <c r="BF95" i="10"/>
  <c r="BG95" i="10" s="1"/>
  <c r="AL177" i="10"/>
  <c r="AM177" i="10" s="1"/>
  <c r="AL175" i="10"/>
  <c r="AM175" i="10" s="1"/>
  <c r="AL281" i="10"/>
  <c r="AM281" i="10" s="1"/>
  <c r="AL80" i="10"/>
  <c r="AM80" i="10" s="1"/>
  <c r="AN77" i="10"/>
  <c r="AN224" i="10"/>
  <c r="AL274" i="10"/>
  <c r="AM274" i="10" s="1"/>
  <c r="AL176" i="10"/>
  <c r="AM176" i="10" s="1"/>
  <c r="AL226" i="10"/>
  <c r="AM226" i="10" s="1"/>
  <c r="AL279" i="10"/>
  <c r="AM279" i="10" s="1"/>
  <c r="AL97" i="10"/>
  <c r="AM97" i="10" s="1"/>
  <c r="AL104" i="10"/>
  <c r="AM104" i="10" s="1"/>
  <c r="AL89" i="10"/>
  <c r="AM89" i="10" s="1"/>
  <c r="AL79" i="10"/>
  <c r="AM79" i="10" s="1"/>
  <c r="AL74" i="10"/>
  <c r="AM74" i="10" s="1"/>
  <c r="AN274" i="10"/>
  <c r="AN177" i="10"/>
  <c r="AN176" i="10"/>
  <c r="AN175" i="10"/>
  <c r="AN226" i="10"/>
  <c r="AN194" i="10"/>
  <c r="AN279" i="10"/>
  <c r="AN281" i="10"/>
  <c r="AN97" i="10"/>
  <c r="AN104" i="10"/>
  <c r="AN89" i="10"/>
  <c r="AN80" i="10"/>
  <c r="AN74" i="10"/>
  <c r="BF192" i="10"/>
  <c r="BG192" i="10" s="1"/>
  <c r="BF201" i="10"/>
  <c r="BG201" i="10" s="1"/>
  <c r="AL210" i="10"/>
  <c r="AM210" i="10" s="1"/>
  <c r="AL268" i="10"/>
  <c r="AM268" i="10" s="1"/>
  <c r="AL258" i="10"/>
  <c r="AM258" i="10" s="1"/>
  <c r="AL181" i="10"/>
  <c r="AM181" i="10" s="1"/>
  <c r="AL255" i="10"/>
  <c r="AM255" i="10" s="1"/>
  <c r="AL221" i="10"/>
  <c r="AM221" i="10" s="1"/>
  <c r="AL207" i="10"/>
  <c r="AM207" i="10" s="1"/>
  <c r="AL206" i="10"/>
  <c r="AM206" i="10" s="1"/>
  <c r="AL265" i="10"/>
  <c r="AM265" i="10" s="1"/>
  <c r="AL107" i="10"/>
  <c r="AM107" i="10" s="1"/>
  <c r="AL93" i="10"/>
  <c r="AM93" i="10" s="1"/>
  <c r="AL106" i="10"/>
  <c r="AM106" i="10" s="1"/>
  <c r="AL84" i="10"/>
  <c r="AM84" i="10" s="1"/>
  <c r="AL82" i="10"/>
  <c r="AM82" i="10" s="1"/>
  <c r="AL225" i="10"/>
  <c r="AM225" i="10" s="1"/>
  <c r="AN102" i="10"/>
  <c r="AL85" i="10"/>
  <c r="AM85" i="10" s="1"/>
  <c r="BF98" i="10"/>
  <c r="BG98" i="10" s="1"/>
  <c r="BF230" i="10"/>
  <c r="BG230" i="10" s="1"/>
  <c r="BF213" i="10"/>
  <c r="BG213" i="10" s="1"/>
  <c r="BF171" i="10"/>
  <c r="BG171" i="10" s="1"/>
  <c r="AN210" i="10"/>
  <c r="AN268" i="10"/>
  <c r="AN258" i="10"/>
  <c r="AN181" i="10"/>
  <c r="AN173" i="10"/>
  <c r="AN255" i="10"/>
  <c r="AN221" i="10"/>
  <c r="AN198" i="10"/>
  <c r="AN251" i="10"/>
  <c r="AN206" i="10"/>
  <c r="AN188" i="10"/>
  <c r="AN265" i="10"/>
  <c r="AN277" i="10"/>
  <c r="AN107" i="10"/>
  <c r="AN93" i="10"/>
  <c r="AN106" i="10"/>
  <c r="AN101" i="10"/>
  <c r="AN92" i="10"/>
  <c r="AN84" i="10"/>
  <c r="AN82" i="10"/>
  <c r="AN76" i="10"/>
  <c r="AN225" i="10"/>
  <c r="AN85" i="10"/>
  <c r="BF245" i="10"/>
  <c r="BG245" i="10" s="1"/>
  <c r="BF286" i="10"/>
  <c r="BG286" i="10" s="1"/>
  <c r="BF205" i="10"/>
  <c r="BG205" i="10" s="1"/>
  <c r="BF280" i="10"/>
  <c r="BG280" i="10" s="1"/>
  <c r="BF108" i="10"/>
  <c r="BG108" i="10" s="1"/>
  <c r="BF81" i="10"/>
  <c r="BG81" i="10" s="1"/>
  <c r="BF86" i="10"/>
  <c r="BG86" i="10" s="1"/>
  <c r="BF271" i="10"/>
  <c r="BG271" i="10" s="1"/>
  <c r="BF179" i="10"/>
  <c r="BG179" i="10" s="1"/>
  <c r="AL173" i="10"/>
  <c r="AM173" i="10" s="1"/>
  <c r="AL198" i="10"/>
  <c r="AM198" i="10" s="1"/>
  <c r="AL188" i="10"/>
  <c r="AM188" i="10" s="1"/>
  <c r="AL277" i="10"/>
  <c r="AM277" i="10" s="1"/>
  <c r="AL101" i="10"/>
  <c r="AM101" i="10" s="1"/>
  <c r="AL92" i="10"/>
  <c r="AM92" i="10" s="1"/>
  <c r="BF254" i="10"/>
  <c r="BG254" i="10" s="1"/>
  <c r="BF199" i="10"/>
  <c r="BG199" i="10" s="1"/>
  <c r="BF260" i="10"/>
  <c r="BG260" i="10" s="1"/>
  <c r="BF246" i="10"/>
  <c r="BG246" i="10" s="1"/>
  <c r="AI227" i="10"/>
  <c r="AN227" i="10"/>
  <c r="AI242" i="10"/>
  <c r="AN242" i="10"/>
  <c r="AI228" i="10"/>
  <c r="AO228" i="10"/>
  <c r="AP228" i="10" s="1"/>
  <c r="AI219" i="10"/>
  <c r="AN219" i="10"/>
  <c r="AI212" i="10"/>
  <c r="AN212" i="10"/>
  <c r="AI270" i="10"/>
  <c r="AN270" i="10"/>
  <c r="AI276" i="10"/>
  <c r="AN276" i="10"/>
  <c r="AI178" i="10"/>
  <c r="AN178" i="10"/>
  <c r="AI174" i="10"/>
  <c r="AN174" i="10"/>
  <c r="AI288" i="10"/>
  <c r="AN288" i="10"/>
  <c r="AI252" i="10"/>
  <c r="AN252" i="10"/>
  <c r="AI203" i="10"/>
  <c r="AN203" i="10"/>
  <c r="AI205" i="10"/>
  <c r="AN205" i="10"/>
  <c r="AI192" i="10"/>
  <c r="AN192" i="10"/>
  <c r="AI184" i="10"/>
  <c r="AN184" i="10"/>
  <c r="AI280" i="10"/>
  <c r="AN280" i="10"/>
  <c r="AI278" i="10"/>
  <c r="AN278" i="10"/>
  <c r="AI98" i="10"/>
  <c r="AN98" i="10"/>
  <c r="AI94" i="10"/>
  <c r="AN94" i="10"/>
  <c r="AI108" i="10"/>
  <c r="AN108" i="10"/>
  <c r="AI103" i="10"/>
  <c r="AN103" i="10"/>
  <c r="AI95" i="10"/>
  <c r="AN95" i="10"/>
  <c r="AI87" i="10"/>
  <c r="AN87" i="10"/>
  <c r="AL227" i="10"/>
  <c r="AM227" i="10" s="1"/>
  <c r="AL242" i="10"/>
  <c r="AM242" i="10" s="1"/>
  <c r="AI239" i="10"/>
  <c r="AO239" i="10"/>
  <c r="AP239" i="10" s="1"/>
  <c r="AI246" i="10"/>
  <c r="AN246" i="10"/>
  <c r="AN239" i="10"/>
  <c r="AN228" i="10"/>
  <c r="AI222" i="10"/>
  <c r="AN222" i="10"/>
  <c r="AI214" i="10"/>
  <c r="AN214" i="10"/>
  <c r="AI273" i="10"/>
  <c r="AN273" i="10"/>
  <c r="AI267" i="10"/>
  <c r="AN267" i="10"/>
  <c r="AI180" i="10"/>
  <c r="AN180" i="10"/>
  <c r="AI179" i="10"/>
  <c r="AN179" i="10"/>
  <c r="AI170" i="10"/>
  <c r="AN170" i="10"/>
  <c r="AI284" i="10"/>
  <c r="AN284" i="10"/>
  <c r="AI236" i="10"/>
  <c r="AN236" i="10"/>
  <c r="AI250" i="10"/>
  <c r="AN250" i="10"/>
  <c r="AI197" i="10"/>
  <c r="AN197" i="10"/>
  <c r="AI183" i="10"/>
  <c r="AN183" i="10"/>
  <c r="AI187" i="10"/>
  <c r="AN187" i="10"/>
  <c r="AI282" i="10"/>
  <c r="AN282" i="10"/>
  <c r="AI216" i="10"/>
  <c r="AN216" i="10"/>
  <c r="AI100" i="10"/>
  <c r="AN100" i="10"/>
  <c r="AI91" i="10"/>
  <c r="AN91" i="10"/>
  <c r="AI105" i="10"/>
  <c r="AN105" i="10"/>
  <c r="AI99" i="10"/>
  <c r="AN99" i="10"/>
  <c r="AI90" i="10"/>
  <c r="AN90" i="10"/>
  <c r="BF234" i="10"/>
  <c r="BG234" i="10" s="1"/>
  <c r="BF239" i="10"/>
  <c r="BG239" i="10" s="1"/>
  <c r="BF218" i="10"/>
  <c r="BG218" i="10" s="1"/>
  <c r="BF209" i="10"/>
  <c r="BG209" i="10" s="1"/>
  <c r="BF267" i="10"/>
  <c r="BG267" i="10" s="1"/>
  <c r="BF180" i="10"/>
  <c r="BG180" i="10" s="1"/>
  <c r="BF172" i="10"/>
  <c r="BG172" i="10" s="1"/>
  <c r="BF262" i="10"/>
  <c r="BG262" i="10" s="1"/>
  <c r="AL83" i="10"/>
  <c r="AM83" i="10" s="1"/>
  <c r="AL77" i="10"/>
  <c r="AM77" i="10" s="1"/>
  <c r="AL102" i="10"/>
  <c r="AM102" i="10" s="1"/>
  <c r="AN83" i="10"/>
  <c r="AN81" i="10"/>
  <c r="AO77" i="10"/>
  <c r="AP77" i="10" s="1"/>
  <c r="AO76" i="10"/>
  <c r="AP76" i="10" s="1"/>
  <c r="AO102" i="10"/>
  <c r="AP102" i="10" s="1"/>
  <c r="BF284" i="10"/>
  <c r="BG284" i="10" s="1"/>
  <c r="BF237" i="10"/>
  <c r="BG237" i="10" s="1"/>
  <c r="BF231" i="10"/>
  <c r="BG231" i="10" s="1"/>
  <c r="BF202" i="10"/>
  <c r="BG202" i="10" s="1"/>
  <c r="BF287" i="10"/>
  <c r="BG287" i="10" s="1"/>
  <c r="BF207" i="10"/>
  <c r="BG207" i="10" s="1"/>
  <c r="BF184" i="10"/>
  <c r="BG184" i="10" s="1"/>
  <c r="BF278" i="10"/>
  <c r="BG278" i="10" s="1"/>
  <c r="BF94" i="10"/>
  <c r="BG94" i="10" s="1"/>
  <c r="BF103" i="10"/>
  <c r="BG103" i="10" s="1"/>
  <c r="BF87" i="10"/>
  <c r="BG87" i="10" s="1"/>
  <c r="BF75" i="10"/>
  <c r="BG75" i="10" s="1"/>
  <c r="AL234" i="10"/>
  <c r="AM234" i="10" s="1"/>
  <c r="AO235" i="10"/>
  <c r="AP235" i="10" s="1"/>
  <c r="AL235" i="10"/>
  <c r="AM235" i="10" s="1"/>
  <c r="AI218" i="10"/>
  <c r="AO218" i="10"/>
  <c r="AP218" i="10" s="1"/>
  <c r="AI215" i="10"/>
  <c r="AO215" i="10"/>
  <c r="AP215" i="10" s="1"/>
  <c r="AI211" i="10"/>
  <c r="AO211" i="10"/>
  <c r="AP211" i="10" s="1"/>
  <c r="AI209" i="10"/>
  <c r="AO209" i="10"/>
  <c r="AP209" i="10" s="1"/>
  <c r="AI275" i="10"/>
  <c r="AO275" i="10"/>
  <c r="AP275" i="10" s="1"/>
  <c r="AI271" i="10"/>
  <c r="AO271" i="10"/>
  <c r="AP271" i="10" s="1"/>
  <c r="AI269" i="10"/>
  <c r="AO269" i="10"/>
  <c r="AP269" i="10" s="1"/>
  <c r="AI272" i="10"/>
  <c r="AO272" i="10"/>
  <c r="AP272" i="10" s="1"/>
  <c r="AI204" i="10"/>
  <c r="AO204" i="10"/>
  <c r="AP204" i="10" s="1"/>
  <c r="AI201" i="10"/>
  <c r="AP201" i="10"/>
  <c r="AI264" i="10"/>
  <c r="AO264" i="10"/>
  <c r="AP264" i="10" s="1"/>
  <c r="AN241" i="10"/>
  <c r="AN229" i="10"/>
  <c r="AI223" i="10"/>
  <c r="AO223" i="10"/>
  <c r="AP223" i="10" s="1"/>
  <c r="AL218" i="10"/>
  <c r="AM218" i="10" s="1"/>
  <c r="AL215" i="10"/>
  <c r="AM215" i="10" s="1"/>
  <c r="AI213" i="10"/>
  <c r="AO213" i="10"/>
  <c r="AP213" i="10" s="1"/>
  <c r="AN234" i="10"/>
  <c r="AO227" i="10"/>
  <c r="AP227" i="10" s="1"/>
  <c r="AO246" i="10"/>
  <c r="AP246" i="10" s="1"/>
  <c r="AO242" i="10"/>
  <c r="AP242" i="10" s="1"/>
  <c r="AN235" i="10"/>
  <c r="AN223" i="10"/>
  <c r="AN218" i="10"/>
  <c r="AN215" i="10"/>
  <c r="AN213" i="10"/>
  <c r="AN211" i="10"/>
  <c r="AN209" i="10"/>
  <c r="AN275" i="10"/>
  <c r="AN271" i="10"/>
  <c r="AN269" i="10"/>
  <c r="AN272" i="10"/>
  <c r="AN204" i="10"/>
  <c r="AN201" i="10"/>
  <c r="AN264" i="10"/>
  <c r="AO172" i="10"/>
  <c r="AP172" i="10" s="1"/>
  <c r="AI169" i="10"/>
  <c r="AO169" i="10"/>
  <c r="AP169" i="10" s="1"/>
  <c r="AI171" i="10"/>
  <c r="AO171" i="10"/>
  <c r="AP171" i="10" s="1"/>
  <c r="AI285" i="10"/>
  <c r="AO285" i="10"/>
  <c r="AP285" i="10" s="1"/>
  <c r="AI253" i="10"/>
  <c r="AO253" i="10"/>
  <c r="AP253" i="10" s="1"/>
  <c r="AI283" i="10"/>
  <c r="AO283" i="10"/>
  <c r="AP283" i="10" s="1"/>
  <c r="AI254" i="10"/>
  <c r="AO254" i="10"/>
  <c r="AP254" i="10" s="1"/>
  <c r="AI237" i="10"/>
  <c r="AO237" i="10"/>
  <c r="AP237" i="10" s="1"/>
  <c r="AI245" i="10"/>
  <c r="AO245" i="10"/>
  <c r="AP245" i="10" s="1"/>
  <c r="AI231" i="10"/>
  <c r="AO231" i="10"/>
  <c r="AP231" i="10" s="1"/>
  <c r="AI199" i="10"/>
  <c r="AO199" i="10"/>
  <c r="AP199" i="10" s="1"/>
  <c r="AI202" i="10"/>
  <c r="AO202" i="10"/>
  <c r="AP202" i="10" s="1"/>
  <c r="AI286" i="10"/>
  <c r="AO286" i="10"/>
  <c r="AP286" i="10" s="1"/>
  <c r="AI287" i="10"/>
  <c r="AO287" i="10"/>
  <c r="AP287" i="10" s="1"/>
  <c r="AI260" i="10"/>
  <c r="AO260" i="10"/>
  <c r="AP260" i="10" s="1"/>
  <c r="AI207" i="10"/>
  <c r="AO207" i="10"/>
  <c r="AP207" i="10" s="1"/>
  <c r="AO180" i="10"/>
  <c r="AP180" i="10" s="1"/>
  <c r="AO178" i="10"/>
  <c r="AP178" i="10" s="1"/>
  <c r="AO179" i="10"/>
  <c r="AP179" i="10" s="1"/>
  <c r="AO174" i="10"/>
  <c r="AP174" i="10" s="1"/>
  <c r="AN172" i="10"/>
  <c r="AN169" i="10"/>
  <c r="AN171" i="10"/>
  <c r="AN285" i="10"/>
  <c r="AN253" i="10"/>
  <c r="AN283" i="10"/>
  <c r="AN254" i="10"/>
  <c r="AN237" i="10"/>
  <c r="AN245" i="10"/>
  <c r="AN231" i="10"/>
  <c r="AN199" i="10"/>
  <c r="AN202" i="10"/>
  <c r="AN286" i="10"/>
  <c r="AN287" i="10"/>
  <c r="AO205" i="10"/>
  <c r="AP205" i="10" s="1"/>
  <c r="AO197" i="10"/>
  <c r="AP197" i="10" s="1"/>
  <c r="AO192" i="10"/>
  <c r="AP192" i="10" s="1"/>
  <c r="AO183" i="10"/>
  <c r="AP183" i="10" s="1"/>
  <c r="AO184" i="10"/>
  <c r="AP184" i="10" s="1"/>
  <c r="AO187" i="10"/>
  <c r="AP187" i="10" s="1"/>
  <c r="AO280" i="10"/>
  <c r="AP280" i="10" s="1"/>
  <c r="AO282" i="10"/>
  <c r="AP282" i="10" s="1"/>
  <c r="AO278" i="10"/>
  <c r="AP278" i="10" s="1"/>
  <c r="AO216" i="10"/>
  <c r="AP216" i="10" s="1"/>
  <c r="AO98" i="10"/>
  <c r="AP98" i="10" s="1"/>
  <c r="AO100" i="10"/>
  <c r="AP100" i="10" s="1"/>
  <c r="AO94" i="10"/>
  <c r="AP94" i="10" s="1"/>
  <c r="AO91" i="10"/>
  <c r="AP91" i="10" s="1"/>
  <c r="AO108" i="10"/>
  <c r="AP108" i="10" s="1"/>
  <c r="AO105" i="10"/>
  <c r="AP105" i="10" s="1"/>
  <c r="AO103" i="10"/>
  <c r="AP103" i="10" s="1"/>
  <c r="AO99" i="10"/>
  <c r="AP99" i="10" s="1"/>
  <c r="AO95" i="10"/>
  <c r="AP95" i="10" s="1"/>
  <c r="AO90" i="10"/>
  <c r="AP90" i="10" s="1"/>
  <c r="AO87" i="10"/>
  <c r="AP87" i="10" s="1"/>
  <c r="AO83" i="10"/>
  <c r="AP83" i="10" s="1"/>
  <c r="AO81" i="10"/>
  <c r="AP81" i="10" s="1"/>
  <c r="AO79" i="10"/>
  <c r="AP79" i="10" s="1"/>
  <c r="AO74" i="10"/>
  <c r="AP74" i="10" s="1"/>
  <c r="AO225" i="10"/>
  <c r="AP225" i="10" s="1"/>
  <c r="AO85" i="10"/>
  <c r="AP85" i="10" s="1"/>
  <c r="BE257" i="10"/>
  <c r="BF257" i="10"/>
  <c r="BG257" i="10" s="1"/>
  <c r="BE221" i="10"/>
  <c r="BF221" i="10"/>
  <c r="BG221" i="10" s="1"/>
  <c r="BE226" i="10"/>
  <c r="BF226" i="10"/>
  <c r="BG226" i="10" s="1"/>
  <c r="BE198" i="10"/>
  <c r="BF198" i="10"/>
  <c r="BG198" i="10" s="1"/>
  <c r="BE255" i="10"/>
  <c r="BF255" i="10"/>
  <c r="BG255" i="10" s="1"/>
  <c r="BE252" i="10"/>
  <c r="BF252" i="10"/>
  <c r="BG252" i="10" s="1"/>
  <c r="BE236" i="10"/>
  <c r="BF236" i="10"/>
  <c r="BG236" i="10" s="1"/>
  <c r="BE203" i="10"/>
  <c r="BF203" i="10"/>
  <c r="BG203" i="10" s="1"/>
  <c r="BE250" i="10"/>
  <c r="BF250" i="10"/>
  <c r="BG250" i="10" s="1"/>
  <c r="BF266" i="10"/>
  <c r="BG266" i="10" s="1"/>
  <c r="BF251" i="10"/>
  <c r="BG251" i="10" s="1"/>
  <c r="BF208" i="10"/>
  <c r="BG208" i="10" s="1"/>
  <c r="BF206" i="10"/>
  <c r="BG206" i="10" s="1"/>
  <c r="BF194" i="10"/>
  <c r="BG194" i="10" s="1"/>
  <c r="BF183" i="10"/>
  <c r="BG183" i="10" s="1"/>
  <c r="BF187" i="10"/>
  <c r="BG187" i="10" s="1"/>
  <c r="BF282" i="10"/>
  <c r="BG282" i="10" s="1"/>
  <c r="BF216" i="10"/>
  <c r="BG216" i="10" s="1"/>
  <c r="BF100" i="10"/>
  <c r="BG100" i="10" s="1"/>
  <c r="BF91" i="10"/>
  <c r="BG91" i="10" s="1"/>
  <c r="BF105" i="10"/>
  <c r="BG105" i="10" s="1"/>
  <c r="BF99" i="10"/>
  <c r="BG99" i="10" s="1"/>
  <c r="BF90" i="10"/>
  <c r="BG90" i="10" s="1"/>
  <c r="BF83" i="10"/>
  <c r="BG83" i="10" s="1"/>
  <c r="BF79" i="10"/>
  <c r="BG79" i="10" s="1"/>
  <c r="BF78" i="10"/>
  <c r="BG78" i="10" s="1"/>
  <c r="BF200" i="10"/>
  <c r="BG200" i="10" s="1"/>
  <c r="BF227" i="10"/>
  <c r="BG227" i="10" s="1"/>
  <c r="BF215" i="10"/>
  <c r="BG215" i="10" s="1"/>
  <c r="BF211" i="10"/>
  <c r="BG211" i="10" s="1"/>
  <c r="BF275" i="10"/>
  <c r="BG275" i="10" s="1"/>
  <c r="BF269" i="10"/>
  <c r="BG269" i="10" s="1"/>
  <c r="BF259" i="10"/>
  <c r="BG259" i="10" s="1"/>
  <c r="BF264" i="10"/>
  <c r="BG264" i="10" s="1"/>
  <c r="BF178" i="10"/>
  <c r="BG178" i="10" s="1"/>
  <c r="BF174" i="10"/>
  <c r="BG174" i="10" s="1"/>
  <c r="BF169" i="10"/>
  <c r="BG169" i="10" s="1"/>
  <c r="BF289" i="10"/>
  <c r="BG289" i="10" s="1"/>
  <c r="BF256" i="10"/>
  <c r="BG256" i="10" s="1"/>
  <c r="CD284" i="10"/>
  <c r="CD221" i="10"/>
  <c r="CD236" i="10"/>
  <c r="CE207" i="10"/>
  <c r="CF207" i="10" s="1"/>
  <c r="CE205" i="10"/>
  <c r="CF205" i="10" s="1"/>
  <c r="CD280" i="10"/>
  <c r="CD216" i="10"/>
  <c r="CE97" i="10"/>
  <c r="CF97" i="10" s="1"/>
  <c r="CE88" i="10"/>
  <c r="CF88" i="10" s="1"/>
  <c r="CE104" i="10"/>
  <c r="CF104" i="10" s="1"/>
  <c r="CE96" i="10"/>
  <c r="CF96" i="10" s="1"/>
  <c r="CD92" i="10"/>
  <c r="CD84" i="10"/>
  <c r="CG80" i="10"/>
  <c r="CD79" i="10"/>
  <c r="CE75" i="10"/>
  <c r="CF75" i="10" s="1"/>
  <c r="CE76" i="10"/>
  <c r="CD225" i="10"/>
  <c r="CD85" i="10"/>
  <c r="CD234" i="10"/>
  <c r="CE244" i="10"/>
  <c r="CF244" i="10" s="1"/>
  <c r="CE235" i="10"/>
  <c r="CF235" i="10" s="1"/>
  <c r="CE224" i="10"/>
  <c r="CF224" i="10" s="1"/>
  <c r="CD218" i="10"/>
  <c r="CE212" i="10"/>
  <c r="CF212" i="10" s="1"/>
  <c r="CE275" i="10"/>
  <c r="CF275" i="10" s="1"/>
  <c r="CE270" i="10"/>
  <c r="CF270" i="10" s="1"/>
  <c r="CE276" i="10"/>
  <c r="CF276" i="10" s="1"/>
  <c r="CG173" i="10"/>
  <c r="CG263" i="10"/>
  <c r="CD237" i="10"/>
  <c r="CD245" i="10"/>
  <c r="CE250" i="10"/>
  <c r="CF250" i="10" s="1"/>
  <c r="CE208" i="10"/>
  <c r="CD188" i="10"/>
  <c r="CD182" i="10"/>
  <c r="CD279" i="10"/>
  <c r="CD265" i="10"/>
  <c r="CE107" i="10"/>
  <c r="CF107" i="10" s="1"/>
  <c r="CE93" i="10"/>
  <c r="CF93" i="10" s="1"/>
  <c r="CE106" i="10"/>
  <c r="CF106" i="10" s="1"/>
  <c r="CE101" i="10"/>
  <c r="CF101" i="10" s="1"/>
  <c r="CG92" i="10"/>
  <c r="CE89" i="10"/>
  <c r="CG89" i="10" s="1"/>
  <c r="CE82" i="10"/>
  <c r="CG82" i="10" s="1"/>
  <c r="CD80" i="10"/>
  <c r="CE77" i="10"/>
  <c r="CF77" i="10" s="1"/>
  <c r="CD74" i="10"/>
  <c r="CG225" i="10"/>
  <c r="CE102" i="10"/>
  <c r="CG102" i="10" s="1"/>
  <c r="CG243" i="10"/>
  <c r="CD247" i="10"/>
  <c r="CG241" i="10"/>
  <c r="CD229" i="10"/>
  <c r="CG222" i="10"/>
  <c r="CD214" i="10"/>
  <c r="CG210" i="10"/>
  <c r="CD274" i="10"/>
  <c r="CG268" i="10"/>
  <c r="CD259" i="10"/>
  <c r="CE178" i="10"/>
  <c r="CF178" i="10" s="1"/>
  <c r="CE176" i="10"/>
  <c r="CF176" i="10" s="1"/>
  <c r="CD172" i="10"/>
  <c r="CE288" i="10"/>
  <c r="CF288" i="10" s="1"/>
  <c r="CE256" i="10"/>
  <c r="CF256" i="10" s="1"/>
  <c r="AL243" i="10"/>
  <c r="AM243" i="10" s="1"/>
  <c r="AL233" i="10"/>
  <c r="AM233" i="10" s="1"/>
  <c r="AN247" i="10"/>
  <c r="AL247" i="10"/>
  <c r="AM247" i="10" s="1"/>
  <c r="AN244" i="10"/>
  <c r="AL244" i="10"/>
  <c r="AM244" i="10" s="1"/>
  <c r="AL241" i="10"/>
  <c r="AM241" i="10" s="1"/>
  <c r="AN238" i="10"/>
  <c r="AL238" i="10"/>
  <c r="AM238" i="10" s="1"/>
  <c r="AL224" i="10"/>
  <c r="AM224" i="10" s="1"/>
  <c r="AI75" i="10"/>
  <c r="AO75" i="10"/>
  <c r="AP75" i="10" s="1"/>
  <c r="AI78" i="10"/>
  <c r="AO78" i="10"/>
  <c r="AP78" i="10" s="1"/>
  <c r="AI230" i="10"/>
  <c r="AO230" i="10"/>
  <c r="AP230" i="10" s="1"/>
  <c r="AI200" i="10"/>
  <c r="AO200" i="10"/>
  <c r="AP200" i="10" s="1"/>
  <c r="AI86" i="10"/>
  <c r="AO86" i="10"/>
  <c r="AP86" i="10" s="1"/>
  <c r="AL229" i="10"/>
  <c r="AM229" i="10" s="1"/>
  <c r="AN243" i="10"/>
  <c r="AN233" i="10"/>
  <c r="AO247" i="10"/>
  <c r="AP247" i="10" s="1"/>
  <c r="AO244" i="10"/>
  <c r="AP244" i="10" s="1"/>
  <c r="AO241" i="10"/>
  <c r="AP241" i="10" s="1"/>
  <c r="AO238" i="10"/>
  <c r="AP238" i="10" s="1"/>
  <c r="AO229" i="10"/>
  <c r="AP229" i="10" s="1"/>
  <c r="AO224" i="10"/>
  <c r="AP224" i="10" s="1"/>
  <c r="AO222" i="10"/>
  <c r="AP222" i="10" s="1"/>
  <c r="AO219" i="10"/>
  <c r="AP219" i="10" s="1"/>
  <c r="AO214" i="10"/>
  <c r="AP214" i="10" s="1"/>
  <c r="AO212" i="10"/>
  <c r="AP212" i="10" s="1"/>
  <c r="AO210" i="10"/>
  <c r="AP210" i="10" s="1"/>
  <c r="AO273" i="10"/>
  <c r="AP273" i="10" s="1"/>
  <c r="AO274" i="10"/>
  <c r="AP274" i="10" s="1"/>
  <c r="AO270" i="10"/>
  <c r="AP270" i="10" s="1"/>
  <c r="AO268" i="10"/>
  <c r="AP268" i="10" s="1"/>
  <c r="AO267" i="10"/>
  <c r="AP267" i="10" s="1"/>
  <c r="AO259" i="10"/>
  <c r="AP259" i="10" s="1"/>
  <c r="AO276" i="10"/>
  <c r="AP276" i="10" s="1"/>
  <c r="AO258" i="10"/>
  <c r="AP258" i="10" s="1"/>
  <c r="AO177" i="10"/>
  <c r="AP177" i="10" s="1"/>
  <c r="AO181" i="10"/>
  <c r="AP181" i="10" s="1"/>
  <c r="AO176" i="10"/>
  <c r="AP176" i="10" s="1"/>
  <c r="AO173" i="10"/>
  <c r="AP173" i="10" s="1"/>
  <c r="AO170" i="10"/>
  <c r="AP170" i="10" s="1"/>
  <c r="AO175" i="10"/>
  <c r="AP175" i="10" s="1"/>
  <c r="AO288" i="10"/>
  <c r="AP288" i="10" s="1"/>
  <c r="AO255" i="10"/>
  <c r="AP255" i="10" s="1"/>
  <c r="AO284" i="10"/>
  <c r="AP284" i="10" s="1"/>
  <c r="AO257" i="10"/>
  <c r="AP257" i="10" s="1"/>
  <c r="AO252" i="10"/>
  <c r="AP252" i="10" s="1"/>
  <c r="AO221" i="10"/>
  <c r="AP221" i="10" s="1"/>
  <c r="AO236" i="10"/>
  <c r="AP236" i="10" s="1"/>
  <c r="AO226" i="10"/>
  <c r="AP226" i="10" s="1"/>
  <c r="AO203" i="10"/>
  <c r="AP203" i="10" s="1"/>
  <c r="AO198" i="10"/>
  <c r="AP198" i="10" s="1"/>
  <c r="AO250" i="10"/>
  <c r="AP250" i="10" s="1"/>
  <c r="AO266" i="10"/>
  <c r="AP266" i="10" s="1"/>
  <c r="AO251" i="10"/>
  <c r="AP251" i="10" s="1"/>
  <c r="AO208" i="10"/>
  <c r="AP208" i="10" s="1"/>
  <c r="AO206" i="10"/>
  <c r="AP206" i="10" s="1"/>
  <c r="AO194" i="10"/>
  <c r="AP194" i="10" s="1"/>
  <c r="AO188" i="10"/>
  <c r="AP188" i="10" s="1"/>
  <c r="AO182" i="10"/>
  <c r="AP182" i="10" s="1"/>
  <c r="AO279" i="10"/>
  <c r="AP279" i="10" s="1"/>
  <c r="AO265" i="10"/>
  <c r="AP265" i="10" s="1"/>
  <c r="AO281" i="10"/>
  <c r="AP281" i="10" s="1"/>
  <c r="AO277" i="10"/>
  <c r="AP277" i="10" s="1"/>
  <c r="AO217" i="10"/>
  <c r="AP217" i="10" s="1"/>
  <c r="AO107" i="10"/>
  <c r="AP107" i="10" s="1"/>
  <c r="AO97" i="10"/>
  <c r="AP97" i="10" s="1"/>
  <c r="AO93" i="10"/>
  <c r="AP93" i="10" s="1"/>
  <c r="AO88" i="10"/>
  <c r="AP88" i="10" s="1"/>
  <c r="AO106" i="10"/>
  <c r="AP106" i="10" s="1"/>
  <c r="AO104" i="10"/>
  <c r="AP104" i="10" s="1"/>
  <c r="AO101" i="10"/>
  <c r="AP101" i="10" s="1"/>
  <c r="AO96" i="10"/>
  <c r="AP96" i="10" s="1"/>
  <c r="AO92" i="10"/>
  <c r="AP92" i="10" s="1"/>
  <c r="AO89" i="10"/>
  <c r="AP89" i="10" s="1"/>
  <c r="AO84" i="10"/>
  <c r="AP84" i="10" s="1"/>
  <c r="AO82" i="10"/>
  <c r="AP82" i="10" s="1"/>
  <c r="AO80" i="10"/>
  <c r="AP80" i="10" s="1"/>
  <c r="AN79" i="10"/>
  <c r="AN75" i="10"/>
  <c r="AN78" i="10"/>
  <c r="AN230" i="10"/>
  <c r="AN200" i="10"/>
  <c r="AN86" i="10"/>
  <c r="BF285" i="10"/>
  <c r="BG285" i="10" s="1"/>
  <c r="BF253" i="10"/>
  <c r="BG253" i="10" s="1"/>
  <c r="BF283" i="10"/>
  <c r="BG283" i="10" s="1"/>
  <c r="BF188" i="10"/>
  <c r="BG188" i="10" s="1"/>
  <c r="BF182" i="10"/>
  <c r="BG182" i="10" s="1"/>
  <c r="BF193" i="10"/>
  <c r="BG193" i="10" s="1"/>
  <c r="BF279" i="10"/>
  <c r="BG279" i="10" s="1"/>
  <c r="BF265" i="10"/>
  <c r="BG265" i="10" s="1"/>
  <c r="BF281" i="10"/>
  <c r="BG281" i="10" s="1"/>
  <c r="BF277" i="10"/>
  <c r="BG277" i="10" s="1"/>
  <c r="BF217" i="10"/>
  <c r="BG217" i="10" s="1"/>
  <c r="BF107" i="10"/>
  <c r="BG107" i="10" s="1"/>
  <c r="BF97" i="10"/>
  <c r="BG97" i="10" s="1"/>
  <c r="BF93" i="10"/>
  <c r="BG93" i="10" s="1"/>
  <c r="BF88" i="10"/>
  <c r="BG88" i="10" s="1"/>
  <c r="BF106" i="10"/>
  <c r="BG106" i="10" s="1"/>
  <c r="BF104" i="10"/>
  <c r="BG104" i="10" s="1"/>
  <c r="BF101" i="10"/>
  <c r="BG101" i="10" s="1"/>
  <c r="BF96" i="10"/>
  <c r="BG96" i="10" s="1"/>
  <c r="BF92" i="10"/>
  <c r="BG92" i="10" s="1"/>
  <c r="BF89" i="10"/>
  <c r="BG89" i="10" s="1"/>
  <c r="BF84" i="10"/>
  <c r="BG84" i="10" s="1"/>
  <c r="BF82" i="10"/>
  <c r="BG82" i="10" s="1"/>
  <c r="BF80" i="10"/>
  <c r="BG80" i="10" s="1"/>
  <c r="BF77" i="10"/>
  <c r="BG77" i="10" s="1"/>
  <c r="BF74" i="10"/>
  <c r="BG74" i="10" s="1"/>
  <c r="BF76" i="10"/>
  <c r="BG76" i="10" s="1"/>
  <c r="BF225" i="10"/>
  <c r="BG225" i="10" s="1"/>
  <c r="BF102" i="10"/>
  <c r="BG102" i="10" s="1"/>
  <c r="BF85" i="10"/>
  <c r="BG85" i="10" s="1"/>
  <c r="BF243" i="10"/>
  <c r="BG243" i="10" s="1"/>
  <c r="BF233" i="10"/>
  <c r="BG233" i="10" s="1"/>
  <c r="BF247" i="10"/>
  <c r="BG247" i="10" s="1"/>
  <c r="BF244" i="10"/>
  <c r="BG244" i="10" s="1"/>
  <c r="BF238" i="10"/>
  <c r="BG238" i="10" s="1"/>
  <c r="BF229" i="10"/>
  <c r="BG229" i="10" s="1"/>
  <c r="BF222" i="10"/>
  <c r="BG222" i="10" s="1"/>
  <c r="BF219" i="10"/>
  <c r="BG219" i="10" s="1"/>
  <c r="BF214" i="10"/>
  <c r="BG214" i="10" s="1"/>
  <c r="BF212" i="10"/>
  <c r="BG212" i="10" s="1"/>
  <c r="BF210" i="10"/>
  <c r="BG210" i="10" s="1"/>
  <c r="BF273" i="10"/>
  <c r="BG273" i="10" s="1"/>
  <c r="BF274" i="10"/>
  <c r="BG274" i="10" s="1"/>
  <c r="BF270" i="10"/>
  <c r="BG270" i="10" s="1"/>
  <c r="BF268" i="10"/>
  <c r="BG268" i="10" s="1"/>
  <c r="BF276" i="10"/>
  <c r="BG276" i="10" s="1"/>
  <c r="BF258" i="10"/>
  <c r="BG258" i="10" s="1"/>
  <c r="BF177" i="10"/>
  <c r="BG177" i="10" s="1"/>
  <c r="BF181" i="10"/>
  <c r="BG181" i="10" s="1"/>
  <c r="BF176" i="10"/>
  <c r="BG176" i="10" s="1"/>
  <c r="BF173" i="10"/>
  <c r="BG173" i="10" s="1"/>
  <c r="BF170" i="10"/>
  <c r="BG170" i="10" s="1"/>
  <c r="BF175" i="10"/>
  <c r="BG175" i="10" s="1"/>
  <c r="BE288" i="10"/>
  <c r="BF288" i="10"/>
  <c r="BG288" i="10" s="1"/>
  <c r="BE261" i="10"/>
  <c r="BF261" i="10"/>
  <c r="BG261" i="10" s="1"/>
  <c r="BF272" i="10"/>
  <c r="BG272" i="10" s="1"/>
  <c r="BF204" i="10"/>
  <c r="BG204" i="10" s="1"/>
  <c r="BE263" i="10"/>
  <c r="BF263" i="10"/>
  <c r="BG263" i="10" s="1"/>
  <c r="BE249" i="10"/>
  <c r="BF249" i="10"/>
  <c r="BG249" i="10" s="1"/>
  <c r="CG253" i="10"/>
  <c r="CG237" i="10"/>
  <c r="CG245" i="10"/>
  <c r="CE199" i="10"/>
  <c r="CF199" i="10" s="1"/>
  <c r="CD199" i="10"/>
  <c r="CE183" i="10"/>
  <c r="CF183" i="10" s="1"/>
  <c r="CD183" i="10"/>
  <c r="CE184" i="10"/>
  <c r="CF184" i="10" s="1"/>
  <c r="CD184" i="10"/>
  <c r="CG280" i="10"/>
  <c r="CF280" i="10"/>
  <c r="CG216" i="10"/>
  <c r="CF216" i="10"/>
  <c r="CD95" i="10"/>
  <c r="CE95" i="10"/>
  <c r="CF95" i="10" s="1"/>
  <c r="CE83" i="10"/>
  <c r="CF83" i="10" s="1"/>
  <c r="CD83" i="10"/>
  <c r="CD81" i="10"/>
  <c r="CE81" i="10"/>
  <c r="CF81" i="10" s="1"/>
  <c r="CD78" i="10"/>
  <c r="CE78" i="10" s="1"/>
  <c r="CD230" i="10"/>
  <c r="CE230" i="10"/>
  <c r="CF230" i="10" s="1"/>
  <c r="CD220" i="10"/>
  <c r="CE220" i="10"/>
  <c r="CF220" i="10" s="1"/>
  <c r="CD227" i="10"/>
  <c r="CE227" i="10"/>
  <c r="CF227" i="10" s="1"/>
  <c r="CE246" i="10"/>
  <c r="CF246" i="10" s="1"/>
  <c r="CD246" i="10"/>
  <c r="CD242" i="10"/>
  <c r="CE242" i="10"/>
  <c r="CF242" i="10" s="1"/>
  <c r="CE239" i="10"/>
  <c r="CF239" i="10" s="1"/>
  <c r="CD239" i="10"/>
  <c r="CE228" i="10"/>
  <c r="CF228" i="10" s="1"/>
  <c r="CD228" i="10"/>
  <c r="CD223" i="10"/>
  <c r="CE223" i="10"/>
  <c r="CF223" i="10" s="1"/>
  <c r="CD215" i="10"/>
  <c r="CE215" i="10"/>
  <c r="CF215" i="10" s="1"/>
  <c r="CE213" i="10"/>
  <c r="CF213" i="10" s="1"/>
  <c r="CD213" i="10"/>
  <c r="CD211" i="10"/>
  <c r="CE211" i="10"/>
  <c r="CF211" i="10" s="1"/>
  <c r="CE209" i="10"/>
  <c r="CF209" i="10" s="1"/>
  <c r="CD209" i="10"/>
  <c r="CE271" i="10"/>
  <c r="CF271" i="10" s="1"/>
  <c r="CD271" i="10"/>
  <c r="CD269" i="10"/>
  <c r="CE269" i="10"/>
  <c r="CF269" i="10" s="1"/>
  <c r="CE272" i="10"/>
  <c r="CF272" i="10" s="1"/>
  <c r="CD204" i="10"/>
  <c r="CE204" i="10"/>
  <c r="CF204" i="10" s="1"/>
  <c r="CD201" i="10"/>
  <c r="CE201" i="10" s="1"/>
  <c r="CD264" i="10"/>
  <c r="CE264" i="10" s="1"/>
  <c r="CE180" i="10"/>
  <c r="CF180" i="10" s="1"/>
  <c r="CD180" i="10"/>
  <c r="CD179" i="10"/>
  <c r="CE179" i="10" s="1"/>
  <c r="CD174" i="10"/>
  <c r="CE174" i="10"/>
  <c r="CF174" i="10" s="1"/>
  <c r="CD169" i="10"/>
  <c r="CE169" i="10"/>
  <c r="CF169" i="10" s="1"/>
  <c r="CD171" i="10"/>
  <c r="CE171" i="10" s="1"/>
  <c r="CD289" i="10"/>
  <c r="CE289" i="10"/>
  <c r="CF289" i="10" s="1"/>
  <c r="CE262" i="10"/>
  <c r="CF262" i="10" s="1"/>
  <c r="CD262" i="10"/>
  <c r="CE286" i="10"/>
  <c r="CF286" i="10" s="1"/>
  <c r="CE98" i="10"/>
  <c r="CE100" i="10"/>
  <c r="CE94" i="10"/>
  <c r="CE91" i="10"/>
  <c r="CE108" i="10"/>
  <c r="CE105" i="10"/>
  <c r="CE103" i="10"/>
  <c r="CE99" i="10"/>
  <c r="CD90" i="10"/>
  <c r="CE87" i="10"/>
  <c r="CF87" i="10" s="1"/>
  <c r="CD200" i="10"/>
  <c r="CE200" i="10" s="1"/>
  <c r="CE86" i="10"/>
  <c r="CF86" i="10" s="1"/>
  <c r="CD253" i="10"/>
  <c r="CF279" i="10"/>
  <c r="CF265" i="10"/>
  <c r="CG84" i="10"/>
  <c r="CG74" i="10"/>
  <c r="CG85" i="10"/>
  <c r="CE181" i="10"/>
  <c r="CE175" i="10"/>
  <c r="CD243" i="10"/>
  <c r="CE233" i="10"/>
  <c r="CG247" i="10"/>
  <c r="CD241" i="10"/>
  <c r="CE238" i="10"/>
  <c r="CG229" i="10"/>
  <c r="CD222" i="10"/>
  <c r="CE219" i="10"/>
  <c r="CG214" i="10"/>
  <c r="CD210" i="10"/>
  <c r="CE273" i="10"/>
  <c r="CG274" i="10"/>
  <c r="CD268" i="10"/>
  <c r="CE267" i="10"/>
  <c r="CG259" i="10"/>
  <c r="CD258" i="10"/>
  <c r="CE258" i="10" s="1"/>
  <c r="CG258" i="10" s="1"/>
  <c r="CE177" i="10"/>
  <c r="CD173" i="10"/>
  <c r="CE170" i="10"/>
  <c r="CD263" i="10"/>
  <c r="CE261" i="10"/>
  <c r="CG257" i="10"/>
  <c r="CG252" i="10"/>
  <c r="CG226" i="10"/>
  <c r="CG202" i="10"/>
  <c r="CG287" i="10"/>
  <c r="CG260" i="10"/>
  <c r="CG206" i="10"/>
  <c r="CG187" i="10"/>
  <c r="CG281" i="10"/>
  <c r="CF281" i="10"/>
  <c r="CG277" i="10"/>
  <c r="CF277" i="10"/>
  <c r="CG283" i="10"/>
  <c r="CG254" i="10"/>
  <c r="CG231" i="10"/>
  <c r="CG203" i="10"/>
  <c r="CG198" i="10"/>
  <c r="CG266" i="10"/>
  <c r="CG251" i="10"/>
  <c r="CG193" i="10"/>
  <c r="CG282" i="10"/>
  <c r="CF282" i="10"/>
  <c r="CG278" i="10"/>
  <c r="CF278" i="10"/>
  <c r="CG217" i="10"/>
  <c r="CF217" i="10"/>
  <c r="CG90" i="10"/>
  <c r="CG79" i="10"/>
  <c r="CG234" i="10"/>
  <c r="CG218" i="10"/>
  <c r="CG172" i="10"/>
  <c r="AO243" i="10"/>
  <c r="AP243" i="10" s="1"/>
  <c r="AO234" i="10"/>
  <c r="AP234" i="10" s="1"/>
  <c r="AO233" i="10"/>
  <c r="AP233" i="10" s="1"/>
  <c r="CL270" i="10"/>
  <c r="CL271" i="10"/>
  <c r="CL274" i="10"/>
  <c r="CL275" i="10"/>
  <c r="P270" i="10"/>
  <c r="P271" i="10"/>
  <c r="P274" i="10"/>
  <c r="P275" i="10"/>
  <c r="P273" i="10"/>
  <c r="F24" i="29" l="1"/>
  <c r="F27" i="28"/>
  <c r="CG208" i="10"/>
  <c r="CF208" i="10"/>
  <c r="CF76" i="10"/>
  <c r="CG76" i="10"/>
  <c r="CG192" i="10"/>
  <c r="CG194" i="10"/>
  <c r="CG224" i="10"/>
  <c r="CG256" i="10"/>
  <c r="CG271" i="10"/>
  <c r="CG239" i="10"/>
  <c r="CG88" i="10"/>
  <c r="CG212" i="10"/>
  <c r="CF89" i="10"/>
  <c r="CG176" i="10"/>
  <c r="CG96" i="10"/>
  <c r="CG207" i="10"/>
  <c r="CG81" i="10"/>
  <c r="CG95" i="10"/>
  <c r="CG288" i="10"/>
  <c r="CG244" i="10"/>
  <c r="CF102" i="10"/>
  <c r="CG270" i="10"/>
  <c r="CG101" i="10"/>
  <c r="CG93" i="10"/>
  <c r="CG250" i="10"/>
  <c r="CG289" i="10"/>
  <c r="CG204" i="10"/>
  <c r="CG213" i="10"/>
  <c r="CG228" i="10"/>
  <c r="CG246" i="10"/>
  <c r="CG178" i="10"/>
  <c r="CG262" i="10"/>
  <c r="CG169" i="10"/>
  <c r="CG174" i="10"/>
  <c r="CG180" i="10"/>
  <c r="CG107" i="10"/>
  <c r="CF264" i="10"/>
  <c r="CG264" i="10"/>
  <c r="CG272" i="10"/>
  <c r="CG209" i="10"/>
  <c r="CG75" i="10"/>
  <c r="CG77" i="10"/>
  <c r="CG86" i="10"/>
  <c r="CG106" i="10"/>
  <c r="CG87" i="10"/>
  <c r="CG276" i="10"/>
  <c r="CG104" i="10"/>
  <c r="CG97" i="10"/>
  <c r="CG205" i="10"/>
  <c r="CF82" i="10"/>
  <c r="CG269" i="10"/>
  <c r="CG275" i="10"/>
  <c r="CG211" i="10"/>
  <c r="CG215" i="10"/>
  <c r="CG223" i="10"/>
  <c r="CG235" i="10"/>
  <c r="CG242" i="10"/>
  <c r="CG227" i="10"/>
  <c r="CG220" i="10"/>
  <c r="CG230" i="10"/>
  <c r="CG83" i="10"/>
  <c r="CF258" i="10"/>
  <c r="CF200" i="10"/>
  <c r="CG200" i="10"/>
  <c r="CF171" i="10"/>
  <c r="CG171" i="10"/>
  <c r="CF201" i="10"/>
  <c r="CG201" i="10"/>
  <c r="CF78" i="10"/>
  <c r="CG78" i="10"/>
  <c r="CF179" i="10"/>
  <c r="CG179" i="10"/>
  <c r="CF267" i="10"/>
  <c r="CG267" i="10"/>
  <c r="CF219" i="10"/>
  <c r="CG219" i="10"/>
  <c r="CF233" i="10"/>
  <c r="CG233" i="10"/>
  <c r="CF175" i="10"/>
  <c r="CG175" i="10"/>
  <c r="CF99" i="10"/>
  <c r="CG99" i="10"/>
  <c r="CF105" i="10"/>
  <c r="CG105" i="10"/>
  <c r="CF91" i="10"/>
  <c r="CG91" i="10"/>
  <c r="CF100" i="10"/>
  <c r="CG100" i="10"/>
  <c r="CG286" i="10"/>
  <c r="CG184" i="10"/>
  <c r="CG183" i="10"/>
  <c r="CG199" i="10"/>
  <c r="CF261" i="10"/>
  <c r="CG261" i="10"/>
  <c r="CF170" i="10"/>
  <c r="CG170" i="10"/>
  <c r="CF177" i="10"/>
  <c r="CG177" i="10"/>
  <c r="CF273" i="10"/>
  <c r="CG273" i="10"/>
  <c r="CF238" i="10"/>
  <c r="CG238" i="10"/>
  <c r="CF181" i="10"/>
  <c r="CG181" i="10"/>
  <c r="CF103" i="10"/>
  <c r="CG103" i="10"/>
  <c r="CF108" i="10"/>
  <c r="CG108" i="10"/>
  <c r="CF94" i="10"/>
  <c r="CG94" i="10"/>
  <c r="CF98" i="10"/>
  <c r="CG98" i="10"/>
  <c r="CL193" i="10" l="1"/>
  <c r="CL184" i="10"/>
  <c r="CL182" i="10"/>
  <c r="CL183" i="10"/>
  <c r="CL188" i="10"/>
  <c r="CL192" i="10"/>
  <c r="BJ182" i="10"/>
  <c r="BJ183" i="10"/>
  <c r="BJ184" i="10"/>
  <c r="AI193" i="10" l="1"/>
  <c r="AL193" i="10"/>
  <c r="AM193" i="10" s="1"/>
  <c r="AO193" i="10"/>
  <c r="AP193" i="10" s="1"/>
  <c r="AN193" i="10"/>
  <c r="BM193" i="10"/>
  <c r="BN193" i="10" s="1"/>
  <c r="BO193" i="10"/>
  <c r="P184" i="10"/>
  <c r="P182" i="10"/>
  <c r="P183" i="10"/>
  <c r="P192" i="10"/>
  <c r="D20" i="28" l="1"/>
  <c r="D17" i="29"/>
  <c r="P179" i="10"/>
  <c r="P171" i="10"/>
  <c r="P175" i="10"/>
  <c r="P258" i="10"/>
  <c r="P264" i="10"/>
  <c r="P276" i="10"/>
  <c r="P230" i="10"/>
  <c r="P225" i="10"/>
  <c r="P177" i="10"/>
  <c r="P86" i="10"/>
  <c r="P222" i="10"/>
  <c r="P94" i="10"/>
  <c r="P97" i="10"/>
  <c r="P98" i="10"/>
  <c r="P174" i="10"/>
  <c r="P173" i="10"/>
  <c r="P90" i="10"/>
  <c r="P93" i="10"/>
  <c r="P172" i="10"/>
  <c r="P100" i="10"/>
  <c r="P95" i="10"/>
  <c r="P224" i="10"/>
  <c r="P88" i="10"/>
  <c r="P102" i="10"/>
  <c r="P104" i="10"/>
  <c r="P107" i="10"/>
  <c r="P223" i="10"/>
  <c r="P91" i="10"/>
  <c r="P235" i="10"/>
  <c r="P242" i="10"/>
  <c r="P204" i="10"/>
  <c r="P85" i="10"/>
  <c r="P218" i="10"/>
  <c r="P105" i="10"/>
  <c r="P96" i="10"/>
  <c r="P247" i="10"/>
  <c r="P229" i="10"/>
  <c r="P176" i="10"/>
  <c r="P244" i="10"/>
  <c r="P92" i="10"/>
  <c r="P238" i="10"/>
  <c r="P228" i="10"/>
  <c r="P241" i="10"/>
  <c r="P246" i="10"/>
  <c r="P99" i="10"/>
  <c r="P170" i="10"/>
  <c r="P87" i="10"/>
  <c r="P89" i="10"/>
  <c r="P101" i="10"/>
  <c r="P103" i="10"/>
  <c r="P106" i="10"/>
  <c r="P108" i="10"/>
  <c r="P188" i="10"/>
  <c r="P209" i="10"/>
  <c r="P210" i="10"/>
  <c r="P211" i="10"/>
  <c r="P212" i="10"/>
  <c r="P213" i="10"/>
  <c r="P214" i="10"/>
  <c r="P215" i="10"/>
  <c r="P227" i="10"/>
  <c r="P233" i="10"/>
  <c r="P234" i="10"/>
  <c r="P243" i="10"/>
  <c r="P169" i="10"/>
  <c r="P180" i="10"/>
  <c r="P288" i="10"/>
  <c r="P216" i="10"/>
  <c r="P74" i="10"/>
  <c r="P75" i="10"/>
  <c r="P77" i="10"/>
  <c r="P79" i="10"/>
  <c r="P80" i="10"/>
  <c r="P81" i="10"/>
  <c r="P82" i="10"/>
  <c r="P83" i="10"/>
  <c r="P84" i="10"/>
  <c r="P178" i="10"/>
  <c r="P259" i="10"/>
  <c r="P239" i="10"/>
  <c r="P248" i="10"/>
  <c r="P249" i="10"/>
  <c r="P256" i="10"/>
  <c r="P261" i="10"/>
  <c r="P262" i="10"/>
  <c r="P263" i="10"/>
  <c r="P289" i="10"/>
  <c r="P268" i="10"/>
  <c r="P269" i="10"/>
  <c r="P265" i="10"/>
  <c r="P280" i="10"/>
  <c r="P279" i="10"/>
  <c r="P200" i="10"/>
  <c r="P219" i="10"/>
  <c r="P193" i="10"/>
  <c r="P187" i="10"/>
  <c r="P267" i="10"/>
  <c r="P201" i="10"/>
  <c r="P272" i="10"/>
  <c r="P76" i="10"/>
  <c r="P78" i="10"/>
  <c r="P217" i="10"/>
  <c r="P277" i="10"/>
  <c r="P281" i="10"/>
  <c r="P278" i="10"/>
  <c r="P282" i="10"/>
  <c r="P181" i="10"/>
  <c r="BO248" i="10"/>
  <c r="BM248" i="10"/>
  <c r="E13" i="9" l="1"/>
  <c r="K74" i="25"/>
  <c r="K73" i="25"/>
  <c r="K72" i="25"/>
  <c r="K71" i="25"/>
  <c r="K70" i="25"/>
  <c r="K69" i="25"/>
  <c r="K68" i="25"/>
  <c r="K67" i="25"/>
  <c r="AA65" i="25"/>
  <c r="O65" i="25"/>
  <c r="N65" i="25"/>
  <c r="M65" i="25"/>
  <c r="K65" i="25"/>
  <c r="K64" i="25"/>
  <c r="K63" i="25"/>
  <c r="Q57" i="25"/>
  <c r="K57" i="25"/>
  <c r="AD56" i="25"/>
  <c r="AB56" i="25"/>
  <c r="K56" i="25"/>
  <c r="K50" i="25"/>
  <c r="K49" i="25"/>
  <c r="K48" i="25"/>
  <c r="K47" i="25"/>
  <c r="K46" i="25"/>
  <c r="K45" i="25"/>
  <c r="K44" i="25"/>
  <c r="K43" i="25"/>
  <c r="K41" i="25"/>
  <c r="AD37" i="25"/>
  <c r="AB37" i="25"/>
  <c r="K37" i="25"/>
  <c r="AB35" i="25"/>
  <c r="K35" i="25"/>
  <c r="K34" i="25"/>
  <c r="Q33" i="25"/>
  <c r="K33" i="25"/>
  <c r="AC32" i="25"/>
  <c r="AB32" i="25"/>
  <c r="K32" i="25"/>
  <c r="K30" i="25"/>
  <c r="K28" i="25"/>
  <c r="K27" i="25"/>
  <c r="K26" i="25"/>
  <c r="K16" i="25"/>
  <c r="K15" i="25"/>
  <c r="AC14" i="25"/>
  <c r="AB14" i="25"/>
  <c r="K14" i="25"/>
  <c r="K13" i="25"/>
  <c r="K12" i="25"/>
  <c r="K11" i="25"/>
  <c r="K10" i="25"/>
  <c r="AD9" i="25"/>
  <c r="AB9" i="25"/>
  <c r="K9" i="25"/>
  <c r="K7" i="25"/>
  <c r="AC6" i="25"/>
  <c r="AB6" i="25"/>
  <c r="K6" i="25"/>
  <c r="AB5" i="25"/>
  <c r="K5" i="25"/>
  <c r="CL227" i="10"/>
  <c r="CL215" i="10"/>
  <c r="CL214" i="10"/>
  <c r="CL213" i="10"/>
  <c r="CL212" i="10"/>
  <c r="CL211" i="10"/>
  <c r="CL210" i="10"/>
  <c r="CL209" i="10"/>
  <c r="CL269" i="10"/>
  <c r="CL268" i="10"/>
  <c r="CL289" i="10"/>
  <c r="AT289" i="10"/>
  <c r="AS289" i="10"/>
  <c r="AK289" i="10"/>
  <c r="CL263" i="10"/>
  <c r="AT263" i="10"/>
  <c r="AS263" i="10"/>
  <c r="AK263" i="10"/>
  <c r="AN263" i="10"/>
  <c r="CL262" i="10"/>
  <c r="AT262" i="10"/>
  <c r="AS262" i="10"/>
  <c r="AK262" i="10"/>
  <c r="CL261" i="10"/>
  <c r="AT261" i="10"/>
  <c r="AS261" i="10"/>
  <c r="AK261" i="10"/>
  <c r="CL256" i="10"/>
  <c r="AT256" i="10"/>
  <c r="AS256" i="10"/>
  <c r="AK256" i="10"/>
  <c r="AN256" i="10"/>
  <c r="CL249" i="10"/>
  <c r="CJ249" i="10"/>
  <c r="CA249" i="10"/>
  <c r="AT249" i="10"/>
  <c r="AS249" i="10"/>
  <c r="AK249" i="10"/>
  <c r="AN249" i="10"/>
  <c r="CL248" i="10"/>
  <c r="CJ248" i="10"/>
  <c r="CA248" i="10"/>
  <c r="BT248" i="10"/>
  <c r="BS248" i="10"/>
  <c r="BN248" i="10"/>
  <c r="BE248" i="10"/>
  <c r="BC248" i="10"/>
  <c r="AT248" i="10"/>
  <c r="AS248" i="10"/>
  <c r="CL245" i="10"/>
  <c r="CL236" i="10"/>
  <c r="CL230" i="10"/>
  <c r="CL225" i="10"/>
  <c r="CL247" i="10"/>
  <c r="CL246" i="10"/>
  <c r="CL244" i="10"/>
  <c r="CL242" i="10"/>
  <c r="CL241" i="10"/>
  <c r="CL239" i="10"/>
  <c r="CL238" i="10"/>
  <c r="CL235" i="10"/>
  <c r="CL229" i="10"/>
  <c r="CL228" i="10"/>
  <c r="CL224" i="10"/>
  <c r="CL223" i="10"/>
  <c r="CL222" i="10"/>
  <c r="CL218" i="10"/>
  <c r="CL199" i="10"/>
  <c r="CL204" i="10"/>
  <c r="CL178" i="10"/>
  <c r="CJ178" i="10"/>
  <c r="CL84" i="10"/>
  <c r="CL83" i="10"/>
  <c r="CL82" i="10"/>
  <c r="CL81" i="10"/>
  <c r="CL80" i="10"/>
  <c r="CL79" i="10"/>
  <c r="CL77" i="10"/>
  <c r="CL75" i="10"/>
  <c r="CL74" i="10"/>
  <c r="CD285" i="10"/>
  <c r="BK285" i="10"/>
  <c r="CL237" i="10"/>
  <c r="CL221" i="10"/>
  <c r="CL220" i="10"/>
  <c r="CL216" i="10"/>
  <c r="CL273" i="10"/>
  <c r="CL288" i="10"/>
  <c r="CL180" i="10"/>
  <c r="CJ180" i="10"/>
  <c r="CL177" i="10"/>
  <c r="CJ177" i="10"/>
  <c r="CL176" i="10"/>
  <c r="CJ176" i="10"/>
  <c r="CL174" i="10"/>
  <c r="CJ174" i="10"/>
  <c r="CL173" i="10"/>
  <c r="CJ173" i="10"/>
  <c r="CL172" i="10"/>
  <c r="CJ172" i="10"/>
  <c r="CL170" i="10"/>
  <c r="CJ170" i="10"/>
  <c r="CL169" i="10"/>
  <c r="CJ169" i="10"/>
  <c r="CL102" i="10"/>
  <c r="CL86" i="10"/>
  <c r="CL85" i="10"/>
  <c r="CL272" i="10"/>
  <c r="CL267" i="10"/>
  <c r="CL231" i="10"/>
  <c r="CL226" i="10"/>
  <c r="CL219" i="10"/>
  <c r="CL217" i="10"/>
  <c r="CL203" i="10"/>
  <c r="CL202" i="10"/>
  <c r="CL198" i="10"/>
  <c r="CL200" i="10"/>
  <c r="CL201" i="10"/>
  <c r="CL187" i="10"/>
  <c r="CL181" i="10"/>
  <c r="CJ181" i="10"/>
  <c r="CL179" i="10"/>
  <c r="CJ179" i="10"/>
  <c r="CL175" i="10"/>
  <c r="CJ175" i="10"/>
  <c r="CL171" i="10"/>
  <c r="CJ171" i="10"/>
  <c r="CL78" i="10"/>
  <c r="CL76" i="10"/>
  <c r="C37" i="28"/>
  <c r="D37" i="28" s="1"/>
  <c r="C23" i="28"/>
  <c r="D13" i="28"/>
  <c r="E13" i="28"/>
  <c r="C13" i="28"/>
  <c r="D34" i="28"/>
  <c r="G30" i="28" l="1"/>
  <c r="E30" i="28"/>
  <c r="G23" i="28"/>
  <c r="E23" i="28"/>
  <c r="BE223" i="10"/>
  <c r="BE228" i="10"/>
  <c r="BE241" i="10"/>
  <c r="P220" i="10"/>
  <c r="AK220" i="10"/>
  <c r="F19" i="29" s="1"/>
  <c r="AS220" i="10"/>
  <c r="CJ220" i="10"/>
  <c r="BJ220" i="10"/>
  <c r="BE220" i="10"/>
  <c r="F28" i="28" s="1"/>
  <c r="AT220" i="10"/>
  <c r="BE224" i="10"/>
  <c r="BE235" i="10"/>
  <c r="BE242" i="10"/>
  <c r="CE248" i="10"/>
  <c r="CD248" i="10"/>
  <c r="CE249" i="10"/>
  <c r="CD249" i="10"/>
  <c r="G13" i="28"/>
  <c r="AI256" i="10"/>
  <c r="AN289" i="10"/>
  <c r="AI289" i="10"/>
  <c r="CD255" i="10"/>
  <c r="CE255" i="10"/>
  <c r="H11" i="28"/>
  <c r="CE285" i="10"/>
  <c r="AN262" i="10"/>
  <c r="AI262" i="10"/>
  <c r="AO262" i="10"/>
  <c r="AP262" i="10" s="1"/>
  <c r="AN248" i="10"/>
  <c r="AI248" i="10"/>
  <c r="AO248" i="10"/>
  <c r="AP248" i="10" s="1"/>
  <c r="AO256" i="10"/>
  <c r="AP256" i="10" s="1"/>
  <c r="AO289" i="10"/>
  <c r="AP289" i="10" s="1"/>
  <c r="C22" i="28"/>
  <c r="C34" i="28"/>
  <c r="C36" i="28"/>
  <c r="D36" i="28" s="1"/>
  <c r="H7" i="28"/>
  <c r="H9" i="28"/>
  <c r="C20" i="28"/>
  <c r="BF248" i="10"/>
  <c r="BG248" i="10" s="1"/>
  <c r="AO261" i="10"/>
  <c r="AP261" i="10" s="1"/>
  <c r="AI261" i="10"/>
  <c r="AL261" i="10"/>
  <c r="AM261" i="10" s="1"/>
  <c r="AO249" i="10"/>
  <c r="AP249" i="10" s="1"/>
  <c r="AI249" i="10"/>
  <c r="AL249" i="10"/>
  <c r="AM249" i="10" s="1"/>
  <c r="AN261" i="10"/>
  <c r="AO263" i="10"/>
  <c r="AP263" i="10" s="1"/>
  <c r="AI263" i="10"/>
  <c r="AL263" i="10"/>
  <c r="AM263" i="10" s="1"/>
  <c r="AL248" i="10"/>
  <c r="AM248" i="10" s="1"/>
  <c r="AL256" i="10"/>
  <c r="AM256" i="10" s="1"/>
  <c r="AL262" i="10"/>
  <c r="AM262" i="10" s="1"/>
  <c r="AL289" i="10"/>
  <c r="AM289" i="10" s="1"/>
  <c r="F22" i="28" l="1"/>
  <c r="G22" i="28" s="1"/>
  <c r="F26" i="29"/>
  <c r="F23" i="29" s="1"/>
  <c r="G23" i="29" s="1"/>
  <c r="F21" i="28"/>
  <c r="F18" i="29"/>
  <c r="F16" i="29" s="1"/>
  <c r="G16" i="29" s="1"/>
  <c r="F29" i="28"/>
  <c r="F26" i="28" s="1"/>
  <c r="CG255" i="10"/>
  <c r="CF255" i="10"/>
  <c r="CG285" i="10"/>
  <c r="CF285" i="10"/>
  <c r="BF242" i="10"/>
  <c r="BG242" i="10" s="1"/>
  <c r="BF235" i="10"/>
  <c r="BG235" i="10" s="1"/>
  <c r="BF224" i="10"/>
  <c r="BG224" i="10" s="1"/>
  <c r="BF220" i="10"/>
  <c r="BG220" i="10" s="1"/>
  <c r="BF241" i="10"/>
  <c r="BG241" i="10" s="1"/>
  <c r="BF228" i="10"/>
  <c r="BG228" i="10" s="1"/>
  <c r="BF223" i="10"/>
  <c r="BG223" i="10" s="1"/>
  <c r="AL220" i="10"/>
  <c r="AM220" i="10" s="1"/>
  <c r="D19" i="29" s="1"/>
  <c r="AI220" i="10"/>
  <c r="AO220" i="10"/>
  <c r="AP220" i="10" s="1"/>
  <c r="AN220" i="10"/>
  <c r="CF249" i="10"/>
  <c r="CG249" i="10"/>
  <c r="CF248" i="10"/>
  <c r="CG248" i="10"/>
  <c r="H8" i="28"/>
  <c r="D35" i="28"/>
  <c r="E27" i="28"/>
  <c r="G34" i="28"/>
  <c r="G27" i="28"/>
  <c r="G20" i="28"/>
  <c r="F19" i="28" l="1"/>
  <c r="D22" i="28"/>
  <c r="E22" i="28" s="1"/>
  <c r="D21" i="28"/>
  <c r="D18" i="29"/>
  <c r="D16" i="29" s="1"/>
  <c r="E16" i="29" s="1"/>
  <c r="D28" i="28"/>
  <c r="D25" i="29"/>
  <c r="D26" i="29"/>
  <c r="D29" i="28"/>
  <c r="E29" i="28" s="1"/>
  <c r="D33" i="28"/>
  <c r="G33" i="28" s="1"/>
  <c r="C64" i="28" s="1"/>
  <c r="C21" i="28"/>
  <c r="H10" i="28"/>
  <c r="F13" i="28"/>
  <c r="C35" i="28"/>
  <c r="G35" i="28" s="1"/>
  <c r="G29" i="28"/>
  <c r="E20" i="28"/>
  <c r="E21" i="28" l="1"/>
  <c r="D23" i="29"/>
  <c r="E23" i="29" s="1"/>
  <c r="E28" i="28"/>
  <c r="C65" i="28"/>
  <c r="D64" i="28"/>
  <c r="H13" i="28"/>
  <c r="C43" i="28" s="1"/>
  <c r="C44" i="28" s="1"/>
  <c r="C19" i="28"/>
  <c r="G19" i="28" s="1"/>
  <c r="C50" i="28" s="1"/>
  <c r="C51" i="28" s="1"/>
  <c r="G21" i="28"/>
  <c r="D26" i="28"/>
  <c r="C26" i="28"/>
  <c r="G28" i="28"/>
  <c r="D19" i="28"/>
  <c r="E19" i="28" l="1"/>
  <c r="D50" i="28"/>
  <c r="E26" i="28"/>
  <c r="G26" i="28"/>
  <c r="C57" i="28" s="1"/>
  <c r="C58" i="28" s="1"/>
  <c r="D57" i="28" l="1"/>
</calcChain>
</file>

<file path=xl/comments1.xml><?xml version="1.0" encoding="utf-8"?>
<comments xmlns="http://schemas.openxmlformats.org/spreadsheetml/2006/main">
  <authors>
    <author>Olivier Le Guillou</author>
  </authors>
  <commentList>
    <comment ref="C25" authorId="0" shapeId="0">
      <text>
        <r>
          <rPr>
            <b/>
            <sz val="9"/>
            <color indexed="81"/>
            <rFont val="Tahoma"/>
            <family val="2"/>
          </rPr>
          <t>The target described in Village appraoch express 60% of the village population to have access to sanitation</t>
        </r>
      </text>
    </comment>
  </commentList>
</comments>
</file>

<file path=xl/comments2.xml><?xml version="1.0" encoding="utf-8"?>
<comments xmlns="http://schemas.openxmlformats.org/spreadsheetml/2006/main">
  <authors>
    <author>Olivier Le Guillou</author>
    <author>user</author>
    <author>Melissa Adoum</author>
    <author>Program Manager PKT &amp; RTD</author>
    <author>Unicef</author>
    <author>CONSUPER</author>
    <author>Mission</author>
    <author>Thein Tun Hlaing</author>
    <author>LENOVO</author>
  </authors>
  <commentList>
    <comment ref="B4" authorId="0" shapeId="0">
      <text>
        <r>
          <rPr>
            <b/>
            <sz val="9"/>
            <color indexed="81"/>
            <rFont val="Tahoma"/>
            <family val="2"/>
          </rPr>
          <t>Grey area to be filled by WCC on monthly CCCM update</t>
        </r>
      </text>
    </comment>
    <comment ref="BX4" authorId="0" shapeId="0">
      <text>
        <r>
          <rPr>
            <b/>
            <sz val="9"/>
            <color indexed="81"/>
            <rFont val="Tahoma"/>
            <family val="2"/>
          </rPr>
          <t>In respect of HK strategy, 1 full hygiene kit should be distributed each year. Indicate the date corresponding at the last distribution realised according to the strategy.</t>
        </r>
      </text>
    </comment>
    <comment ref="BU20" authorId="1" shapeId="0">
      <text>
        <r>
          <rPr>
            <b/>
            <sz val="9"/>
            <color indexed="81"/>
            <rFont val="Tahoma"/>
            <family val="2"/>
          </rPr>
          <t>user:</t>
        </r>
        <r>
          <rPr>
            <sz val="9"/>
            <color indexed="81"/>
            <rFont val="Tahoma"/>
            <family val="2"/>
          </rPr>
          <t xml:space="preserve">
At least 70% of targetted HHs included children can visible sign correctly of hand washing</t>
        </r>
      </text>
    </comment>
    <comment ref="BL193" authorId="2" shapeId="0">
      <text>
        <r>
          <rPr>
            <b/>
            <sz val="9"/>
            <color indexed="81"/>
            <rFont val="Tahoma"/>
            <family val="2"/>
          </rPr>
          <t>An estimated 70% of HHs have homemade shower points attached to their shelter. 1 communal laundry/bathing facility constructed covers 50 people (=10HH)</t>
        </r>
      </text>
    </comment>
    <comment ref="AD202" authorId="3" shapeId="0">
      <text>
        <r>
          <rPr>
            <b/>
            <sz val="8"/>
            <color indexed="81"/>
            <rFont val="Tahoma"/>
            <family val="2"/>
          </rPr>
          <t>Program Manager PKT &amp; RTD:</t>
        </r>
        <r>
          <rPr>
            <sz val="8"/>
            <color indexed="81"/>
            <rFont val="Tahoma"/>
            <family val="2"/>
          </rPr>
          <t xml:space="preserve">
Remote</t>
        </r>
      </text>
    </comment>
    <comment ref="AD203" authorId="3" shapeId="0">
      <text>
        <r>
          <rPr>
            <b/>
            <sz val="8"/>
            <color indexed="81"/>
            <rFont val="Tahoma"/>
            <family val="2"/>
          </rPr>
          <t>Program Manager PKT &amp; RTD:</t>
        </r>
        <r>
          <rPr>
            <sz val="8"/>
            <color indexed="81"/>
            <rFont val="Tahoma"/>
            <family val="2"/>
          </rPr>
          <t xml:space="preserve">
To be confirmed, could be possible to use those for RPP (those are a bit remote)</t>
        </r>
      </text>
    </comment>
    <comment ref="AG229" authorId="4" shapeId="0">
      <text>
        <r>
          <rPr>
            <b/>
            <sz val="9"/>
            <color indexed="81"/>
            <rFont val="Tahoma"/>
            <family val="2"/>
          </rPr>
          <t>Unicef:</t>
        </r>
        <r>
          <rPr>
            <sz val="9"/>
            <color indexed="81"/>
            <rFont val="Tahoma"/>
            <family val="2"/>
          </rPr>
          <t xml:space="preserve">
30 BSF fabricating distributed</t>
        </r>
      </text>
    </comment>
    <comment ref="BP231" authorId="5" shapeId="0">
      <text>
        <r>
          <rPr>
            <b/>
            <sz val="9"/>
            <color indexed="81"/>
            <rFont val="Tahoma"/>
            <family val="2"/>
          </rPr>
          <t>CONSUPER:</t>
        </r>
        <r>
          <rPr>
            <sz val="9"/>
            <color indexed="81"/>
            <rFont val="Tahoma"/>
            <family val="2"/>
          </rPr>
          <t xml:space="preserve">
There is no training in this month. (hand washing day)</t>
        </r>
      </text>
    </comment>
    <comment ref="AG238" authorId="4" shapeId="0">
      <text>
        <r>
          <rPr>
            <b/>
            <sz val="9"/>
            <color indexed="81"/>
            <rFont val="Tahoma"/>
            <family val="2"/>
          </rPr>
          <t>Unicef:</t>
        </r>
        <r>
          <rPr>
            <sz val="9"/>
            <color indexed="81"/>
            <rFont val="Tahoma"/>
            <family val="2"/>
          </rPr>
          <t xml:space="preserve">
42 BSF fabricating distributed</t>
        </r>
      </text>
    </comment>
    <comment ref="AG242" authorId="4" shapeId="0">
      <text>
        <r>
          <rPr>
            <b/>
            <sz val="9"/>
            <color indexed="81"/>
            <rFont val="Tahoma"/>
            <family val="2"/>
          </rPr>
          <t>Unicef:</t>
        </r>
        <r>
          <rPr>
            <sz val="9"/>
            <color indexed="81"/>
            <rFont val="Tahoma"/>
            <family val="2"/>
          </rPr>
          <t xml:space="preserve">
75 BSF fabricating distributed</t>
        </r>
      </text>
    </comment>
    <comment ref="AG243" authorId="4" shapeId="0">
      <text>
        <r>
          <rPr>
            <b/>
            <sz val="9"/>
            <color indexed="81"/>
            <rFont val="Tahoma"/>
            <family val="2"/>
          </rPr>
          <t>Unicef:</t>
        </r>
        <r>
          <rPr>
            <sz val="9"/>
            <color indexed="81"/>
            <rFont val="Tahoma"/>
            <family val="2"/>
          </rPr>
          <t xml:space="preserve">
17 BSF fabricating distributed</t>
        </r>
      </text>
    </comment>
    <comment ref="AG246" authorId="4" shapeId="0">
      <text>
        <r>
          <rPr>
            <b/>
            <sz val="9"/>
            <color indexed="81"/>
            <rFont val="Tahoma"/>
            <family val="2"/>
          </rPr>
          <t>Unicef:</t>
        </r>
        <r>
          <rPr>
            <sz val="9"/>
            <color indexed="81"/>
            <rFont val="Tahoma"/>
            <family val="2"/>
          </rPr>
          <t xml:space="preserve">
30 BSF fabricating distributed</t>
        </r>
      </text>
    </comment>
    <comment ref="BR254" authorId="6" shapeId="0">
      <text>
        <r>
          <rPr>
            <b/>
            <sz val="9"/>
            <color indexed="81"/>
            <rFont val="Tahoma"/>
            <family val="2"/>
          </rPr>
          <t>Mission:</t>
        </r>
        <r>
          <rPr>
            <sz val="9"/>
            <color indexed="81"/>
            <rFont val="Tahoma"/>
            <family val="2"/>
          </rPr>
          <t xml:space="preserve">
6 hand washing stations are damaged</t>
        </r>
      </text>
    </comment>
    <comment ref="BL266" authorId="7" shapeId="0">
      <text>
        <r>
          <rPr>
            <b/>
            <sz val="9"/>
            <color indexed="81"/>
            <rFont val="Tahoma"/>
            <family val="2"/>
          </rPr>
          <t>Thein Tun Hlaing:</t>
        </r>
        <r>
          <rPr>
            <sz val="9"/>
            <color indexed="81"/>
            <rFont val="Tahoma"/>
            <family val="2"/>
          </rPr>
          <t xml:space="preserve">
2629hh &lt; 2728 Bathing space?
</t>
        </r>
        <r>
          <rPr>
            <b/>
            <sz val="9"/>
            <color indexed="81"/>
            <rFont val="Tahoma"/>
            <family val="2"/>
          </rPr>
          <t>Ans:</t>
        </r>
        <r>
          <rPr>
            <sz val="9"/>
            <color indexed="81"/>
            <rFont val="Tahoma"/>
            <family val="2"/>
          </rPr>
          <t xml:space="preserve"> We have only using CCCM data of HH and Population in IDPs location to avoid different benificiary data with in other clusters.
(It mean every HH(100%HH) have individual bathing spaces)</t>
        </r>
      </text>
    </comment>
    <comment ref="Y276" authorId="8" shapeId="0">
      <text>
        <r>
          <rPr>
            <b/>
            <sz val="9"/>
            <color indexed="81"/>
            <rFont val="Tahoma"/>
            <family val="2"/>
          </rPr>
          <t>LENOVO:</t>
        </r>
        <r>
          <rPr>
            <sz val="9"/>
            <color indexed="81"/>
            <rFont val="Tahoma"/>
            <family val="2"/>
          </rPr>
          <t xml:space="preserve">
MRCS daily distribute 200 litres</t>
        </r>
      </text>
    </comment>
    <comment ref="AC276" authorId="8" shapeId="0">
      <text>
        <r>
          <rPr>
            <b/>
            <sz val="9"/>
            <color indexed="81"/>
            <rFont val="Tahoma"/>
            <family val="2"/>
          </rPr>
          <t>LENOVO:</t>
        </r>
        <r>
          <rPr>
            <sz val="9"/>
            <color indexed="81"/>
            <rFont val="Tahoma"/>
            <family val="2"/>
          </rPr>
          <t xml:space="preserve">
(80gal X 3days) /week/hh</t>
        </r>
      </text>
    </comment>
  </commentList>
</comments>
</file>

<file path=xl/comments3.xml><?xml version="1.0" encoding="utf-8"?>
<comments xmlns="http://schemas.openxmlformats.org/spreadsheetml/2006/main">
  <authors>
    <author>Olivier Le Guillou</author>
    <author>Christian</author>
    <author>Magnus Tulloch</author>
  </authors>
  <commentList>
    <comment ref="X8" authorId="0" shapeId="0">
      <text>
        <r>
          <rPr>
            <b/>
            <sz val="9"/>
            <color indexed="81"/>
            <rFont val="Tahoma"/>
            <family val="2"/>
          </rPr>
          <t>Olivier Le Guillou:</t>
        </r>
        <r>
          <rPr>
            <sz val="9"/>
            <color indexed="81"/>
            <rFont val="Tahoma"/>
            <family val="2"/>
          </rPr>
          <t xml:space="preserve">
Due to the length of the project, no formula here, real figure per year proposed</t>
        </r>
      </text>
    </comment>
    <comment ref="N33" authorId="1" shapeId="0">
      <text>
        <r>
          <rPr>
            <b/>
            <sz val="8"/>
            <color indexed="81"/>
            <rFont val="Tahoma"/>
            <family val="2"/>
          </rPr>
          <t>Christian:</t>
        </r>
        <r>
          <rPr>
            <sz val="8"/>
            <color indexed="81"/>
            <rFont val="Tahoma"/>
            <family val="2"/>
          </rPr>
          <t xml:space="preserve">
IDP/camp in or next to previous village</t>
        </r>
      </text>
    </comment>
    <comment ref="Q33" authorId="1" shapeId="0">
      <text>
        <r>
          <rPr>
            <b/>
            <sz val="8"/>
            <color indexed="81"/>
            <rFont val="Tahoma"/>
            <family val="2"/>
          </rPr>
          <t>Christian:</t>
        </r>
        <r>
          <rPr>
            <sz val="8"/>
            <color indexed="81"/>
            <rFont val="Tahoma"/>
            <family val="2"/>
          </rPr>
          <t xml:space="preserve">
75 latrines at initial 50 ppl per latrine for IDP's/camps</t>
        </r>
      </text>
    </comment>
    <comment ref="T33" authorId="1" shapeId="0">
      <text>
        <r>
          <rPr>
            <b/>
            <sz val="8"/>
            <color indexed="81"/>
            <rFont val="Tahoma"/>
            <family val="2"/>
          </rPr>
          <t>Christian:</t>
        </r>
        <r>
          <rPr>
            <sz val="8"/>
            <color indexed="81"/>
            <rFont val="Tahoma"/>
            <family val="2"/>
          </rPr>
          <t xml:space="preserve">
50 school latrines only at 30 children per latrine</t>
        </r>
      </text>
    </comment>
    <comment ref="W43" authorId="2" shapeId="0">
      <text>
        <r>
          <rPr>
            <b/>
            <sz val="9"/>
            <color indexed="81"/>
            <rFont val="Tahoma"/>
            <family val="2"/>
          </rPr>
          <t>Magnus Tulloch:</t>
        </r>
        <r>
          <rPr>
            <sz val="9"/>
            <color indexed="81"/>
            <rFont val="Tahoma"/>
            <family val="2"/>
          </rPr>
          <t xml:space="preserve">
SCI=$1,201,868
SI=$1,258,446
OxGB=$792,904
ACF=$141,212
CDN=$55231</t>
        </r>
      </text>
    </comment>
    <comment ref="W51" authorId="2" shapeId="0">
      <text>
        <r>
          <rPr>
            <b/>
            <sz val="9"/>
            <color indexed="81"/>
            <rFont val="Tahoma"/>
            <family val="2"/>
          </rPr>
          <t>Magnus Tulloch:</t>
        </r>
        <r>
          <rPr>
            <sz val="9"/>
            <color indexed="81"/>
            <rFont val="Tahoma"/>
            <family val="2"/>
          </rPr>
          <t xml:space="preserve">
WASH Costs by agency in USD:
SCI; $688,500
SI: $803,250
Oxfam; $541,314
ACF: $62,730</t>
        </r>
      </text>
    </comment>
  </commentList>
</comments>
</file>

<file path=xl/sharedStrings.xml><?xml version="1.0" encoding="utf-8"?>
<sst xmlns="http://schemas.openxmlformats.org/spreadsheetml/2006/main" count="8478" uniqueCount="1186">
  <si>
    <t>Month reported:</t>
  </si>
  <si>
    <t>Safe Water supply</t>
  </si>
  <si>
    <t>HYGIENNE PROMOTION</t>
  </si>
  <si>
    <t>Summary:</t>
  </si>
  <si>
    <t>Agencies involved</t>
  </si>
  <si>
    <t>Emergency structures</t>
  </si>
  <si>
    <t>Needs coverage</t>
  </si>
  <si>
    <t>Hygiene promotion</t>
  </si>
  <si>
    <t>Township</t>
  </si>
  <si>
    <t>Site</t>
  </si>
  <si>
    <t>GPS x</t>
  </si>
  <si>
    <t>GPS y</t>
  </si>
  <si>
    <t>Location type</t>
  </si>
  <si>
    <t>Type</t>
  </si>
  <si>
    <t>HH</t>
  </si>
  <si>
    <t>Camp manager defined by UNHCR</t>
  </si>
  <si>
    <t>EPR Back up NGO</t>
  </si>
  <si>
    <t xml:space="preserve">Exit strategy plan from emergency supply </t>
  </si>
  <si>
    <r>
      <rPr>
        <b/>
        <sz val="10"/>
        <color indexed="10"/>
        <rFont val="Calibri"/>
        <family val="2"/>
      </rPr>
      <t>#</t>
    </r>
    <r>
      <rPr>
        <b/>
        <sz val="10"/>
        <color indexed="8"/>
        <rFont val="Calibri"/>
        <family val="2"/>
      </rPr>
      <t xml:space="preserve"> Hand pump (on well or borehole)</t>
    </r>
  </si>
  <si>
    <r>
      <t xml:space="preserve">% </t>
    </r>
    <r>
      <rPr>
        <b/>
        <sz val="10"/>
        <rFont val="Calibri"/>
        <family val="2"/>
      </rPr>
      <t>Ceramic filter coverage</t>
    </r>
  </si>
  <si>
    <t>Comments</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</si>
  <si>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</si>
  <si>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</si>
  <si>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r>
      <rPr>
        <b/>
        <sz val="10"/>
        <color indexed="10"/>
        <rFont val="Calibri"/>
        <family val="2"/>
      </rPr>
      <t>#</t>
    </r>
    <r>
      <rPr>
        <b/>
        <sz val="10"/>
        <color indexed="8"/>
        <rFont val="Calibri"/>
        <family val="2"/>
      </rPr>
      <t xml:space="preserve"> Hand washing station </t>
    </r>
    <r>
      <rPr>
        <b/>
        <sz val="10"/>
        <color indexed="10"/>
        <rFont val="Calibri"/>
        <family val="2"/>
      </rPr>
      <t>funtional</t>
    </r>
  </si>
  <si>
    <t>Coverage hand wash station %</t>
  </si>
  <si>
    <t>Coverage Hygiene kits</t>
  </si>
  <si>
    <t>Approximative % of household receiving monthly HP senzitisation directly with NGO</t>
  </si>
  <si>
    <t>Nb  community HP trainer trained by NGO</t>
  </si>
  <si>
    <t>Waste management organise and efficient in camps</t>
  </si>
  <si>
    <t>Latrine/bathroom management organised with community and efficient</t>
  </si>
  <si>
    <t>Water facilities management  organised by community and efficient</t>
  </si>
  <si>
    <t>Comment</t>
  </si>
  <si>
    <t>Minbya</t>
  </si>
  <si>
    <t>Village</t>
  </si>
  <si>
    <t>Muslim</t>
  </si>
  <si>
    <t>Yes</t>
  </si>
  <si>
    <t>Not separated yet</t>
  </si>
  <si>
    <t>Never deployed</t>
  </si>
  <si>
    <t>Not yet set up</t>
  </si>
  <si>
    <t>CDN</t>
  </si>
  <si>
    <t>Done</t>
  </si>
  <si>
    <t>Functional and efficient</t>
  </si>
  <si>
    <t>DRD</t>
  </si>
  <si>
    <t>No</t>
  </si>
  <si>
    <t>Camp</t>
  </si>
  <si>
    <t>Rakhine</t>
  </si>
  <si>
    <t>Mrauk-U</t>
  </si>
  <si>
    <t>Maramargyi</t>
  </si>
  <si>
    <t>Taung Paw</t>
  </si>
  <si>
    <t>RI</t>
  </si>
  <si>
    <t>Kan Thar Htwat Wa</t>
  </si>
  <si>
    <t>Pauktaw</t>
  </si>
  <si>
    <t>SCI</t>
  </si>
  <si>
    <t>A Nauk Ywe</t>
  </si>
  <si>
    <t>SI</t>
  </si>
  <si>
    <t>Kyein Ni Pyin</t>
  </si>
  <si>
    <t>DRC</t>
  </si>
  <si>
    <t>Let Saung Kauk</t>
  </si>
  <si>
    <t>Khaung Htoke</t>
  </si>
  <si>
    <t>Ah Pauk Wa</t>
  </si>
  <si>
    <t>Im Bar Yi</t>
  </si>
  <si>
    <t>Shwe Hlaing</t>
  </si>
  <si>
    <t>Yun Nyar</t>
  </si>
  <si>
    <t>Ni Din</t>
  </si>
  <si>
    <t>Rathedaung</t>
  </si>
  <si>
    <t>Nyaung Pin Gyi</t>
  </si>
  <si>
    <t>Koe Tan Kauk</t>
  </si>
  <si>
    <t>Chein Khar Li</t>
  </si>
  <si>
    <t>Ah Nauk Pyin</t>
  </si>
  <si>
    <t>Ah Htet Nan Yar</t>
  </si>
  <si>
    <t>Kyauk Phyu</t>
  </si>
  <si>
    <t>Oxfam</t>
  </si>
  <si>
    <t>Ramree</t>
  </si>
  <si>
    <t>Ramree Town</t>
  </si>
  <si>
    <t>Ward 6</t>
  </si>
  <si>
    <t>Sittwe</t>
  </si>
  <si>
    <t>Thin Pone Tan</t>
  </si>
  <si>
    <t>Dar Pai</t>
  </si>
  <si>
    <t>Baw Du Pha</t>
  </si>
  <si>
    <t>Phwe Yar Gone</t>
  </si>
  <si>
    <t xml:space="preserve">Thea Chaung </t>
  </si>
  <si>
    <t>Thet Kel Pyin</t>
  </si>
  <si>
    <t>Maw Ti Ngar (TKP west)</t>
  </si>
  <si>
    <t>LWF</t>
  </si>
  <si>
    <t>Total</t>
  </si>
  <si>
    <t>(All)</t>
  </si>
  <si>
    <t>Grand Total</t>
  </si>
  <si>
    <t>1. Small</t>
  </si>
  <si>
    <t>2. Medium</t>
  </si>
  <si>
    <t>3. Large</t>
  </si>
  <si>
    <t>4. Big</t>
  </si>
  <si>
    <t>5. Massive</t>
  </si>
  <si>
    <t>Data</t>
  </si>
  <si>
    <t>4W WASH  ANALYSIS</t>
  </si>
  <si>
    <t>General comparative Analysis</t>
  </si>
  <si>
    <t>Water access</t>
  </si>
  <si>
    <t>Count of Site</t>
  </si>
  <si>
    <t>Latrine access</t>
  </si>
  <si>
    <t># Additional Semi permanent latrines missing</t>
  </si>
  <si>
    <t>Community approach/ Hygiene Promotion</t>
  </si>
  <si>
    <t>% of HH receiving monthly HP visit</t>
  </si>
  <si>
    <t>Count of Latrine/bathroom management organised with community and efficient</t>
  </si>
  <si>
    <t>Latrine/bathroom social organisation</t>
  </si>
  <si>
    <t>Count of Water facilities management  organised by community and efficient</t>
  </si>
  <si>
    <t>Water facilities management</t>
  </si>
  <si>
    <r>
      <rPr>
        <sz val="18"/>
        <color indexed="8"/>
        <rFont val="Calibri"/>
        <family val="2"/>
      </rPr>
      <t>WASH CLUSTER</t>
    </r>
    <r>
      <rPr>
        <b/>
        <sz val="18"/>
        <color indexed="8"/>
        <rFont val="Calibri"/>
        <family val="2"/>
      </rPr>
      <t xml:space="preserve"> 4W MATRIX </t>
    </r>
    <r>
      <rPr>
        <sz val="18"/>
        <color indexed="8"/>
        <rFont val="Calibri"/>
        <family val="2"/>
      </rPr>
      <t>MYANMAR</t>
    </r>
  </si>
  <si>
    <t>Objectives of the 4W matrix:</t>
  </si>
  <si>
    <t>To identify the geographical positionning of the different intervenants (Who)</t>
  </si>
  <si>
    <t>To deduce the geographical gaps coverage (Where)</t>
  </si>
  <si>
    <t>To produce a basic analysis of the needs covered, and needs remaining (What)</t>
  </si>
  <si>
    <t>To predict at minima the coverage extension or reduction in short term (When)</t>
  </si>
  <si>
    <t>To support priority definition</t>
  </si>
  <si>
    <t>The 4W excecice cannot replace more complexe and field monitoring tools, and analysis.</t>
  </si>
  <si>
    <t xml:space="preserve"> It won't analyse much the qualitative aspect of the intervention, while it is pre-condition for any intervention </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</si>
  <si>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</si>
  <si>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</si>
  <si>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</si>
  <si>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4W should be updated at monthly bases, while all agency are requested to fill the form to offer the more accurate and relevant situation vision</t>
  </si>
  <si>
    <t>The wash cluster is in charge to ensure to gather the information form the State government, in case of technical direct implementation</t>
  </si>
  <si>
    <t>Legend:</t>
  </si>
  <si>
    <t>White cell to be filled by NGO</t>
  </si>
  <si>
    <t>Unity of the entry mentionned in the colum title in red</t>
  </si>
  <si>
    <t>Focal poing Agency:</t>
  </si>
  <si>
    <t>As mentionned in the Strategic plan, it is wish than one main wash actor per camp is positionned</t>
  </si>
  <si>
    <t>However, depending of the needs, two actors can be considered per sub sctor, and different regarding wash sub-sector</t>
  </si>
  <si>
    <t>The agency focal point is defined on an bilateral agreement between NGO, while the Cluster can accompaign any process difficulties</t>
  </si>
  <si>
    <t>Geographical reporting coverage</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</si>
  <si>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</si>
  <si>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</si>
  <si>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</si>
  <si>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</si>
  <si>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</si>
  <si>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</si>
  <si>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</si>
  <si>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 xml:space="preserve">The objective being to mesure the needs remaining, and so the need covered, technical evaluation are not proposed, </t>
  </si>
  <si>
    <t>Social organisation is proposed to be measured on basic effeciency accomplishment</t>
  </si>
  <si>
    <t>Desludging needs monitoring is high, but so high and challenging matter that another separate tools should be developped for a prpper follow up and plan set up</t>
  </si>
  <si>
    <t>Row Labels</t>
  </si>
  <si>
    <t>Sum of Total PoP</t>
  </si>
  <si>
    <t>None</t>
  </si>
  <si>
    <t>Values</t>
  </si>
  <si>
    <t>Column Labels</t>
  </si>
  <si>
    <t>Shwe Laung Tin</t>
  </si>
  <si>
    <t>ACF</t>
  </si>
  <si>
    <t>1 pond untreated</t>
  </si>
  <si>
    <t>Ratio between population and nb of community HP</t>
  </si>
  <si>
    <t>Not realized</t>
  </si>
  <si>
    <t>Only on specific alerts</t>
  </si>
  <si>
    <t>Realized systematically on some water point</t>
  </si>
  <si>
    <t>Systematically on all water point</t>
  </si>
  <si>
    <t>NGO coverage per location type</t>
  </si>
  <si>
    <t>Nb of month gap of refill Hygiene kit per families</t>
  </si>
  <si>
    <t>Focal NGO</t>
  </si>
  <si>
    <t>UNICEF</t>
  </si>
  <si>
    <t>Not documented</t>
  </si>
  <si>
    <t>Source of Data</t>
  </si>
  <si>
    <t>Structure</t>
  </si>
  <si>
    <t>Locality size</t>
  </si>
  <si>
    <t>Nb of water pond used by the community</t>
  </si>
  <si>
    <t>Permanent Houselhold system</t>
  </si>
  <si>
    <r>
      <rPr>
        <b/>
        <sz val="10"/>
        <color rgb="FFFF0000"/>
        <rFont val="Calibri"/>
        <family val="2"/>
        <scheme val="minor"/>
      </rPr>
      <t>%</t>
    </r>
    <r>
      <rPr>
        <b/>
        <sz val="10"/>
        <color theme="1"/>
        <rFont val="Calibri"/>
        <family val="2"/>
        <scheme val="minor"/>
      </rPr>
      <t xml:space="preserve"> Coverage Bathing  space</t>
    </r>
  </si>
  <si>
    <r>
      <rPr>
        <b/>
        <sz val="10"/>
        <color rgb="FFFF0000"/>
        <rFont val="Calibri"/>
        <family val="2"/>
        <scheme val="minor"/>
      </rPr>
      <t>%</t>
    </r>
    <r>
      <rPr>
        <b/>
        <sz val="10"/>
        <color theme="1"/>
        <rFont val="Calibri"/>
        <family val="2"/>
        <scheme val="minor"/>
      </rPr>
      <t xml:space="preserve"> Estimation coverage hand wash station need at the end of project</t>
    </r>
  </si>
  <si>
    <r>
      <rPr>
        <b/>
        <sz val="10"/>
        <color rgb="FFFF0000"/>
        <rFont val="Calibri"/>
        <family val="2"/>
        <scheme val="minor"/>
      </rPr>
      <t>%</t>
    </r>
    <r>
      <rPr>
        <b/>
        <sz val="10"/>
        <color theme="1"/>
        <rFont val="Calibri"/>
        <family val="2"/>
        <scheme val="minor"/>
      </rPr>
      <t xml:space="preserve"> Estimation coverage bathroom needs at the end of project  with gender seperation</t>
    </r>
  </si>
  <si>
    <t>Typology beneficiaries</t>
  </si>
  <si>
    <t>bathing spaces are using individually by own</t>
  </si>
  <si>
    <t>Camps</t>
  </si>
  <si>
    <t>Separate, clearly perceived</t>
  </si>
  <si>
    <t>Separate, but not clearly perceived</t>
  </si>
  <si>
    <t>Latrine shared by families , not separated</t>
  </si>
  <si>
    <t>Not yet planned</t>
  </si>
  <si>
    <t xml:space="preserve">Set up but low results </t>
  </si>
  <si>
    <t>Myebon</t>
  </si>
  <si>
    <t>IRC</t>
  </si>
  <si>
    <t>Wash focal point Agency</t>
  </si>
  <si>
    <t>Next distribution to be done</t>
  </si>
  <si>
    <r>
      <rPr>
        <b/>
        <sz val="10"/>
        <color rgb="FFFF0000"/>
        <rFont val="Calibri"/>
        <family val="2"/>
      </rPr>
      <t xml:space="preserve">Date </t>
    </r>
    <r>
      <rPr>
        <b/>
        <sz val="10"/>
        <color theme="1"/>
        <rFont val="Calibri"/>
        <family val="2"/>
      </rPr>
      <t>Last Full Hygiene Kit distribution</t>
    </r>
  </si>
  <si>
    <r>
      <t xml:space="preserve">Ending </t>
    </r>
    <r>
      <rPr>
        <b/>
        <sz val="10"/>
        <color indexed="10"/>
        <rFont val="Calibri"/>
        <family val="2"/>
      </rPr>
      <t>date</t>
    </r>
    <r>
      <rPr>
        <b/>
        <sz val="10"/>
        <color indexed="8"/>
        <rFont val="Calibri"/>
        <family val="2"/>
      </rPr>
      <t xml:space="preserve"> funds and project </t>
    </r>
  </si>
  <si>
    <t>Target population</t>
  </si>
  <si>
    <t>Strategy target:</t>
  </si>
  <si>
    <t>IDP in camps</t>
  </si>
  <si>
    <t>IDP in villages</t>
  </si>
  <si>
    <t>*Considered IDPs in CCCM matrix, but in fact living in their village of origin, with habitation destroyed</t>
  </si>
  <si>
    <t>Affected families in villages*</t>
  </si>
  <si>
    <t>Target</t>
  </si>
  <si>
    <t>Objective 1, indicators:</t>
  </si>
  <si>
    <t>Achieved</t>
  </si>
  <si>
    <t xml:space="preserve">Population for actual water needs coverage </t>
  </si>
  <si>
    <t xml:space="preserve">Population for Latrine needs coverage </t>
  </si>
  <si>
    <t xml:space="preserve">Population for Coverage Bathing </t>
  </si>
  <si>
    <t xml:space="preserve">Population for Estimation coverage need at the end of project </t>
  </si>
  <si>
    <t xml:space="preserve">Population for Estimation coverage latrine need at the end of project </t>
  </si>
  <si>
    <t>Population for Coverage Hygiene kits</t>
  </si>
  <si>
    <t>Sanitation</t>
  </si>
  <si>
    <t xml:space="preserve">Population for Estimation coverage needs at the end of project </t>
  </si>
  <si>
    <t>Population for Estimation coverage bathroom needs at the end of project</t>
  </si>
  <si>
    <t>WASH CLUSTER STRATEGY QUANTITATIVE OBJECTIVE FOLLOW UP</t>
  </si>
  <si>
    <t>% Targetted</t>
  </si>
  <si>
    <t>Remarks</t>
  </si>
  <si>
    <r>
      <t xml:space="preserve">Indicators Follow up </t>
    </r>
    <r>
      <rPr>
        <b/>
        <i/>
        <sz val="11"/>
        <color theme="0"/>
        <rFont val="Calibri"/>
        <family val="2"/>
        <scheme val="minor"/>
      </rPr>
      <t>(only quantativally measurable, taken form cluster strategy)</t>
    </r>
  </si>
  <si>
    <t>Verification sources</t>
  </si>
  <si>
    <t>4W</t>
  </si>
  <si>
    <t>-</t>
  </si>
  <si>
    <t>Objective 2, indicators:</t>
  </si>
  <si>
    <t>Objective 3, indicators:</t>
  </si>
  <si>
    <t>N/A</t>
  </si>
  <si>
    <t>?</t>
  </si>
  <si>
    <t>MMR012CMP014</t>
  </si>
  <si>
    <t>MMR012CMP013</t>
  </si>
  <si>
    <t>MMR012CMP016</t>
  </si>
  <si>
    <t>MMR012CMP019</t>
  </si>
  <si>
    <t>MMR012CMP017</t>
  </si>
  <si>
    <t>MMR012CMP018</t>
  </si>
  <si>
    <t>MMR012CMP020</t>
  </si>
  <si>
    <t>MMR012CMP025</t>
  </si>
  <si>
    <t>MMR012CMP030</t>
  </si>
  <si>
    <t>MMR012CMP027</t>
  </si>
  <si>
    <t>MMR012CMP026</t>
  </si>
  <si>
    <t>MMR012CMP029</t>
  </si>
  <si>
    <t>MMR012CMP028</t>
  </si>
  <si>
    <t>MMR012CMP023</t>
  </si>
  <si>
    <t>MMR012CMP031</t>
  </si>
  <si>
    <t>MMR012CMP110</t>
  </si>
  <si>
    <t>MMR012CMP033</t>
  </si>
  <si>
    <t>MMR012CMP032</t>
  </si>
  <si>
    <t>MMR012CMP034</t>
  </si>
  <si>
    <t>MMR012CMP038</t>
  </si>
  <si>
    <t>MMR012CMP037</t>
  </si>
  <si>
    <t>MMR012CMP058</t>
  </si>
  <si>
    <t>MMR012CMP039</t>
  </si>
  <si>
    <t>MMR012CMP041</t>
  </si>
  <si>
    <t>MMR012CMP097</t>
  </si>
  <si>
    <t>MMR012CMP114</t>
  </si>
  <si>
    <t>MMR012CMP103</t>
  </si>
  <si>
    <t>MMR012CMP048</t>
  </si>
  <si>
    <t>MMR012CMP091</t>
  </si>
  <si>
    <t>MMR012CMP092</t>
  </si>
  <si>
    <t>MRCS Distributed</t>
  </si>
  <si>
    <t>SCI Distriubted Hygiene kits</t>
  </si>
  <si>
    <t xml:space="preserve">Oxfam Distributed </t>
  </si>
  <si>
    <t>CDN Distributed</t>
  </si>
  <si>
    <t>MMR012CMP101</t>
  </si>
  <si>
    <t>MMR012CMP046</t>
  </si>
  <si>
    <t>Dar Paing Village</t>
  </si>
  <si>
    <t>Baw Du Pha Village</t>
  </si>
  <si>
    <t>Thea Chaung Village</t>
  </si>
  <si>
    <t>Nb of missing bathing space</t>
  </si>
  <si>
    <t>Nb of missing hand washing station</t>
  </si>
  <si>
    <t>Last update:</t>
  </si>
  <si>
    <t>RAKHINE EMERGENCY FUNDING MATRIX</t>
  </si>
  <si>
    <t>Beneficiaries target  detail by type and sub-sector</t>
  </si>
  <si>
    <t>General</t>
  </si>
  <si>
    <t>Details</t>
  </si>
  <si>
    <t>Beneficiaries</t>
  </si>
  <si>
    <t>Other than camp 
(Host communities, villages...)</t>
  </si>
  <si>
    <t>Budget details</t>
  </si>
  <si>
    <t>Agency leading the project</t>
  </si>
  <si>
    <t xml:space="preserve">Implementing or consortium partner  </t>
  </si>
  <si>
    <t>Donor</t>
  </si>
  <si>
    <t>cofunding donors</t>
  </si>
  <si>
    <t>Name of the project</t>
  </si>
  <si>
    <t>Project start date 
 dd/mm/yy</t>
  </si>
  <si>
    <t>Project end date  dd/mm/yy</t>
  </si>
  <si>
    <t>Status of the project</t>
  </si>
  <si>
    <t>Year fund received</t>
  </si>
  <si>
    <t>Total Nb of wash beneficiaries</t>
  </si>
  <si>
    <t>Approximate % of beneficiaries in camps</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</si>
  <si>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</si>
  <si>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</si>
  <si>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</si>
  <si>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</si>
  <si>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</si>
  <si>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</si>
  <si>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</si>
  <si>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</si>
  <si>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</si>
  <si>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</si>
  <si>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</si>
  <si>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ABCD</t>
  </si>
  <si>
    <t>CERF</t>
  </si>
  <si>
    <t>Provision of WASH Facilities for IDPs at Sittwe, in Rakhine State</t>
  </si>
  <si>
    <t>Provision of WASH facilities for IDPs at Marauk Oo and Sittwe townships in Rakhine State</t>
  </si>
  <si>
    <t>Provision of Hygiene and Sanitation facilities for IDPs at Khaung Doke Khar, Say Tha Mar Gyi and Ohn Taw Gyi 2 camps at Sittwe Township in Rakhine State</t>
  </si>
  <si>
    <t>Active</t>
  </si>
  <si>
    <t>OFDA</t>
  </si>
  <si>
    <t>Provision of WASH facilities and Hygiene Promotion for IDPs at Khaung Doke Khar camp in Sittwe, Rakhine State</t>
  </si>
  <si>
    <t>x</t>
  </si>
  <si>
    <t>Provision of lifesaving assistance in Pauktaw, Minbya, Mrauk Townships (WASH Component listed of a Livelihood WASH project)</t>
  </si>
  <si>
    <t xml:space="preserve">WASH 63 percent (provision of  water filters and water storage,  Distribution of  ceramic water, Construction of 200 latrines and pilot Community Lead Training, health education and community organizing to support hygienic behavior) </t>
  </si>
  <si>
    <t>SIDA</t>
  </si>
  <si>
    <t>Hygiene kit distriution, as part of a larger project</t>
  </si>
  <si>
    <t>WASH Assistance to Conflict-Affected Communities in Rakhine State</t>
  </si>
  <si>
    <t>Complete WASH activities</t>
  </si>
  <si>
    <t>Drainage for 8 IDP camps</t>
  </si>
  <si>
    <t>Wash facilities in Pawk Taw</t>
  </si>
  <si>
    <t>Provision of water tester</t>
  </si>
  <si>
    <t>wash activities for Rakhine IDP's, 8 township</t>
  </si>
  <si>
    <t>ICRC</t>
  </si>
  <si>
    <t>rehabilitation of Sitwe hospital WASH infrastructure</t>
  </si>
  <si>
    <t>Rehabilitation of WASH infrastructure in hostptal of Mrauk U/Mymbia/Kauktaw</t>
  </si>
  <si>
    <t>planned</t>
  </si>
  <si>
    <t>Malteser International</t>
  </si>
  <si>
    <t>UNHCR</t>
  </si>
  <si>
    <t xml:space="preserve">Community-Based Health Improvement in northern Rakhine State, Myanmar </t>
  </si>
  <si>
    <t>Completed</t>
  </si>
  <si>
    <t>project started with 1 month delay.Originally planned to cover Maungdaw but cancelled</t>
  </si>
  <si>
    <t>ECHO</t>
  </si>
  <si>
    <t>Humanitarian Assistance to conflict-affected populations in Sittwe Township, Rakhine State, Myanmar</t>
  </si>
  <si>
    <t>Next phase of the ECHO project starst 1st of March, 2014</t>
  </si>
  <si>
    <t>Germany</t>
  </si>
  <si>
    <t>MHAA</t>
  </si>
  <si>
    <t>Supporting Essential Health and Nutrition services and hygiene promotion for IDPs in Rakhine State</t>
  </si>
  <si>
    <t>to check amount dedicated to wash</t>
  </si>
  <si>
    <t>MRCS</t>
  </si>
  <si>
    <t>WASH Support for IDPs in Kyauk Phyu and Ramree Townships</t>
  </si>
  <si>
    <t>64 new latrine+5 tube wells</t>
  </si>
  <si>
    <t>EPR</t>
  </si>
  <si>
    <t>up to 75 latrines, up to 100 water point chlorination, WASH for 2 CTC's</t>
  </si>
  <si>
    <t>Solidarites</t>
  </si>
  <si>
    <t>Emergency excreta removal (desludging) for Sittwe IDP camps</t>
  </si>
  <si>
    <t xml:space="preserve">Relief International </t>
  </si>
  <si>
    <t>Provision of WASH Assistance in two Camps in Myebon Township in Rakhine State</t>
  </si>
  <si>
    <t>Almost validated for cost extension</t>
  </si>
  <si>
    <t>SI/CDN</t>
  </si>
  <si>
    <t>DFID</t>
  </si>
  <si>
    <t>Provision of Lifesaving Humanitarian Assistance to Children and their Families Affected by Violence In Rakhine State, Myanmar</t>
  </si>
  <si>
    <t>WASH</t>
  </si>
  <si>
    <t>Emergency Assistance to Conflict Affected Populations in Myanmar</t>
  </si>
  <si>
    <t>WASH and Emergency Preparedeness and Response</t>
  </si>
  <si>
    <t>MMR Humanitarian Assistance for Households Affected by Violence in Rakhine State, Burma</t>
  </si>
  <si>
    <t>HK distribution and Drainage</t>
  </si>
  <si>
    <t xml:space="preserve">project started with 2 month delay. </t>
  </si>
  <si>
    <t>ACF/CDN/SI</t>
  </si>
  <si>
    <t>To provide WASH and Nutrition support to 89,278 conflict-affected persons.</t>
  </si>
  <si>
    <t>AusAid</t>
  </si>
  <si>
    <t>Emergency WASH Response, Pauktaw, Rakhine State, Myanmar</t>
  </si>
  <si>
    <t>Emergency WASH response for internally Displaced Persons (IDPs) in Rakhine State Southern Kachin State</t>
  </si>
  <si>
    <t xml:space="preserve">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t>
  </si>
  <si>
    <t>In soumission</t>
  </si>
  <si>
    <t>Emergency Response to Conflict-affected populations in Rakhine States</t>
  </si>
  <si>
    <t>Emergency water supply and sanitation services for IDPs affected by the violence of October 2012, in Rakhine State</t>
  </si>
  <si>
    <t>Unicef</t>
  </si>
  <si>
    <t>SDC</t>
  </si>
  <si>
    <t>List status</t>
  </si>
  <si>
    <t>RAKHINE EMERGENCY FUNDS ANALYSIS</t>
  </si>
  <si>
    <t>Sum of Total budget of the project US$. For only WASH related cost (including related support costs)</t>
  </si>
  <si>
    <t>(Multiple Items)</t>
  </si>
  <si>
    <t>FUND RECEIVED PER YEAR</t>
  </si>
  <si>
    <t>APPROXIMATE FUND USE/ENGAGED PER YEAR*</t>
  </si>
  <si>
    <t>* DRD intervention retreived of the analysis by the filter to avoid bias</t>
  </si>
  <si>
    <t>DONORS FUNDS PARTICIPATION</t>
  </si>
  <si>
    <t>FUNDS REPARTITION BY SUB SECTOR</t>
  </si>
  <si>
    <t>NB OF BENEFICIARIES, IN CAMPS, PLAN IN PROJECT</t>
  </si>
  <si>
    <t>NB OF BENEFICIARIES, IN HOST COMMUNITIES, PLAN IN PROJECT</t>
  </si>
  <si>
    <t xml:space="preserve"> Nb of sanitation beneficiaries plan</t>
  </si>
  <si>
    <t xml:space="preserve"> Nb of water access beneficiaries plan</t>
  </si>
  <si>
    <t xml:space="preserve"> Nb of beneficiairies for HE</t>
  </si>
  <si>
    <t xml:space="preserve"> Nb of sanitation beneficiaries plan2</t>
  </si>
  <si>
    <t xml:space="preserve"> Nb of water access beneficiaries plan2</t>
  </si>
  <si>
    <t xml:space="preserve"> Nb of beneficiairies for HE2</t>
  </si>
  <si>
    <t xml:space="preserve"> Approximate % of fund dedicated to sanitation</t>
  </si>
  <si>
    <t xml:space="preserve"> Approximate % fund dedicated to Water access</t>
  </si>
  <si>
    <t xml:space="preserve"> Approximate % of fund dedicated to HP</t>
  </si>
  <si>
    <t>Finland</t>
  </si>
  <si>
    <t>Turkish</t>
  </si>
  <si>
    <t>SM140017</t>
  </si>
  <si>
    <t>12-CEF-129</t>
  </si>
  <si>
    <t>* Affected villages + Villages with IDPs</t>
  </si>
  <si>
    <t>Master 4W WASH RAKHINE</t>
  </si>
  <si>
    <t>Sum of Nb of affected household</t>
  </si>
  <si>
    <t>Water treatment of pond water emplemented by the WASH committee</t>
  </si>
  <si>
    <t xml:space="preserve">Aung Daing </t>
  </si>
  <si>
    <t>Me la zi Kone</t>
  </si>
  <si>
    <t>Daung Pyauk Kay</t>
  </si>
  <si>
    <t>Nga/ Pun Ywar Shey</t>
  </si>
  <si>
    <t>Nga/ Pun Ywar Gyi</t>
  </si>
  <si>
    <t>Zaw Pu Gyar</t>
  </si>
  <si>
    <t xml:space="preserve">Part of global project including Kachin.
</t>
  </si>
  <si>
    <t xml:space="preserve">Part of global project including Kachin </t>
  </si>
  <si>
    <t>Supplies for Hygiene Kits to be in kind by UNICEF support</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</si>
  <si>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</si>
  <si>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MMR012CMP035</t>
  </si>
  <si>
    <t xml:space="preserve">Kyauk Ta Lone </t>
  </si>
  <si>
    <t>MMR012CMP036</t>
  </si>
  <si>
    <t>MMR012CMP006</t>
  </si>
  <si>
    <t>Aung Taing</t>
  </si>
  <si>
    <t>MMR012CMP001</t>
  </si>
  <si>
    <t>Paik Thay</t>
  </si>
  <si>
    <t>MMR012CMP008</t>
  </si>
  <si>
    <t>Sam Ba Le</t>
  </si>
  <si>
    <t>MMR012CMP003</t>
  </si>
  <si>
    <t>MMR012CMP104</t>
  </si>
  <si>
    <t>Set Yone Maw</t>
  </si>
  <si>
    <t>MMR012CMP002</t>
  </si>
  <si>
    <t>MMR012CMP005</t>
  </si>
  <si>
    <t>Tha Yet Oak</t>
  </si>
  <si>
    <t>MMR012CMP009</t>
  </si>
  <si>
    <t>Pa Rein</t>
  </si>
  <si>
    <t>MMR012CMP012</t>
  </si>
  <si>
    <t>Raw Ma Ni Sin Oe</t>
  </si>
  <si>
    <t>MMR012CMP117</t>
  </si>
  <si>
    <t>MMR012CMP010</t>
  </si>
  <si>
    <t>Yai Thei</t>
  </si>
  <si>
    <t>MMR012CMP042</t>
  </si>
  <si>
    <t>MMR012CMP115</t>
  </si>
  <si>
    <t>MMR012CMP116</t>
  </si>
  <si>
    <t>MMR012CMP111</t>
  </si>
  <si>
    <t>MMR012CMP045</t>
  </si>
  <si>
    <t>Say Tha Mar Gyi</t>
  </si>
  <si>
    <t>MMR012CMP056</t>
  </si>
  <si>
    <t>Set Yone Su 3</t>
  </si>
  <si>
    <t>1 pond; household bucket chlorination in place</t>
  </si>
  <si>
    <t xml:space="preserve">1 pond untreated </t>
  </si>
  <si>
    <t>bathing spaces are 6 per 1 facility</t>
  </si>
  <si>
    <t>MRCS Distributed Hygiene Kits in January 2014</t>
  </si>
  <si>
    <t>MRCS distributed  Hygiene Kits in January 2014</t>
  </si>
  <si>
    <t>Kyauk Taw</t>
  </si>
  <si>
    <t>Chait Taung</t>
  </si>
  <si>
    <t>Chait Taung - San Htoe Tan</t>
  </si>
  <si>
    <t>Chait Taung - Tha Dar</t>
  </si>
  <si>
    <t>Yai-Thei-Thi Kyar</t>
  </si>
  <si>
    <t>Ywar Thit Kay</t>
  </si>
  <si>
    <t>Basara</t>
  </si>
  <si>
    <t>Kaung Doke Khar (excl. Hmanzi)</t>
  </si>
  <si>
    <t>Pa Lin Pyin (Muslim)</t>
  </si>
  <si>
    <t>Sat Roe Kya 1</t>
  </si>
  <si>
    <t>Sat Roe Kya 2</t>
  </si>
  <si>
    <t>Set Yone Su 1</t>
  </si>
  <si>
    <t>Approximate % of beneficiaries in affected villages</t>
  </si>
  <si>
    <t>Approximate % of beneficiaries in srurrounding host community</t>
  </si>
  <si>
    <t>International Rescue Committee</t>
  </si>
  <si>
    <t xml:space="preserve">Ensuring access to Health, Water, Sanitation and Hygiene for conflict affected communities in Rathedaung township, Rakhine State
</t>
  </si>
  <si>
    <t>ACF/CDN/SI/OXFAM</t>
  </si>
  <si>
    <t>CIDA</t>
  </si>
  <si>
    <t>Emergency WASH, Nutrition &amp; Health for conflict affected IDPs &amp; Host Communities in Rakhine State, Burma - 2014</t>
  </si>
  <si>
    <t>Japan</t>
  </si>
  <si>
    <t>DANIDA</t>
  </si>
  <si>
    <t>Humanitarian Displacement and Mine Action Response in Myanmar</t>
  </si>
  <si>
    <t>Ah Du</t>
  </si>
  <si>
    <t>Auk Nan Yar</t>
  </si>
  <si>
    <t>Aung Zay Gone</t>
  </si>
  <si>
    <t>Be Lar Mi</t>
  </si>
  <si>
    <t>Chut Pyin</t>
  </si>
  <si>
    <t>Doe Wai Chaung</t>
  </si>
  <si>
    <t>Ni Lin Paw</t>
  </si>
  <si>
    <t>Padauk Myaing</t>
  </si>
  <si>
    <t>Pauk Pin Yin</t>
  </si>
  <si>
    <t>Pyaing Taung</t>
  </si>
  <si>
    <t>Than Du</t>
  </si>
  <si>
    <t>UNHCR distrib</t>
  </si>
  <si>
    <t>Population</t>
  </si>
  <si>
    <t>WASH Response in Kyauk Taw</t>
  </si>
  <si>
    <t xml:space="preserve">The target beneficiaries are subject to receiving communitty acceptance to be able to implement as planned. Note that this project is aimed to leverage funds by gaining acceptance for a second phase larger response. </t>
  </si>
  <si>
    <t>ERF</t>
  </si>
  <si>
    <t>Provision of WASH Assistance for IDPs camps and villages in Mye Bon Township</t>
  </si>
  <si>
    <t>Provision of WASH Assistance to IDPs in a Protracted Crises in Rakhine - Myanmar</t>
  </si>
  <si>
    <t>Surrounding Community</t>
  </si>
  <si>
    <t>MMR012CMP098</t>
  </si>
  <si>
    <t>MMR012CMP112</t>
  </si>
  <si>
    <t>MMR012CMP093</t>
  </si>
  <si>
    <r>
      <t xml:space="preserve">Nb of </t>
    </r>
    <r>
      <rPr>
        <b/>
        <sz val="10"/>
        <color rgb="FFFF0000"/>
        <rFont val="Calibri"/>
        <family val="2"/>
        <scheme val="minor"/>
      </rPr>
      <t>affected</t>
    </r>
    <r>
      <rPr>
        <b/>
        <sz val="10"/>
        <color theme="1"/>
        <rFont val="Calibri"/>
        <family val="2"/>
        <scheme val="minor"/>
      </rPr>
      <t xml:space="preserve"> household</t>
    </r>
  </si>
  <si>
    <r>
      <rPr>
        <b/>
        <sz val="10"/>
        <color indexed="10"/>
        <rFont val="Calibri"/>
        <family val="2"/>
      </rPr>
      <t xml:space="preserve">m3/day produced </t>
    </r>
    <r>
      <rPr>
        <b/>
        <sz val="10"/>
        <color indexed="8"/>
        <rFont val="Calibri"/>
        <family val="2"/>
      </rPr>
      <t xml:space="preserve"> 
Water treatment station </t>
    </r>
  </si>
  <si>
    <r>
      <rPr>
        <b/>
        <sz val="10"/>
        <color indexed="10"/>
        <rFont val="Calibri"/>
        <family val="2"/>
      </rPr>
      <t>m3 delivered during the month</t>
    </r>
    <r>
      <rPr>
        <b/>
        <sz val="10"/>
        <color indexed="8"/>
        <rFont val="Calibri"/>
        <family val="2"/>
      </rPr>
      <t xml:space="preserve">
Water/Boat trucking/emergency pumping </t>
    </r>
  </si>
  <si>
    <r>
      <rPr>
        <b/>
        <sz val="10"/>
        <color indexed="10"/>
        <rFont val="Calibri"/>
        <family val="2"/>
      </rPr>
      <t>#</t>
    </r>
    <r>
      <rPr>
        <b/>
        <sz val="10"/>
        <color indexed="8"/>
        <rFont val="Calibri"/>
        <family val="2"/>
      </rPr>
      <t xml:space="preserve"> Open wells (without hand pump)</t>
    </r>
  </si>
  <si>
    <r>
      <rPr>
        <b/>
        <sz val="10"/>
        <color indexed="10"/>
        <rFont val="Calibri"/>
        <family val="2"/>
      </rPr>
      <t xml:space="preserve">m3/day </t>
    </r>
    <r>
      <rPr>
        <b/>
        <sz val="10"/>
        <rFont val="Calibri"/>
        <family val="2"/>
      </rPr>
      <t>provided with overhead or storage tank with reticulation /Water  gravity system/SemiPermanend network</t>
    </r>
  </si>
  <si>
    <r>
      <rPr>
        <b/>
        <sz val="10"/>
        <color indexed="10"/>
        <rFont val="Calibri"/>
        <family val="2"/>
      </rPr>
      <t>%</t>
    </r>
    <r>
      <rPr>
        <b/>
        <sz val="10"/>
        <color indexed="8"/>
        <rFont val="Calibri"/>
        <family val="2"/>
      </rPr>
      <t xml:space="preserve"> Water harvesting system HH coverage (RWHS)</t>
    </r>
  </si>
  <si>
    <t>Actual water needs coverage (excluding HH solutions)</t>
  </si>
  <si>
    <t>Access to safe drinking water through permanent water point</t>
  </si>
  <si>
    <t>Population for Access to safe drinking water through permanent water point</t>
  </si>
  <si>
    <r>
      <rPr>
        <b/>
        <sz val="10"/>
        <rFont val="Calibri"/>
        <family val="2"/>
      </rPr>
      <t xml:space="preserve">Potential % </t>
    </r>
    <r>
      <rPr>
        <b/>
        <sz val="10"/>
        <color indexed="8"/>
        <rFont val="Calibri"/>
        <family val="2"/>
      </rPr>
      <t>of actual need coverage including HWTS</t>
    </r>
  </si>
  <si>
    <t>Population for Potential % of actual need coverage including HWTS</t>
  </si>
  <si>
    <t>Rank water need coverage (excluding HWTS)</t>
  </si>
  <si>
    <t>% of actual needs covered by emergency systems</t>
  </si>
  <si>
    <t xml:space="preserve">Population for actual needs covered by emergency facilities </t>
  </si>
  <si>
    <t>Potential Number permanent water points missing</t>
  </si>
  <si>
    <t># of persons having RWHS acess</t>
  </si>
  <si>
    <t>n/a</t>
  </si>
  <si>
    <t>% needs coverage with sem-permanent latrine</t>
  </si>
  <si>
    <t>Population for semi-permanent latrine coverage</t>
  </si>
  <si>
    <t>% needs coverage with emergency latrines</t>
  </si>
  <si>
    <t>Population covered by emergency latrines</t>
  </si>
  <si>
    <r>
      <rPr>
        <b/>
        <sz val="10"/>
        <color indexed="10"/>
        <rFont val="Calibri"/>
        <family val="2"/>
      </rPr>
      <t>% Estimation</t>
    </r>
    <r>
      <rPr>
        <b/>
        <sz val="10"/>
        <color indexed="8"/>
        <rFont val="Calibri"/>
        <family val="2"/>
      </rPr>
      <t xml:space="preserve"> coverage latrine needs at the end of project </t>
    </r>
  </si>
  <si>
    <t>Incinerator operational</t>
  </si>
  <si>
    <t>IDPs in host community have not had any WASH or hygiene promotion intervention except for distribution of hygiene kits</t>
  </si>
  <si>
    <t>Ah Lar Than</t>
  </si>
  <si>
    <t>Ohn Yee Paw</t>
  </si>
  <si>
    <t>Nyaung Pin Hla</t>
  </si>
  <si>
    <t>Sin Oe</t>
  </si>
  <si>
    <t>Baw Ya Par</t>
  </si>
  <si>
    <t>Rakhine Min Pyin</t>
  </si>
  <si>
    <t>Number of people having CWF</t>
  </si>
  <si>
    <t>% of TLS needs covered</t>
  </si>
  <si>
    <t>0-25%</t>
  </si>
  <si>
    <t>25-50%</t>
  </si>
  <si>
    <t>50-75%</t>
  </si>
  <si>
    <t>75-100%</t>
  </si>
  <si>
    <t xml:space="preserve">Pyar Tha Kywe </t>
  </si>
  <si>
    <r>
      <t xml:space="preserve">IDPs Pop or </t>
    </r>
    <r>
      <rPr>
        <b/>
        <sz val="10"/>
        <color rgb="FFFF0000"/>
        <rFont val="Calibri"/>
        <family val="2"/>
        <scheme val="minor"/>
      </rPr>
      <t>directly affected</t>
    </r>
    <r>
      <rPr>
        <b/>
        <sz val="10"/>
        <color theme="1"/>
        <rFont val="Calibri"/>
        <family val="2"/>
        <scheme val="minor"/>
      </rPr>
      <t xml:space="preserve"> population</t>
    </r>
  </si>
  <si>
    <t>Coverage of TLS sanitation needs</t>
  </si>
  <si>
    <t>Count of % of TLS needs covered</t>
  </si>
  <si>
    <t>Coverage of incinerator</t>
  </si>
  <si>
    <t>priority is now put on dislodgling and repair of broken latrines</t>
  </si>
  <si>
    <t>Sin Tet Maw (Host)</t>
  </si>
  <si>
    <t>Waste management is done by community teams. DRD manages water supply with support from Oxfam</t>
  </si>
  <si>
    <t>Waste management done by Oxfam with little community involvement, and HP managed by CMC.</t>
  </si>
  <si>
    <t>Waste management supported by Oxfam. Water supply - CMC manages with support from Oxfam</t>
  </si>
  <si>
    <t>HH visits and special events</t>
  </si>
  <si>
    <t>Nget Chaung 1</t>
  </si>
  <si>
    <t>Nget Chaung 2</t>
  </si>
  <si>
    <t>Surrounding community</t>
  </si>
  <si>
    <t>Ka Nyin Taw</t>
  </si>
  <si>
    <t>2 spring</t>
  </si>
  <si>
    <t>Bathing stations are used where water is available nearby. Community also use a bathing pond located at edge of camp.</t>
  </si>
  <si>
    <t>community latrines</t>
  </si>
  <si>
    <t>1 town pond untreated; gravity-fed to 2 camp taps which last through dry season (but IDPs are also free to walk to this pond).</t>
  </si>
  <si>
    <t>Not Distribution</t>
  </si>
  <si>
    <t>OGB December distribution</t>
  </si>
  <si>
    <t>OGB December distrbibution</t>
  </si>
  <si>
    <t>Doke Kan Chaung</t>
  </si>
  <si>
    <t>Goke Pi Htaunt</t>
  </si>
  <si>
    <t>Hla Nyo Kan</t>
  </si>
  <si>
    <t>Paung Mae</t>
  </si>
  <si>
    <t>Shwe Hlaing Rakhine</t>
  </si>
  <si>
    <t>Taung Pauk</t>
  </si>
  <si>
    <t>U Saung Tan (lower)</t>
  </si>
  <si>
    <t>Ohn Taw Gyi</t>
  </si>
  <si>
    <t xml:space="preserve">Myo </t>
  </si>
  <si>
    <t>Household latrines</t>
  </si>
  <si>
    <t>MMR012CMP015</t>
  </si>
  <si>
    <t>Access to this Ward is not possible since September 2013</t>
  </si>
  <si>
    <t>We stop our all of WASH Activities. We will continute when we get permision from Government.</t>
  </si>
  <si>
    <t>Population Type</t>
  </si>
  <si>
    <t>Water coverage %</t>
  </si>
  <si>
    <t>Latrine coverage %</t>
  </si>
  <si>
    <t>Bathroom coverage %</t>
  </si>
  <si>
    <t>Population Receivinh HH visit for HP</t>
  </si>
  <si>
    <t>Sum of HH receiving monthly HP visit %</t>
  </si>
  <si>
    <t>Location Coverage</t>
  </si>
  <si>
    <t>Count of Location Coverage</t>
  </si>
  <si>
    <t>Covered</t>
  </si>
  <si>
    <t>Not Covered</t>
  </si>
  <si>
    <t>% Water coverage</t>
  </si>
  <si>
    <t>% Latrine coverage</t>
  </si>
  <si>
    <t>% Bathroom coverage</t>
  </si>
  <si>
    <t>Need coverage per ethnicity</t>
  </si>
  <si>
    <t>Need coverage per township</t>
  </si>
  <si>
    <t>Need coverage per site</t>
  </si>
  <si>
    <t>Need coverage per site size</t>
  </si>
  <si>
    <t>Need coverage per affected type</t>
  </si>
  <si>
    <t>% Household complementary Coverage</t>
  </si>
  <si>
    <t>Need coverage per location type</t>
  </si>
  <si>
    <t>Water type coverage per location type</t>
  </si>
  <si>
    <t>Water type coverage per beneficiary type</t>
  </si>
  <si>
    <t>% Permanent Water point</t>
  </si>
  <si>
    <t>% Semi-permanent latrine coverage</t>
  </si>
  <si>
    <t>% Emergency Latrine</t>
  </si>
  <si>
    <t>% Semi-permanent latrine</t>
  </si>
  <si>
    <t>Latrine type coverage per township</t>
  </si>
  <si>
    <t>Latrine type coverage per beneficiary type</t>
  </si>
  <si>
    <t>% Coverage of full HK</t>
  </si>
  <si>
    <t>% Coverage of full HK per township</t>
  </si>
  <si>
    <t xml:space="preserve">Latrine Gender achievement </t>
  </si>
  <si>
    <t>%Wash Emergency Facilities</t>
  </si>
  <si>
    <t>% Water needs covered (including HHWT)</t>
  </si>
  <si>
    <t>Projection of water coverage end of project</t>
  </si>
  <si>
    <t>% Latrine coverage increase projection</t>
  </si>
  <si>
    <t>% Bathing space need coverage</t>
  </si>
  <si>
    <t>% Bathing space coverage increase projection</t>
  </si>
  <si>
    <t>Latrines at each HH</t>
  </si>
  <si>
    <t>% Water coverage expected</t>
  </si>
  <si>
    <t>% HHWT Direct coverage</t>
  </si>
  <si>
    <t xml:space="preserve"> % Permanent Facility</t>
  </si>
  <si>
    <t>% Emregency Facilities</t>
  </si>
  <si>
    <t>Before 2014</t>
  </si>
  <si>
    <t>Graph set up</t>
  </si>
  <si>
    <t>Target population reach</t>
  </si>
  <si>
    <t>Target population not reah</t>
  </si>
  <si>
    <t>Total targetted population</t>
  </si>
  <si>
    <t>Objective 1: Water access</t>
  </si>
  <si>
    <t>Objective 2: Sanitation population</t>
  </si>
  <si>
    <t>Visualisation for Snapshot</t>
  </si>
  <si>
    <t>Objective 3:Hygiene pormotion</t>
  </si>
  <si>
    <t>MMR012006701509</t>
  </si>
  <si>
    <t>246  beneficiaries / borehole</t>
  </si>
  <si>
    <t>257 beneficiaries / borehole</t>
  </si>
  <si>
    <t xml:space="preserve"> 311 beneficiaries / borehole</t>
  </si>
  <si>
    <t>46 beneficiaries / borehole</t>
  </si>
  <si>
    <t>273 beneficiaries / borehole</t>
  </si>
  <si>
    <t>284 beneficiaries / borehole</t>
  </si>
  <si>
    <t xml:space="preserve"> 268 beneficiaries / borehole</t>
  </si>
  <si>
    <t>182 beneficiaries / borehole</t>
  </si>
  <si>
    <t>3 wells exist but are not used at all</t>
  </si>
  <si>
    <t>1 additional pond is used only for non drinking purposes</t>
  </si>
  <si>
    <t>1 additional pond is used only for the mosque</t>
  </si>
  <si>
    <t>1 additional well is used for non drinking purposes as the water is very turbid</t>
  </si>
  <si>
    <t>Maw Htet</t>
  </si>
  <si>
    <t>Navy Seik</t>
  </si>
  <si>
    <t>Pyin Chay</t>
  </si>
  <si>
    <t>Sa Hpo Gyun</t>
  </si>
  <si>
    <t>Ponna Gyun</t>
  </si>
  <si>
    <t>Kyauk Seik</t>
  </si>
  <si>
    <t>Met Ka Lar Kya</t>
  </si>
  <si>
    <t>Nat Seik</t>
  </si>
  <si>
    <t>Sa Par Htar</t>
  </si>
  <si>
    <t>Tan Khoe</t>
  </si>
  <si>
    <t>Tan Zwei</t>
  </si>
  <si>
    <t>Yoe Ngu</t>
  </si>
  <si>
    <t>No coverage</t>
  </si>
  <si>
    <t>Village (development)</t>
  </si>
  <si>
    <t>Ohn Taw Gyi North</t>
  </si>
  <si>
    <t>Sin Tet Maw</t>
  </si>
  <si>
    <t>SCI Distriubted Refill Hygiene kits on 2014</t>
  </si>
  <si>
    <t>HRP 2014</t>
  </si>
  <si>
    <t>HRP 2015</t>
  </si>
  <si>
    <t>Hosting villagers</t>
  </si>
  <si>
    <t>Currently being extensively identified</t>
  </si>
  <si>
    <t>NRS = Maungdaw and Buthidaung (Rathedaung is included above) - will be included early 2015</t>
  </si>
  <si>
    <t>In camps</t>
  </si>
  <si>
    <t>In affected villages</t>
  </si>
  <si>
    <t>In surrounding villages</t>
  </si>
  <si>
    <t>% Achievement</t>
  </si>
  <si>
    <t>Population with equitable access to safe and sustainable sanitation facilities</t>
  </si>
  <si>
    <t>Population with equitable access to sufficient and sustainable quantity of safe drinking and domestic water</t>
  </si>
  <si>
    <t>Achieved with durable solution (excluding emergency facilities)</t>
  </si>
  <si>
    <t>Population with basic knowledge of diarrheal disease transmission and prevention</t>
  </si>
  <si>
    <t>KAP</t>
  </si>
  <si>
    <t>Surrounding villagers</t>
  </si>
  <si>
    <t>Achieved with durable solution (excluding HWTS and emergency facilities)</t>
  </si>
  <si>
    <t>KAP results under preparation</t>
  </si>
  <si>
    <t>KAP survey in villages Sittwe - SCI Sept 2014. Respondents naming handwashig with soap as cause of diarrohea</t>
  </si>
  <si>
    <t>KAP survey in Sittwe camps - SCI Mars 2014</t>
  </si>
  <si>
    <t>% Achievement with sustainablesolution</t>
  </si>
  <si>
    <t>% Emergency Facilities</t>
  </si>
  <si>
    <t>% Achievement with sustainable solution</t>
  </si>
  <si>
    <t>Ah Lel</t>
  </si>
  <si>
    <t>Ah Lel Kyun</t>
  </si>
  <si>
    <t>MMR012CMP022</t>
  </si>
  <si>
    <t>MMR012CMP024</t>
  </si>
  <si>
    <t>Ohn Taw Gyi South</t>
  </si>
  <si>
    <t>Ba Wunn Chaung Wa Su</t>
  </si>
  <si>
    <t>Latrines coverage %</t>
  </si>
  <si>
    <t>Camp with IDPs</t>
  </si>
  <si>
    <t>Village with IDPs</t>
  </si>
  <si>
    <t>Village with affected HH</t>
  </si>
  <si>
    <t>Waste management</t>
  </si>
  <si>
    <t>Number of locations</t>
  </si>
  <si>
    <t>% of pop</t>
  </si>
  <si>
    <t>Typology of beneficiaries</t>
  </si>
  <si>
    <t>Sum of % HHWTS coverage</t>
  </si>
  <si>
    <r>
      <rPr>
        <b/>
        <sz val="10"/>
        <color rgb="FFFF0000"/>
        <rFont val="Calibri"/>
        <family val="2"/>
        <scheme val="minor"/>
      </rPr>
      <t>#</t>
    </r>
    <r>
      <rPr>
        <b/>
        <sz val="10"/>
        <color theme="1"/>
        <rFont val="Calibri"/>
        <family val="2"/>
        <scheme val="minor"/>
      </rPr>
      <t xml:space="preserve"> of individual bathing spaces </t>
    </r>
    <r>
      <rPr>
        <b/>
        <sz val="10"/>
        <color rgb="FFFF0000"/>
        <rFont val="Calibri"/>
        <family val="2"/>
        <scheme val="minor"/>
      </rPr>
      <t>(1 unit for 1HH)</t>
    </r>
  </si>
  <si>
    <r>
      <rPr>
        <b/>
        <sz val="10"/>
        <color indexed="10"/>
        <rFont val="Calibri"/>
        <family val="2"/>
      </rPr>
      <t>#</t>
    </r>
    <r>
      <rPr>
        <b/>
        <sz val="10"/>
        <color indexed="8"/>
        <rFont val="Calibri"/>
        <family val="2"/>
      </rPr>
      <t xml:space="preserve"> Emergency latrines </t>
    </r>
    <r>
      <rPr>
        <b/>
        <sz val="10"/>
        <color indexed="10"/>
        <rFont val="Calibri"/>
        <family val="2"/>
      </rPr>
      <t>functional</t>
    </r>
  </si>
  <si>
    <r>
      <rPr>
        <b/>
        <sz val="10"/>
        <color indexed="10"/>
        <rFont val="Calibri"/>
        <family val="2"/>
      </rPr>
      <t>#</t>
    </r>
    <r>
      <rPr>
        <b/>
        <sz val="10"/>
        <color indexed="8"/>
        <rFont val="Calibri"/>
        <family val="2"/>
      </rPr>
      <t xml:space="preserve"> Semi-permanent latrines </t>
    </r>
    <r>
      <rPr>
        <b/>
        <sz val="10"/>
        <color indexed="10"/>
        <rFont val="Calibri"/>
        <family val="2"/>
      </rPr>
      <t xml:space="preserve">functional </t>
    </r>
    <r>
      <rPr>
        <b/>
        <sz val="10"/>
        <color theme="1"/>
        <rFont val="Calibri"/>
        <family val="2"/>
      </rPr>
      <t xml:space="preserve">in camps
</t>
    </r>
    <r>
      <rPr>
        <b/>
        <sz val="10"/>
        <color indexed="10"/>
        <rFont val="Calibri"/>
        <family val="2"/>
      </rPr>
      <t xml:space="preserve">
</t>
    </r>
    <r>
      <rPr>
        <b/>
        <sz val="10"/>
        <color rgb="FFFF0000"/>
        <rFont val="Calibri"/>
        <family val="2"/>
      </rPr>
      <t>#</t>
    </r>
    <r>
      <rPr>
        <b/>
        <sz val="10"/>
        <color theme="1"/>
        <rFont val="Calibri"/>
        <family val="2"/>
      </rPr>
      <t xml:space="preserve"> village latrines </t>
    </r>
    <r>
      <rPr>
        <b/>
        <sz val="10"/>
        <color rgb="FFFF0000"/>
        <rFont val="Calibri"/>
        <family val="2"/>
      </rPr>
      <t>functional</t>
    </r>
    <r>
      <rPr>
        <b/>
        <sz val="10"/>
        <color theme="1"/>
        <rFont val="Calibri"/>
        <family val="2"/>
      </rPr>
      <t xml:space="preserve"> in villages</t>
    </r>
  </si>
  <si>
    <t>Latrines organization</t>
  </si>
  <si>
    <r>
      <rPr>
        <b/>
        <sz val="10"/>
        <color indexed="10"/>
        <rFont val="Calibri"/>
        <family val="2"/>
      </rPr>
      <t>#</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</si>
  <si>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months of consumables distributed since last full kit distribution</t>
    </r>
  </si>
  <si>
    <t>Items</t>
  </si>
  <si>
    <t>Social mobilization</t>
  </si>
  <si>
    <t>Gap of full hygiene kit</t>
  </si>
  <si>
    <t>Gap of month covered by consumables</t>
  </si>
  <si>
    <t>Ah Ngu Ywar Haung</t>
  </si>
  <si>
    <t>Ah Ngu Ywar Thit</t>
  </si>
  <si>
    <t>Pyin Taw Che</t>
  </si>
  <si>
    <t>Pond renovation, fencing and stairs</t>
  </si>
  <si>
    <t>all handwashing stations repaired</t>
  </si>
  <si>
    <t>22 HH's new permanent 4 ring latrines,  participatory approach</t>
  </si>
  <si>
    <t>50 HH's new permanent 4 ring latrines,  participatory approach</t>
  </si>
  <si>
    <t>21 HH's new permanent 4 ring latrines,  participatory approach</t>
  </si>
  <si>
    <t xml:space="preserve">Waste currently being incinerated 2x/week. Bins distributed in Feb. No separating pits. </t>
  </si>
  <si>
    <t>Waste currently being collected 3 times per week and incinerated. Bins distributed in Feb. No separating pits. One sanitary pad dumping area.</t>
  </si>
  <si>
    <t>Good coverage</t>
  </si>
  <si>
    <t>Average coverage</t>
  </si>
  <si>
    <t>Excellent coverage</t>
  </si>
  <si>
    <t>Low coverage</t>
  </si>
  <si>
    <t>Need to update school database for total needs coverage</t>
  </si>
  <si>
    <t>Pa Lin Pyin (Rakhine, Fisher)</t>
  </si>
  <si>
    <t>Pa Lin Pyin (Rakhine, Main)</t>
  </si>
  <si>
    <t>Pyar Lay Chaung (New)</t>
  </si>
  <si>
    <t>Pyar Lay Chaung (Old)</t>
  </si>
  <si>
    <t>1 drinking, 2 domestic ponds</t>
  </si>
  <si>
    <t>5 ponds for both drinking &amp; domestic</t>
  </si>
  <si>
    <t>4 dirnking, 3 domestic, 3 unused ponds</t>
  </si>
  <si>
    <t>3 drinking, 5 domestic ponds</t>
  </si>
  <si>
    <t>2 drinking, 6 domestic ponds</t>
  </si>
  <si>
    <t>1 drinking, 1 domestic pond</t>
  </si>
  <si>
    <t>2 pond for both drinking and domestic</t>
  </si>
  <si>
    <t>1 drinking, 1 domestic</t>
  </si>
  <si>
    <t>Maungdaw district</t>
  </si>
  <si>
    <t>Locality</t>
  </si>
  <si>
    <t>Count of Latrines organization</t>
  </si>
  <si>
    <t>Project Analysis</t>
  </si>
  <si>
    <t>Population Targetted</t>
  </si>
  <si>
    <t>% Actual Latrine coverage</t>
  </si>
  <si>
    <t>Camp Total</t>
  </si>
  <si>
    <t>Village Total</t>
  </si>
  <si>
    <t>Approximate Fund 2015 regarding project date implementation</t>
  </si>
  <si>
    <t>2015</t>
  </si>
  <si>
    <t>Aung Le Byin</t>
  </si>
  <si>
    <t>Yet Chaung</t>
  </si>
  <si>
    <t>Dagon</t>
  </si>
  <si>
    <t>Gaung Hpyu</t>
  </si>
  <si>
    <t>Kyauk Nga Nwar</t>
  </si>
  <si>
    <t>Nga Shwe Pyin</t>
  </si>
  <si>
    <t>Ohn Taw</t>
  </si>
  <si>
    <t>Wet Gaung</t>
  </si>
  <si>
    <t>piping connection to pond water supply, construction of storage tank</t>
  </si>
  <si>
    <t>82 HH's new permanent 4 ring latrines,  participatory approach</t>
  </si>
  <si>
    <t>25 HH's new permanent 4 ring latrines, particpatory approach</t>
  </si>
  <si>
    <t>46 HH's new permanent 4 ring latrines, participatory approach</t>
  </si>
  <si>
    <t>Chin Ywar Min Pyin</t>
  </si>
  <si>
    <t>Kyauk Ka Lay</t>
  </si>
  <si>
    <t>Nga/Oke</t>
  </si>
  <si>
    <t>Pyu Chaing</t>
  </si>
  <si>
    <t>Wa Hmyaung</t>
  </si>
  <si>
    <t>War Net Chun</t>
  </si>
  <si>
    <t>Yae Myet</t>
  </si>
  <si>
    <t>Lan Paik Khwin</t>
  </si>
  <si>
    <t>Tha Pon</t>
  </si>
  <si>
    <t>Pu Yain Kone</t>
  </si>
  <si>
    <t>Taung Pyin</t>
  </si>
  <si>
    <t>Sin Aing</t>
  </si>
  <si>
    <t>Sin Tet Maw Rakhine(Baw Da Li)</t>
  </si>
  <si>
    <t>196412</t>
  </si>
  <si>
    <t>196408</t>
  </si>
  <si>
    <t>196377</t>
  </si>
  <si>
    <t>196356</t>
  </si>
  <si>
    <t>92.921730</t>
  </si>
  <si>
    <t>20.242140</t>
  </si>
  <si>
    <t>92.9941</t>
  </si>
  <si>
    <t>20.2921</t>
  </si>
  <si>
    <t>93.012960</t>
  </si>
  <si>
    <t>20.424390</t>
  </si>
  <si>
    <t>Chin Ywa(Pyaing Taung)</t>
  </si>
  <si>
    <t>Bar Sa Yar Host</t>
  </si>
  <si>
    <t>Hmansi ( from Kaung Doke Khar)</t>
  </si>
  <si>
    <t>Ohn Taw Chay</t>
  </si>
  <si>
    <t>Say Tha Mar Nge</t>
  </si>
  <si>
    <t>Taung Bwe</t>
  </si>
  <si>
    <t>MMR012CMP021</t>
  </si>
  <si>
    <t>92.978</t>
  </si>
  <si>
    <t>20.268</t>
  </si>
  <si>
    <t>Kyet Taw Pyin</t>
  </si>
  <si>
    <t>3 drinking, 5 unused ponds</t>
  </si>
  <si>
    <t>Comunal bath house constructed &amp; connected to water as required by the community.</t>
  </si>
  <si>
    <t>HH latrines built with community particpation</t>
  </si>
  <si>
    <t>Refil done monthly</t>
  </si>
  <si>
    <t>60 IDPs leave with relatives in Kyuk Phyu town.</t>
  </si>
  <si>
    <t>WASH actvities coordinated by WASH committee.</t>
  </si>
  <si>
    <t>% Estimation coverage needs at the end of project</t>
  </si>
  <si>
    <t xml:space="preserve">Pond use only </t>
  </si>
  <si>
    <t>(blank)</t>
  </si>
  <si>
    <t>Maungdaw</t>
  </si>
  <si>
    <t>Gudar Pyin</t>
  </si>
  <si>
    <t>Kyauk Sar Dine</t>
  </si>
  <si>
    <t>Let Thar Ywa</t>
  </si>
  <si>
    <t>Taung Ywa</t>
  </si>
  <si>
    <t>Tha Yet Taung</t>
  </si>
  <si>
    <t>Gaung Gyi</t>
  </si>
  <si>
    <t>Gwa Sone Muslim</t>
  </si>
  <si>
    <t>Gwa Sone Rakhine</t>
  </si>
  <si>
    <t>Maw Staw Bis</t>
  </si>
  <si>
    <t>Wet Ma Kya</t>
  </si>
  <si>
    <t>Hla Tha Ma</t>
  </si>
  <si>
    <t>Langui</t>
  </si>
  <si>
    <t>Say Tha Ma</t>
  </si>
  <si>
    <t>Thein Taung pyin (Dine Net)</t>
  </si>
  <si>
    <t>Thein Taung pyin (Muslim)</t>
  </si>
  <si>
    <t>Ka Doe Seik</t>
  </si>
  <si>
    <t>Kyauk Yit Muslim</t>
  </si>
  <si>
    <t>Kyauk Yit RK</t>
  </si>
  <si>
    <t>Nan Yah Gone Ahtet</t>
  </si>
  <si>
    <t>Palay Taung Ywa Thit</t>
  </si>
  <si>
    <t>Play Taung South</t>
  </si>
  <si>
    <t>Play Taung Ywa Gyi North</t>
  </si>
  <si>
    <t>Taungchay Ywa Muslim</t>
  </si>
  <si>
    <t>Than Chay  RK</t>
  </si>
  <si>
    <t>Aung Pa</t>
  </si>
  <si>
    <t>Gan Gaw Myaing ( Na Ta La )</t>
  </si>
  <si>
    <t>Phyar Pyin</t>
  </si>
  <si>
    <t>Prine Taung</t>
  </si>
  <si>
    <t>Taung Chaung</t>
  </si>
  <si>
    <t>Taung Maw</t>
  </si>
  <si>
    <t>Zan Kha Ma</t>
  </si>
  <si>
    <t xml:space="preserve">Kan Kyar Taung </t>
  </si>
  <si>
    <t>Wai Thar Le</t>
  </si>
  <si>
    <t>Kan Kyar Myauk</t>
  </si>
  <si>
    <t>Kha Yai Myaing</t>
  </si>
  <si>
    <t>DPA</t>
  </si>
  <si>
    <t>Raza Bil</t>
  </si>
  <si>
    <t>Taung Pine Nyar</t>
  </si>
  <si>
    <t>Kan Pyi Tha Zi</t>
  </si>
  <si>
    <t>Ywa Haung</t>
  </si>
  <si>
    <t>Phwe Ra</t>
  </si>
  <si>
    <t>Ba Gone Nar</t>
  </si>
  <si>
    <t>Kan Tha Ya</t>
  </si>
  <si>
    <t>Mardilla</t>
  </si>
  <si>
    <t>Tat Oo Anauk</t>
  </si>
  <si>
    <t>Nur Ru Lar</t>
  </si>
  <si>
    <t>Din Gar</t>
  </si>
  <si>
    <t>Lam Bar Gone Nah</t>
  </si>
  <si>
    <t>Shwe Yin Aye</t>
  </si>
  <si>
    <t>Zaw Ma Tat</t>
  </si>
  <si>
    <t>Kaing Gyi</t>
  </si>
  <si>
    <t>Hin Thar Ra</t>
  </si>
  <si>
    <t>Saw Kina Ma</t>
  </si>
  <si>
    <t>Kyauk Pan Du (NTL)</t>
  </si>
  <si>
    <t>West</t>
  </si>
  <si>
    <t>Middle</t>
  </si>
  <si>
    <t>Ywa Gyi</t>
  </si>
  <si>
    <t>Househlold latrine/ public latrine</t>
  </si>
  <si>
    <t xml:space="preserve">Public latrine only </t>
  </si>
  <si>
    <t>HH latrine kits to be distributed</t>
  </si>
  <si>
    <t>Ensuring access to Water, Sanitation and Hygiene and dissemination of ODF methodology to communities in Rathedaung and Ponnagyun townships, Rakhine State</t>
  </si>
  <si>
    <t>CARE</t>
  </si>
  <si>
    <t>CARE &amp; ACF</t>
  </si>
  <si>
    <t>EU</t>
  </si>
  <si>
    <t xml:space="preserve">- </t>
  </si>
  <si>
    <t xml:space="preserve">Poverty and Hunger Alleviation through Support, Empowerment and Increased networking (PHASE-IN) </t>
  </si>
  <si>
    <t>Remainder of funding allocation for implementation in 2016</t>
  </si>
  <si>
    <t>Buthidaung</t>
  </si>
  <si>
    <t>Inn Chaung (Muslim)</t>
  </si>
  <si>
    <t>Inn Chaung (Daing Net)</t>
  </si>
  <si>
    <t>Daing Net</t>
  </si>
  <si>
    <t>Ba Da Nar</t>
  </si>
  <si>
    <t>Zay Teit Taung</t>
  </si>
  <si>
    <t>Laung Chaung (Daing Net)</t>
  </si>
  <si>
    <t>Kha Yu Chaung (Muslim)</t>
  </si>
  <si>
    <t>Si Tar (Pa Zun Chaung)</t>
  </si>
  <si>
    <t>Let Wea Det</t>
  </si>
  <si>
    <t>Doe Tan</t>
  </si>
  <si>
    <t>Myauk Ywa (Kyet Mauk Taung)</t>
  </si>
  <si>
    <t>Ywa Gyi (Tha Yet Kin Ma Nu)</t>
  </si>
  <si>
    <t>Wa Khote Chaung</t>
  </si>
  <si>
    <t>Kah Mee</t>
  </si>
  <si>
    <t>Done Thein</t>
  </si>
  <si>
    <t>Kin Taung (Taung + Myauk)</t>
  </si>
  <si>
    <t>Kyar Nyo Pyin (Muslim)</t>
  </si>
  <si>
    <t>Chaung Pauk</t>
  </si>
  <si>
    <t>Ah Lel Ywa</t>
  </si>
  <si>
    <t>Myauk Ywa</t>
  </si>
  <si>
    <t>Myaung Nar</t>
  </si>
  <si>
    <t>Nyaung Chaung</t>
  </si>
  <si>
    <t>Kar Di (Kywe Cho Maw)</t>
  </si>
  <si>
    <t>Godzilla (Hteik Tu Pauk Myauk)</t>
  </si>
  <si>
    <t>Kyauk Yan (Rakhine)</t>
  </si>
  <si>
    <t>San Go Taung</t>
  </si>
  <si>
    <t>Shat Shar Taung</t>
  </si>
  <si>
    <t>U Yin Thar</t>
  </si>
  <si>
    <t>Nwar Yone Taung</t>
  </si>
  <si>
    <t>Zedi Taung (Muslim)</t>
  </si>
  <si>
    <t xml:space="preserve">Baw Li </t>
  </si>
  <si>
    <t>Thein Tan (Rakhine)</t>
  </si>
  <si>
    <t>Thein Tan (Muslim)</t>
  </si>
  <si>
    <t>Say Taung</t>
  </si>
  <si>
    <t>Kan Pyin</t>
  </si>
  <si>
    <t>Tha Pyay Seik</t>
  </si>
  <si>
    <t>Thaing Ta Poke</t>
  </si>
  <si>
    <t>Kyauk Pyin Seik</t>
  </si>
  <si>
    <t>Chin Pyin</t>
  </si>
  <si>
    <t>San Pai Pin Yin</t>
  </si>
  <si>
    <t>Khat Pa Kaung</t>
  </si>
  <si>
    <t>Hindu</t>
  </si>
  <si>
    <t>Muslim
 (Aley Ywa)</t>
  </si>
  <si>
    <t>Muslim
 (Taung Ywa)</t>
  </si>
  <si>
    <t>Muslim
 (Myaunk Ywa)</t>
  </si>
  <si>
    <t>Ywa Ma</t>
  </si>
  <si>
    <t>Kywe Ta Ma</t>
  </si>
  <si>
    <t>Lu Fan Pyin</t>
  </si>
  <si>
    <t>Myaunk Ywa</t>
  </si>
  <si>
    <t>Yai Mya</t>
  </si>
  <si>
    <t>Ashit Ywa</t>
  </si>
  <si>
    <t>ANauk Ywa</t>
  </si>
  <si>
    <t>Kyaung Taung</t>
  </si>
  <si>
    <t>Fatar</t>
  </si>
  <si>
    <t>Alay Mushee</t>
  </si>
  <si>
    <t>Rakhine Ywa</t>
  </si>
  <si>
    <t>Zumar Ywa</t>
  </si>
  <si>
    <t>A Nauk Ywa</t>
  </si>
  <si>
    <t>Phas Kawri</t>
  </si>
  <si>
    <t>Koun Tan</t>
  </si>
  <si>
    <t>Ywa Thar Yar</t>
  </si>
  <si>
    <t>Thar Yar Koung</t>
  </si>
  <si>
    <t>Ngwe Taung</t>
  </si>
  <si>
    <t>Ma Gyi Koung</t>
  </si>
  <si>
    <t>Thit Taw Ywa</t>
  </si>
  <si>
    <t>1 Pond renovation implemented for both host &amp; IDP, 7 domestic and 3 drinking water pond for both host &amp; IDP</t>
  </si>
  <si>
    <t xml:space="preserve"> Planned Pond renovation with hand pump installation </t>
  </si>
  <si>
    <t xml:space="preserve"> 1- pond renovated</t>
  </si>
  <si>
    <t xml:space="preserve"> 1- spring cash flow renovated</t>
  </si>
  <si>
    <t>1- spring cash flow renovated</t>
  </si>
  <si>
    <t xml:space="preserve"> 1- spring cash flow with hand pump renovated </t>
  </si>
  <si>
    <t>1- pond renovated with hand pumps</t>
  </si>
  <si>
    <t xml:space="preserve"> 1-pond renovated</t>
  </si>
  <si>
    <t xml:space="preserve"> Required Latrines for  HHs , Public &amp; schools</t>
  </si>
  <si>
    <t xml:space="preserve"> Hygiene kits to be distributed</t>
  </si>
  <si>
    <t>Not yet, Hygiene kits to be distributed</t>
  </si>
  <si>
    <t>75 (%) of water facilities will be manage by community themselves at end of project</t>
  </si>
  <si>
    <t>ACF/SI/OXFAM</t>
  </si>
  <si>
    <t>Approximative % of Mulsim beneficiaries</t>
  </si>
  <si>
    <t>Solidarités International</t>
  </si>
  <si>
    <t>Emergency WASH assistance and Food Security and Livelihood support to vulnerable populations affected by conflicts in Rakhine and Kachin States</t>
  </si>
  <si>
    <t>Improving water access, hygiene and sanitation conditions of the conflict affected population in Kachin and Rakhine States, Myanmar</t>
  </si>
  <si>
    <t>Provision of Lifesaving Humanitarian Assistance to Children and their Families Affected by violence and displacement in Rakhine State, Myanmar</t>
  </si>
  <si>
    <t>CERF, OFDA, SIDA, AusAid</t>
  </si>
  <si>
    <t>OFDA, G 02701,Japan</t>
  </si>
  <si>
    <t>CERF, SIDA, Switzerland, Aus Aid</t>
  </si>
  <si>
    <t>Ausaid, G02701</t>
  </si>
  <si>
    <t>Turkish,CERF, Aus Aid</t>
  </si>
  <si>
    <t>Part of global project including Kachin</t>
  </si>
  <si>
    <t xml:space="preserve">Part of global project including Kachin State
</t>
  </si>
  <si>
    <t>People affected by violence in Rakhine, Kachin and Northern Shan States (Burma) gain access to basic WASH facilities, essential non food items &amp; nutrition support</t>
  </si>
  <si>
    <t>WASH Support for IDPs , villages and schools in Kyauk Phyu and Ramree Townships.</t>
  </si>
  <si>
    <t xml:space="preserve">With New CSO procedure </t>
  </si>
  <si>
    <t>Responding to WASH needs through a coordinated township approach in Myebon -Phase 3</t>
  </si>
  <si>
    <t>with new CSO procedure</t>
  </si>
  <si>
    <t>Solidarities International</t>
  </si>
  <si>
    <t>Emergency water supply for IDPs affected by inter-communal violence in Pauktaw Township,Rakhine State.</t>
  </si>
  <si>
    <t xml:space="preserve">Water supply project </t>
  </si>
  <si>
    <t>RR / OFDA</t>
  </si>
  <si>
    <t xml:space="preserve">Japan </t>
  </si>
  <si>
    <t>To be correctedby ACF/Care KAP survey results</t>
  </si>
  <si>
    <t>WASH Target HRP 2015</t>
  </si>
  <si>
    <t>Updated Wash target</t>
  </si>
  <si>
    <t>Wash Presently covered</t>
  </si>
  <si>
    <t>2014</t>
  </si>
  <si>
    <t>DFAT/OFDA</t>
  </si>
  <si>
    <t>ECHO/UNICEF</t>
  </si>
  <si>
    <t>UNICEF HPM Indicators</t>
  </si>
  <si>
    <t>E.U.</t>
  </si>
  <si>
    <t>Population assisted with an UNICEF Wash project actually</t>
  </si>
  <si>
    <t>Past beneficiary with finalised project not anymore covered</t>
  </si>
  <si>
    <t>Total 2015 actual beneficiary target (not cumulative)</t>
  </si>
  <si>
    <t xml:space="preserve">% Achievement </t>
  </si>
  <si>
    <t>4W and past 4W</t>
  </si>
  <si>
    <t>2015 HAC Target</t>
  </si>
  <si>
    <t>Donors coverage per location type</t>
  </si>
  <si>
    <t>Actually targetted</t>
  </si>
  <si>
    <t>KAp</t>
  </si>
  <si>
    <t>Wash and early recovery response in Kyauk taw and related villages</t>
  </si>
  <si>
    <t>1 Pond renovation has implemented</t>
  </si>
  <si>
    <t>1 Pond renovation has been implemented</t>
  </si>
  <si>
    <t>1 Pond renovation implemented,
 2 ponds for both domestic and drinking, 1 pond for domestic only</t>
  </si>
  <si>
    <t>implemented 1 pond renovation,
1 drinking, 2 domestic, 1 unused ponds, 
fabrication of 33 BSF is on going</t>
  </si>
  <si>
    <t>5 drinking, 4 unused ponds</t>
  </si>
  <si>
    <t>1 pond for drinking,
1 GFS for domestic 
42 BSF is fabricating now</t>
  </si>
  <si>
    <t>there are 3 ponds but soil of pond  &amp; well weren't able to control the side seepage,
1 drinking, 2 for both drinking &amp; domestic</t>
  </si>
  <si>
    <t>3 drinking, 1 domestic spring source and  1 unused ponds,
fabrication of 75 BSF is on going.</t>
  </si>
  <si>
    <t>2 ponds for both domestic and drinking and 1 unused pond
Fabrication of 17 BSF is ongoing</t>
  </si>
  <si>
    <t>Individual Washrooms not gender seperated (BI)</t>
  </si>
  <si>
    <t>Kyun Paw (Pauk Taw)</t>
  </si>
  <si>
    <t>Pann Phaw Pyin</t>
  </si>
  <si>
    <t>Pond access</t>
  </si>
  <si>
    <t>Total PoP</t>
  </si>
  <si>
    <t>Village Track P_Code</t>
  </si>
  <si>
    <t>Village Track Name</t>
  </si>
  <si>
    <t>Actual water needs coverage (excluding HH solutions) For Camp</t>
  </si>
  <si>
    <t>Actual water needs coverage (excluding HH solutions) For Village</t>
  </si>
  <si>
    <t>Access to safe drinking water through permanent water point (for Camp)</t>
  </si>
  <si>
    <t>Access to safe drinking water through permanent water point (for Village)</t>
  </si>
  <si>
    <t># of People per Latrine</t>
  </si>
  <si>
    <t>Name</t>
  </si>
  <si>
    <t>Index</t>
  </si>
  <si>
    <t>Gender Separate, clearly perceived</t>
  </si>
  <si>
    <t>Household Latrines</t>
  </si>
  <si>
    <t>Gender Separate, but not clearly perceived</t>
  </si>
  <si>
    <t>Share Household Latriens</t>
  </si>
  <si>
    <t>Attributed per families</t>
  </si>
  <si>
    <t>Mixed</t>
  </si>
  <si>
    <t>P_Code</t>
  </si>
  <si>
    <t>Potential Number permanent water points missing for Camp</t>
  </si>
  <si>
    <t>Potential Number permanent water points missing for Village</t>
  </si>
  <si>
    <t>Kyet Mauk Taung Myuak</t>
  </si>
  <si>
    <t>% funding  IDP</t>
  </si>
  <si>
    <t>% of funding  to affected village</t>
  </si>
  <si>
    <t xml:space="preserve"> % of funding  to surrounding host community</t>
  </si>
  <si>
    <t>No Specification</t>
  </si>
  <si>
    <t>Humanitarian Displacement and Mine Action Response (HDMAR) - Rakhine and Kachin States</t>
  </si>
  <si>
    <t xml:space="preserve">HP include core hygiene kits distribution and monthly replenishment HK. </t>
  </si>
  <si>
    <t>Kyar Nyo Pyin (Rakhine)
+ Pyar Yae</t>
  </si>
  <si>
    <t>3 pond for both drinking &amp; domestic, 1 unused pond</t>
  </si>
  <si>
    <t>4 drinking, 3 domestic, 3 unused ponds</t>
  </si>
  <si>
    <t>1 pond for both drinking and domestic</t>
  </si>
  <si>
    <t>3 drinking, 1 domestic, 1 unused ponds,  IRC renovated 1 drinking pond</t>
  </si>
  <si>
    <t>3 drinking, 2 domestic, 1 pond renovation is ongoing</t>
  </si>
  <si>
    <t>1 drinking, 2 domestic,  drinking pond renovation is ongoing</t>
  </si>
  <si>
    <t>Not affected</t>
  </si>
  <si>
    <t>Moderately affected</t>
  </si>
  <si>
    <t>Hightly affected</t>
  </si>
  <si>
    <t>Flooding Affected</t>
  </si>
  <si>
    <t>MMR012001004</t>
  </si>
  <si>
    <t xml:space="preserve">Thet Kel Pyin </t>
  </si>
  <si>
    <t>MMR012010055</t>
  </si>
  <si>
    <t>Gu Dar Pyin</t>
  </si>
  <si>
    <t>198390</t>
  </si>
  <si>
    <t>217879</t>
  </si>
  <si>
    <t>MMR012010042</t>
  </si>
  <si>
    <t>Ah Lel Chaung</t>
  </si>
  <si>
    <t>198335</t>
  </si>
  <si>
    <t>MMR012010053</t>
  </si>
  <si>
    <t>Tha Peik Taung</t>
  </si>
  <si>
    <t>198380</t>
  </si>
  <si>
    <t>198391</t>
  </si>
  <si>
    <t>MMR012010066</t>
  </si>
  <si>
    <t>Thay Kan Gwa Son</t>
  </si>
  <si>
    <t>198429</t>
  </si>
  <si>
    <t>198431</t>
  </si>
  <si>
    <t>198428</t>
  </si>
  <si>
    <t>198432</t>
  </si>
  <si>
    <t>198430</t>
  </si>
  <si>
    <t>MMR012010071</t>
  </si>
  <si>
    <t>Thein Taung Pyin</t>
  </si>
  <si>
    <t>217884</t>
  </si>
  <si>
    <t>217885</t>
  </si>
  <si>
    <t>217886</t>
  </si>
  <si>
    <t>198448</t>
  </si>
  <si>
    <t>198447</t>
  </si>
  <si>
    <t>MMR012010033</t>
  </si>
  <si>
    <t>Nan Yar Kone</t>
  </si>
  <si>
    <t>198301</t>
  </si>
  <si>
    <t>198303</t>
  </si>
  <si>
    <t>217871</t>
  </si>
  <si>
    <t>198299</t>
  </si>
  <si>
    <t>198302</t>
  </si>
  <si>
    <t>198378</t>
  </si>
  <si>
    <t>198300</t>
  </si>
  <si>
    <t>MMR012010069</t>
  </si>
  <si>
    <t>Hpa Yar Pyin Aung Pa</t>
  </si>
  <si>
    <t>198443</t>
  </si>
  <si>
    <t>NA</t>
  </si>
  <si>
    <t>198442</t>
  </si>
  <si>
    <t>MMR012009063</t>
  </si>
  <si>
    <t>Myo Thu Gyi</t>
  </si>
  <si>
    <t>197989</t>
  </si>
  <si>
    <t>197992</t>
  </si>
  <si>
    <t>197991</t>
  </si>
  <si>
    <t>MMR012009066</t>
  </si>
  <si>
    <t>Tat U Chaung</t>
  </si>
  <si>
    <t>217894</t>
  </si>
  <si>
    <t>197990</t>
  </si>
  <si>
    <t>198000</t>
  </si>
  <si>
    <t>217895</t>
  </si>
  <si>
    <t>198001</t>
  </si>
  <si>
    <t>198002</t>
  </si>
  <si>
    <t>197999</t>
  </si>
  <si>
    <t>MMR012009078</t>
  </si>
  <si>
    <t>198046</t>
  </si>
  <si>
    <t>198048</t>
  </si>
  <si>
    <t>198045</t>
  </si>
  <si>
    <t>198049</t>
  </si>
  <si>
    <t>198047</t>
  </si>
  <si>
    <t>MMR012009084</t>
  </si>
  <si>
    <t>Kyauk Pan Du</t>
  </si>
  <si>
    <t>198075</t>
  </si>
  <si>
    <t>MMR012009065</t>
  </si>
  <si>
    <t>Pan Taw Pyin</t>
  </si>
  <si>
    <t>197997</t>
  </si>
  <si>
    <t>197996</t>
  </si>
  <si>
    <t>MMR012010013</t>
  </si>
  <si>
    <t>Inn Chaung</t>
  </si>
  <si>
    <t>198187</t>
  </si>
  <si>
    <t>198183</t>
  </si>
  <si>
    <t>198185</t>
  </si>
  <si>
    <t>198184</t>
  </si>
  <si>
    <t>MMR012010009</t>
  </si>
  <si>
    <t>Laung Chaung</t>
  </si>
  <si>
    <t>198164</t>
  </si>
  <si>
    <t>217866</t>
  </si>
  <si>
    <t>MMR012010037</t>
  </si>
  <si>
    <t>Let Wea Det Pu Zun Chaung</t>
  </si>
  <si>
    <t>198318</t>
  </si>
  <si>
    <t>198316</t>
  </si>
  <si>
    <t>198317</t>
  </si>
  <si>
    <t/>
  </si>
  <si>
    <t>MMR012010031</t>
  </si>
  <si>
    <t>Tha Yet Kin Ma Nu</t>
  </si>
  <si>
    <t>198292</t>
  </si>
  <si>
    <t>198291</t>
  </si>
  <si>
    <t>MMR012010047</t>
  </si>
  <si>
    <t>Kin Taung (a) Kyar Nyo Pyin</t>
  </si>
  <si>
    <t>217876</t>
  </si>
  <si>
    <t>198356</t>
  </si>
  <si>
    <t>MMR012010050</t>
  </si>
  <si>
    <t>Lay Myo</t>
  </si>
  <si>
    <t>198368</t>
  </si>
  <si>
    <t>198369</t>
  </si>
  <si>
    <t>198367</t>
  </si>
  <si>
    <t>198334</t>
  </si>
  <si>
    <t>198379</t>
  </si>
  <si>
    <t>MMR012010041</t>
  </si>
  <si>
    <t>198332</t>
  </si>
  <si>
    <t>MMR012010070</t>
  </si>
  <si>
    <t>Ah Htet Kywe Cho Maw (a)Nyaung Chaung Kywe Gyo Maw</t>
  </si>
  <si>
    <t>198446</t>
  </si>
  <si>
    <t>198444</t>
  </si>
  <si>
    <t>MMR012010060</t>
  </si>
  <si>
    <t>Kyauk Yant</t>
  </si>
  <si>
    <t>198404</t>
  </si>
  <si>
    <t>MMR012010061</t>
  </si>
  <si>
    <t>San Goe Taung</t>
  </si>
  <si>
    <t>198408</t>
  </si>
  <si>
    <t>198409</t>
  </si>
  <si>
    <t>198410</t>
  </si>
  <si>
    <t>198413</t>
  </si>
  <si>
    <t>MMR012010065</t>
  </si>
  <si>
    <t>Wet Ma Kya (a) Zay Di Taung</t>
  </si>
  <si>
    <t>198425</t>
  </si>
  <si>
    <t>198427</t>
  </si>
  <si>
    <t>MMR012010058</t>
  </si>
  <si>
    <t>Hpa Yar Pyin Thein Tan</t>
  </si>
  <si>
    <t>198399</t>
  </si>
  <si>
    <t>198398</t>
  </si>
  <si>
    <t>MMR012010063</t>
  </si>
  <si>
    <t>198418</t>
  </si>
  <si>
    <t>198419</t>
  </si>
  <si>
    <t>MMR012010064</t>
  </si>
  <si>
    <t>198423</t>
  </si>
  <si>
    <t>198421</t>
  </si>
  <si>
    <t>198422</t>
  </si>
  <si>
    <t>MMR012009035</t>
  </si>
  <si>
    <t>Chan Pyin</t>
  </si>
  <si>
    <t>197896</t>
  </si>
  <si>
    <t>197897</t>
  </si>
  <si>
    <t>MMR012009031</t>
  </si>
  <si>
    <t>Kat Pa Kaung</t>
  </si>
  <si>
    <t>197890</t>
  </si>
  <si>
    <t>MMR012009027</t>
  </si>
  <si>
    <t>Kyet Yoe Pyin</t>
  </si>
  <si>
    <t>197880</t>
  </si>
  <si>
    <t>197879</t>
  </si>
  <si>
    <t>MMR012009072</t>
  </si>
  <si>
    <t>U Daung</t>
  </si>
  <si>
    <t>198028</t>
  </si>
  <si>
    <t>MMR012009024</t>
  </si>
  <si>
    <t>Sa Bai Kone</t>
  </si>
  <si>
    <t>197867</t>
  </si>
  <si>
    <t>197995</t>
  </si>
  <si>
    <t>MMR012009081</t>
  </si>
  <si>
    <t>198058</t>
  </si>
  <si>
    <t>198026</t>
  </si>
  <si>
    <t>MMR012009029</t>
  </si>
  <si>
    <t>Ah Htet Pyue Ma</t>
  </si>
  <si>
    <t>197887</t>
  </si>
  <si>
    <t xml:space="preserve">64 units (34double block Unit) of communal latrine has been provided by IRC project in Camp. It was 100% covered for IDPs. 
How ever, cyclone Komen has destroyed 20 units (10 units of double block) latrines in the camp. </t>
  </si>
  <si>
    <t>Number of Latrines has decreased as Cyclone Komen destoryed.</t>
  </si>
  <si>
    <t>It was OD free village as CLTS project. Howerer, Number of Latrines has decreased as Cyclone Komen destoryed.</t>
  </si>
  <si>
    <t>only 4 river bank latrine before cyclone. So far, Number of Latrines has decreased as Cyclone Komen destoryed.</t>
  </si>
  <si>
    <t>Latrines desludged June 2015. 25 latrines damaged by Cyclone Komen. An estimated 70% of HHs have homemade shower points attached to their shelter. 5 communal laundry/bathing facilities constructed can hold 3 hh's.</t>
  </si>
  <si>
    <t xml:space="preserve">To offer an synthetic situation overview, a relavant and comparable analysis </t>
  </si>
  <si>
    <t>To respect minimum technical standards, shared and contextualised by the cluster</t>
  </si>
  <si>
    <t>The wash cluster meeting, state level or country level, are the place to exchange on result findings</t>
  </si>
  <si>
    <t>The 4W and its analysis is shared with the Myanmar autorities at state and national level</t>
  </si>
  <si>
    <t>The 4W consolidated by the wash cluster and its analysis will be monthly share through the google wash group, and the MIMU internet site</t>
  </si>
  <si>
    <t>Gray Cell to be filled by UNICEF/cluster</t>
  </si>
  <si>
    <t>Colored cell per sector are automatically calculated</t>
  </si>
  <si>
    <t>In a cluster point of view, to facilitate the data collection, the define focal wash agency is reporting for the overall Wash situation in the location, and not only on its own activities</t>
  </si>
  <si>
    <t>The agency are also welcome to cross check the data and mention major discrpency with field observation. The wash cluster in that case ensure a follow up at the inter-cluster level</t>
  </si>
  <si>
    <t>Different WASH standard are defined depending on the location type</t>
  </si>
  <si>
    <t xml:space="preserve">as for example " # of water point not working" or needed rehabilitation, concentrating on the services effectiveness for the beneficiaries. </t>
  </si>
  <si>
    <r>
      <rPr>
        <b/>
        <sz val="10"/>
        <color rgb="FFFF0000"/>
        <rFont val="Calibri"/>
        <family val="2"/>
      </rPr>
      <t>%</t>
    </r>
    <r>
      <rPr>
        <b/>
        <sz val="10"/>
        <color theme="1"/>
        <rFont val="Calibri"/>
        <family val="2"/>
      </rPr>
      <t xml:space="preserve"> of pond drying more than a month</t>
    </r>
  </si>
  <si>
    <t>Displacement ended</t>
  </si>
  <si>
    <t>5 untreated ponds, with rainwater collection at a number of community locations and also by individual households.</t>
  </si>
  <si>
    <t>Wells meant to be rehabilitated by SI but community declined</t>
  </si>
  <si>
    <t>individual bathing spaces available for 50 shelters</t>
  </si>
  <si>
    <t>individual bathing spaces available for 80 shelters</t>
  </si>
  <si>
    <t>249 HH has private bathing space, individual latrines and hand washing facilities</t>
  </si>
  <si>
    <t>priority is now put on dislodgling and repair of pits and minor connection repairs</t>
  </si>
  <si>
    <t>oxfam distributed hand washing facilities such as soap, bucket at each HH supported by Oxfam</t>
  </si>
  <si>
    <t>Oxfam supported 36 handwashing stations at the 13 schools and distributed hand washing facilities such as lotta, soap, bucket at each HH.</t>
  </si>
  <si>
    <t>Oxfam supported hand washing facilites which is handle cup, soap, bucket at individual HH</t>
  </si>
  <si>
    <t>Oxfam supported hand washing facilites which is lotta, soap, bucket at individual HH</t>
  </si>
  <si>
    <t>Oxfam supported hand washing facilites which is latta, soap, bucket at individual HH</t>
  </si>
  <si>
    <t>CDN Distributed emergency hygiene replenishment kits in September</t>
  </si>
  <si>
    <t>waste mgmt , Hygiene promotion, Latrine cleaning Volunteers and WASH user group</t>
  </si>
  <si>
    <t xml:space="preserve">this village is no longer targeted </t>
  </si>
  <si>
    <t>this village is no longer targeted</t>
  </si>
  <si>
    <t>Date</t>
  </si>
  <si>
    <r>
      <t xml:space="preserve">Durable structures </t>
    </r>
    <r>
      <rPr>
        <b/>
        <sz val="12"/>
        <color indexed="10"/>
        <rFont val="Calibri"/>
        <family val="2"/>
      </rPr>
      <t>functionning</t>
    </r>
  </si>
  <si>
    <t>Type of Hygiene kit distribution approach</t>
  </si>
  <si>
    <t>HK appraoch</t>
  </si>
  <si>
    <t>Blanket Consumable only</t>
  </si>
  <si>
    <t>Blanket Full HK only</t>
  </si>
  <si>
    <t>Blanket Full HK + consumable refilling</t>
  </si>
  <si>
    <t>Targetted full HK + consumable refilling</t>
  </si>
  <si>
    <t>Targetted Consumable only</t>
  </si>
  <si>
    <t>Associated with H.E as incentive</t>
  </si>
  <si>
    <t>No more HK distribution</t>
  </si>
  <si>
    <t>targetted Full HK only</t>
  </si>
  <si>
    <t>% tagetetted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</si>
</sst>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_(* #,##0_);_(* \(#,##0\);_(* &quot;-&quot;??_);_(@_)"/>
    <numFmt numFmtId="166" formatCode="[$-409]d/mmm/yy;@"/>
    <numFmt numFmtId="167" formatCode="#,##0.0"/>
    <numFmt numFmtId="168" formatCode="[$-409]d\-mmm\-yy;@"/>
    <numFmt numFmtId="169" formatCode="[$-F800]dddd\,\ mmmm\ dd\,\ yyyy"/>
    <numFmt numFmtId="170" formatCode="[$-409]mmmm\-yy;@"/>
    <numFmt numFmtId="171" formatCode="[$-40C]d\-mmm\-yy;@"/>
  </numFmts>
  <fonts count="10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b/>
      <sz val="10"/>
      <color indexed="8"/>
      <name val="Calibri"/>
      <family val="2"/>
    </font>
    <font>
      <b/>
      <sz val="12"/>
      <color indexed="10"/>
      <name val="Calibri"/>
      <family val="2"/>
    </font>
    <font>
      <b/>
      <sz val="10"/>
      <color indexed="10"/>
      <name val="Calibri"/>
      <family val="2"/>
    </font>
    <font>
      <b/>
      <sz val="10"/>
      <name val="Calibri"/>
      <family val="2"/>
    </font>
    <fon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3" tint="0.39997558519241921"/>
      <name val="Calibri"/>
      <family val="2"/>
      <scheme val="minor"/>
    </font>
    <font>
      <sz val="12"/>
      <color theme="3" tint="0.39997558519241921"/>
      <name val="Calibri"/>
      <family val="2"/>
      <scheme val="minor"/>
    </font>
    <font>
      <sz val="10"/>
      <color theme="1"/>
      <name val="Calibri"/>
      <family val="2"/>
      <scheme val="minor"/>
    </font>
    <font>
      <b/>
      <sz val="14"/>
      <color theme="1"/>
      <name val="Calibri"/>
      <family val="2"/>
    </font>
    <font>
      <b/>
      <sz val="14"/>
      <color theme="1"/>
      <name val="Calibri"/>
      <family val="2"/>
      <scheme val="minor"/>
    </font>
    <font>
      <b/>
      <sz val="10"/>
      <color theme="1"/>
      <name val="Calibri"/>
      <family val="2"/>
      <scheme val="minor"/>
    </font>
    <font>
      <b/>
      <sz val="12"/>
      <color theme="1"/>
      <name val="Calibri"/>
      <family val="2"/>
      <scheme val="minor"/>
    </font>
    <font>
      <b/>
      <sz val="10"/>
      <color theme="1"/>
      <name val="Calibri"/>
      <family val="2"/>
    </font>
    <font>
      <sz val="10"/>
      <name val="Calibri"/>
      <family val="2"/>
      <scheme val="minor"/>
    </font>
    <font>
      <i/>
      <sz val="11"/>
      <color theme="1"/>
      <name val="Calibri"/>
      <family val="2"/>
      <scheme val="minor"/>
    </font>
    <font>
      <b/>
      <sz val="11"/>
      <color rgb="FFFF0000"/>
      <name val="Calibri"/>
      <family val="2"/>
      <scheme val="minor"/>
    </font>
    <font>
      <b/>
      <sz val="10"/>
      <color theme="0"/>
      <name val="Calibri"/>
      <family val="2"/>
      <scheme val="minor"/>
    </font>
    <font>
      <b/>
      <sz val="10"/>
      <color theme="0"/>
      <name val="Calibri"/>
      <family val="2"/>
    </font>
    <font>
      <b/>
      <sz val="20"/>
      <color theme="1"/>
      <name val="Calibri"/>
      <family val="2"/>
      <scheme val="minor"/>
    </font>
    <font>
      <b/>
      <sz val="14"/>
      <color theme="3" tint="0.39997558519241921"/>
      <name val="Calibri"/>
      <family val="2"/>
      <scheme val="minor"/>
    </font>
    <font>
      <b/>
      <sz val="18"/>
      <color theme="1"/>
      <name val="Calibri"/>
      <family val="2"/>
      <scheme val="minor"/>
    </font>
    <font>
      <b/>
      <sz val="16"/>
      <color theme="3" tint="0.39997558519241921"/>
      <name val="Calibri"/>
      <family val="2"/>
      <scheme val="minor"/>
    </font>
    <font>
      <b/>
      <sz val="10"/>
      <name val="Calibri"/>
      <family val="2"/>
      <scheme val="minor"/>
    </font>
    <font>
      <b/>
      <sz val="10"/>
      <color rgb="FFFF0000"/>
      <name val="Calibri"/>
      <family val="2"/>
      <scheme val="minor"/>
    </font>
    <font>
      <sz val="10"/>
      <color theme="0"/>
      <name val="Arial Narrow"/>
      <family val="2"/>
    </font>
    <font>
      <b/>
      <sz val="10"/>
      <color rgb="FFFF0000"/>
      <name val="Calibri"/>
      <family val="2"/>
    </font>
    <font>
      <sz val="11"/>
      <color rgb="FFFF0000"/>
      <name val="Calibri"/>
      <family val="2"/>
      <scheme val="minor"/>
    </font>
    <font>
      <b/>
      <sz val="16"/>
      <color theme="0"/>
      <name val="Calibri"/>
      <family val="2"/>
      <scheme val="minor"/>
    </font>
    <font>
      <b/>
      <sz val="16"/>
      <color theme="1"/>
      <name val="Calibri"/>
      <family val="2"/>
      <scheme val="minor"/>
    </font>
    <font>
      <i/>
      <sz val="10"/>
      <color theme="1"/>
      <name val="Calibri"/>
      <family val="2"/>
      <scheme val="minor"/>
    </font>
    <font>
      <b/>
      <sz val="20"/>
      <color theme="0"/>
      <name val="Calibri"/>
      <family val="2"/>
      <scheme val="minor"/>
    </font>
    <font>
      <b/>
      <i/>
      <sz val="11"/>
      <color theme="0"/>
      <name val="Calibri"/>
      <family val="2"/>
      <scheme val="minor"/>
    </font>
    <font>
      <sz val="10"/>
      <name val="Arial Narrow"/>
      <family val="2"/>
    </font>
    <font>
      <sz val="12"/>
      <color rgb="FFFF0000"/>
      <name val="Times New Roman"/>
      <family val="2"/>
    </font>
    <font>
      <i/>
      <sz val="9"/>
      <color theme="1"/>
      <name val="Times New Roman"/>
      <family val="1"/>
    </font>
    <font>
      <i/>
      <sz val="12"/>
      <color theme="1"/>
      <name val="Times New Roman"/>
      <family val="1"/>
    </font>
    <font>
      <sz val="9"/>
      <color theme="1"/>
      <name val="Calibri"/>
      <family val="2"/>
      <scheme val="minor"/>
    </font>
    <font>
      <sz val="10"/>
      <color theme="1"/>
      <name val="Cambria"/>
      <family val="1"/>
      <scheme val="major"/>
    </font>
    <font>
      <b/>
      <sz val="14"/>
      <color theme="0"/>
      <name val="Cambria"/>
      <family val="1"/>
      <scheme val="major"/>
    </font>
    <font>
      <sz val="11"/>
      <color theme="1"/>
      <name val="Cambria"/>
      <family val="1"/>
      <scheme val="major"/>
    </font>
    <font>
      <b/>
      <sz val="12"/>
      <color theme="1"/>
      <name val="Cambria"/>
      <family val="1"/>
      <scheme val="major"/>
    </font>
    <font>
      <b/>
      <sz val="12"/>
      <color rgb="FF0070C0"/>
      <name val="Cambria"/>
      <family val="1"/>
      <scheme val="major"/>
    </font>
    <font>
      <b/>
      <sz val="14"/>
      <name val="Cambria"/>
      <family val="1"/>
      <scheme val="major"/>
    </font>
    <font>
      <b/>
      <sz val="14"/>
      <color theme="1"/>
      <name val="Cambria"/>
      <family val="1"/>
      <scheme val="major"/>
    </font>
    <font>
      <b/>
      <sz val="11"/>
      <color theme="1"/>
      <name val="Cambria"/>
      <family val="1"/>
      <scheme val="major"/>
    </font>
    <font>
      <b/>
      <sz val="10"/>
      <name val="Cambria"/>
      <family val="1"/>
      <scheme val="major"/>
    </font>
    <font>
      <b/>
      <sz val="10"/>
      <color theme="1"/>
      <name val="Cambria"/>
      <family val="1"/>
      <scheme val="major"/>
    </font>
    <font>
      <sz val="10"/>
      <name val="Cambria"/>
      <family val="1"/>
      <scheme val="major"/>
    </font>
    <font>
      <sz val="10"/>
      <color rgb="FFFF0000"/>
      <name val="Cambria"/>
      <family val="1"/>
      <scheme val="major"/>
    </font>
    <font>
      <sz val="11"/>
      <color rgb="FFFF0000"/>
      <name val="Cambria"/>
      <family val="1"/>
      <scheme val="major"/>
    </font>
    <font>
      <b/>
      <sz val="18"/>
      <color theme="1"/>
      <name val="Cambria"/>
      <family val="1"/>
      <scheme val="major"/>
    </font>
    <font>
      <b/>
      <sz val="12"/>
      <color theme="0"/>
      <name val="Cambria"/>
      <family val="1"/>
      <scheme val="major"/>
    </font>
    <font>
      <i/>
      <sz val="10"/>
      <color theme="1"/>
      <name val="Cambria"/>
      <family val="1"/>
      <scheme val="major"/>
    </font>
    <font>
      <b/>
      <sz val="10"/>
      <color theme="1"/>
      <name val="Arial Narrow"/>
      <family val="2"/>
    </font>
    <font>
      <i/>
      <sz val="11"/>
      <color theme="0" tint="-0.499984740745262"/>
      <name val="Calibri"/>
      <family val="2"/>
      <scheme val="minor"/>
    </font>
    <font>
      <sz val="10"/>
      <name val="Calibri"/>
      <family val="2"/>
    </font>
    <font>
      <sz val="11"/>
      <color theme="0" tint="-0.249977111117893"/>
      <name val="Calibri"/>
      <family val="2"/>
      <scheme val="minor"/>
    </font>
    <font>
      <sz val="10"/>
      <color indexed="8"/>
      <name val="Arial"/>
      <family val="2"/>
    </font>
    <font>
      <b/>
      <sz val="18"/>
      <color theme="3" tint="0.39997558519241921"/>
      <name val="Calibri"/>
      <family val="2"/>
      <scheme val="minor"/>
    </font>
    <font>
      <sz val="12"/>
      <color indexed="8"/>
      <name val="Times New Roman"/>
      <family val="2"/>
    </font>
    <font>
      <sz val="11"/>
      <color indexed="8"/>
      <name val="Calibri"/>
      <family val="2"/>
    </font>
    <font>
      <sz val="10"/>
      <color theme="0"/>
      <name val="Cambria"/>
      <family val="1"/>
      <scheme val="major"/>
    </font>
    <font>
      <sz val="10"/>
      <color rgb="FFFF0000"/>
      <name val="Calibri"/>
      <family val="2"/>
      <scheme val="minor"/>
    </font>
    <font>
      <sz val="10"/>
      <color theme="1"/>
      <name val="Calibri"/>
      <family val="2"/>
    </font>
    <font>
      <sz val="11"/>
      <name val="Calibri"/>
      <family val="2"/>
      <scheme val="minor"/>
    </font>
    <font>
      <sz val="8"/>
      <color theme="1"/>
      <name val="Zawgyi-One"/>
      <family val="2"/>
    </font>
    <font>
      <sz val="11"/>
      <color theme="1"/>
      <name val="Calibri"/>
      <family val="2"/>
    </font>
    <font>
      <b/>
      <sz val="11"/>
      <color theme="0" tint="-0.499984740745262"/>
      <name val="Calibri"/>
      <family val="2"/>
      <scheme val="minor"/>
    </font>
    <font>
      <sz val="11"/>
      <color theme="0" tint="-0.499984740745262"/>
      <name val="Calibri"/>
      <family val="2"/>
      <scheme val="minor"/>
    </font>
    <font>
      <b/>
      <sz val="9"/>
      <color theme="1"/>
      <name val="Calibri"/>
      <family val="2"/>
      <scheme val="minor"/>
    </font>
    <font>
      <sz val="9"/>
      <name val="Calibri"/>
      <family val="2"/>
      <scheme val="minor"/>
    </font>
    <font>
      <sz val="9"/>
      <color indexed="8"/>
      <name val="Calibri"/>
      <family val="2"/>
      <scheme val="minor"/>
    </font>
    <font>
      <sz val="10"/>
      <color theme="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CCCFF"/>
        <bgColor indexed="64"/>
      </patternFill>
    </fill>
    <fill>
      <patternFill patternType="solid">
        <fgColor rgb="FFFFFFCC"/>
        <bgColor indexed="64"/>
      </patternFill>
    </fill>
    <fill>
      <patternFill patternType="solid">
        <fgColor rgb="FFCCFFCC"/>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249977111117893"/>
        <bgColor indexed="64"/>
      </patternFill>
    </fill>
    <fill>
      <patternFill patternType="solid">
        <fgColor theme="1"/>
        <bgColor indexed="64"/>
      </patternFill>
    </fill>
    <fill>
      <patternFill patternType="solid">
        <fgColor rgb="FFFF0000"/>
        <bgColor indexed="64"/>
      </patternFill>
    </fill>
  </fills>
  <borders count="199">
    <border>
      <left/>
      <right/>
      <top/>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medium">
        <color indexed="64"/>
      </right>
      <top style="medium">
        <color indexed="64"/>
      </top>
      <bottom style="medium">
        <color indexed="64"/>
      </bottom>
      <diagonal/>
    </border>
    <border>
      <left/>
      <right style="hair">
        <color indexed="64"/>
      </right>
      <top/>
      <bottom style="thin">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style="hair">
        <color auto="1"/>
      </right>
      <top/>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diagonal/>
    </border>
    <border>
      <left/>
      <right style="hair">
        <color indexed="64"/>
      </right>
      <top/>
      <bottom/>
      <diagonal/>
    </border>
    <border>
      <left style="hair">
        <color indexed="64"/>
      </left>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style="hair">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top/>
      <bottom style="thin">
        <color rgb="FFABABAB"/>
      </bottom>
      <diagonal/>
    </border>
    <border>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medium">
        <color indexed="64"/>
      </right>
      <top/>
      <bottom style="hair">
        <color indexed="64"/>
      </bottom>
      <diagonal/>
    </border>
    <border>
      <left style="thin">
        <color auto="1"/>
      </left>
      <right style="hair">
        <color auto="1"/>
      </right>
      <top/>
      <bottom style="hair">
        <color auto="1"/>
      </bottom>
      <diagonal/>
    </border>
    <border>
      <left/>
      <right style="hair">
        <color indexed="64"/>
      </right>
      <top style="hair">
        <color indexed="64"/>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auto="1"/>
      </left>
      <right style="hair">
        <color auto="1"/>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style="thin">
        <color auto="1"/>
      </right>
      <top style="hair">
        <color auto="1"/>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medium">
        <color indexed="64"/>
      </right>
      <top style="medium">
        <color indexed="64"/>
      </top>
      <bottom style="medium">
        <color indexed="64"/>
      </bottom>
      <diagonal/>
    </border>
    <border>
      <left style="thin">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style="hair">
        <color auto="1"/>
      </left>
      <right style="thin">
        <color auto="1"/>
      </right>
      <top style="hair">
        <color auto="1"/>
      </top>
      <bottom style="medium">
        <color auto="1"/>
      </bottom>
      <diagonal/>
    </border>
    <border>
      <left/>
      <right/>
      <top style="medium">
        <color indexed="64"/>
      </top>
      <bottom style="medium">
        <color indexed="64"/>
      </bottom>
      <diagonal/>
    </border>
    <border>
      <left/>
      <right/>
      <top style="thin">
        <color rgb="FFABABAB"/>
      </top>
      <bottom style="thin">
        <color rgb="FFABABAB"/>
      </bottom>
      <diagonal/>
    </border>
    <border>
      <left/>
      <right style="thin">
        <color rgb="FFABABAB"/>
      </right>
      <top style="thin">
        <color rgb="FFABABAB"/>
      </top>
      <bottom/>
      <diagonal/>
    </border>
    <border>
      <left/>
      <right style="thin">
        <color rgb="FFABABAB"/>
      </right>
      <top/>
      <bottom/>
      <diagonal/>
    </border>
    <border>
      <left/>
      <right style="thin">
        <color rgb="FFABABAB"/>
      </right>
      <top style="thin">
        <color rgb="FFABABAB"/>
      </top>
      <bottom style="thin">
        <color rgb="FFABABAB"/>
      </bottom>
      <diagonal/>
    </border>
    <border>
      <left style="thin">
        <color indexed="64"/>
      </left>
      <right style="hair">
        <color indexed="64"/>
      </right>
      <top style="medium">
        <color indexed="64"/>
      </top>
      <bottom style="medium">
        <color indexed="64"/>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top style="hair">
        <color indexed="64"/>
      </top>
      <bottom style="medium">
        <color auto="1"/>
      </bottom>
      <diagonal/>
    </border>
    <border>
      <left style="medium">
        <color indexed="64"/>
      </left>
      <right/>
      <top/>
      <bottom style="hair">
        <color indexed="64"/>
      </bottom>
      <diagonal/>
    </border>
    <border>
      <left style="medium">
        <color indexed="64"/>
      </left>
      <right/>
      <top style="medium">
        <color indexed="64"/>
      </top>
      <bottom style="thin">
        <color indexed="64"/>
      </bottom>
      <diagonal/>
    </border>
    <border>
      <left/>
      <right/>
      <top/>
      <bottom style="medium">
        <color auto="1"/>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hair">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medium">
        <color indexed="64"/>
      </top>
      <bottom/>
      <diagonal/>
    </border>
    <border>
      <left style="medium">
        <color indexed="64"/>
      </left>
      <right/>
      <top style="thin">
        <color indexed="64"/>
      </top>
      <bottom/>
      <diagonal/>
    </border>
    <border>
      <left style="medium">
        <color indexed="64"/>
      </left>
      <right style="medium">
        <color indexed="64"/>
      </right>
      <top style="hair">
        <color indexed="64"/>
      </top>
      <bottom style="hair">
        <color indexed="64"/>
      </bottom>
      <diagonal/>
    </border>
  </borders>
  <cellStyleXfs count="289">
    <xf numFmtId="166" fontId="0" fillId="0" borderId="0"/>
    <xf numFmtId="164" fontId="30" fillId="0" borderId="0" applyFont="0" applyFill="0" applyBorder="0" applyAlignment="0" applyProtection="0"/>
    <xf numFmtId="166" fontId="23" fillId="0" borderId="0"/>
    <xf numFmtId="9" fontId="30" fillId="0" borderId="0" applyFon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0" fontId="30"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85"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164" fontId="88"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88"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0" fillId="0" borderId="0"/>
    <xf numFmtId="164" fontId="88" fillId="0" borderId="0" applyFont="0" applyFill="0" applyBorder="0" applyAlignment="0" applyProtection="0"/>
    <xf numFmtId="0" fontId="23" fillId="0" borderId="0"/>
  </cellStyleXfs>
  <cellXfs count="1316">
    <xf numFmtId="166" fontId="0" fillId="0" borderId="0" xfId="0"/>
    <xf numFmtId="166" fontId="32" fillId="2" borderId="0" xfId="0" applyFont="1" applyFill="1" applyBorder="1" applyAlignment="1" applyProtection="1">
      <alignment horizontal="left"/>
      <protection locked="0"/>
    </xf>
    <xf numFmtId="166" fontId="32" fillId="2" borderId="0" xfId="0" applyFont="1" applyFill="1" applyBorder="1" applyAlignment="1" applyProtection="1">
      <alignment horizontal="center"/>
      <protection locked="0"/>
    </xf>
    <xf numFmtId="166" fontId="34" fillId="2" borderId="0" xfId="0" applyFont="1" applyFill="1" applyBorder="1" applyAlignment="1" applyProtection="1">
      <alignment horizontal="left" vertical="center"/>
      <protection locked="0"/>
    </xf>
    <xf numFmtId="166" fontId="35" fillId="2" borderId="0" xfId="0" applyFont="1" applyFill="1" applyBorder="1" applyAlignment="1" applyProtection="1">
      <alignment horizontal="left" vertical="center"/>
      <protection locked="0"/>
    </xf>
    <xf numFmtId="166" fontId="32" fillId="2" borderId="0" xfId="0" applyFont="1" applyFill="1" applyBorder="1" applyAlignment="1" applyProtection="1">
      <alignment horizontal="left" vertical="center"/>
      <protection locked="0"/>
    </xf>
    <xf numFmtId="165" fontId="33" fillId="2" borderId="0" xfId="1" applyNumberFormat="1" applyFont="1" applyFill="1" applyBorder="1" applyAlignment="1" applyProtection="1">
      <alignment horizontal="center" vertical="center"/>
      <protection locked="0"/>
    </xf>
    <xf numFmtId="165" fontId="38" fillId="2" borderId="0" xfId="1" applyNumberFormat="1" applyFont="1" applyFill="1" applyBorder="1" applyAlignment="1" applyProtection="1">
      <alignment vertical="center"/>
      <protection locked="0"/>
    </xf>
    <xf numFmtId="166" fontId="32" fillId="2" borderId="0" xfId="0" applyFont="1" applyFill="1" applyBorder="1" applyAlignment="1" applyProtection="1">
      <alignment horizontal="left"/>
    </xf>
    <xf numFmtId="166" fontId="0" fillId="2" borderId="0" xfId="0" applyFill="1" applyBorder="1" applyAlignment="1">
      <alignment vertical="center" wrapText="1"/>
    </xf>
    <xf numFmtId="166" fontId="0" fillId="2" borderId="0" xfId="0" applyFill="1" applyBorder="1" applyAlignment="1">
      <alignment horizontal="center" vertical="center" wrapText="1"/>
    </xf>
    <xf numFmtId="1" fontId="0" fillId="2" borderId="0" xfId="0" applyNumberFormat="1" applyFill="1" applyAlignment="1">
      <alignment horizontal="center" vertical="center" wrapText="1"/>
    </xf>
    <xf numFmtId="166" fontId="0" fillId="0" borderId="0" xfId="0" applyBorder="1"/>
    <xf numFmtId="166" fontId="31" fillId="0" borderId="0" xfId="0" applyFont="1" applyBorder="1"/>
    <xf numFmtId="166" fontId="0" fillId="2" borderId="0" xfId="0" applyFill="1"/>
    <xf numFmtId="166" fontId="0" fillId="2" borderId="0" xfId="0" applyFill="1" applyAlignment="1">
      <alignment horizontal="center" vertical="center"/>
    </xf>
    <xf numFmtId="166" fontId="0" fillId="3" borderId="6" xfId="0" applyFill="1" applyBorder="1"/>
    <xf numFmtId="166" fontId="0" fillId="3" borderId="0" xfId="0" applyFill="1" applyBorder="1"/>
    <xf numFmtId="166" fontId="0" fillId="3" borderId="7" xfId="0" applyFill="1" applyBorder="1"/>
    <xf numFmtId="166" fontId="31" fillId="3" borderId="0" xfId="0" applyFont="1" applyFill="1" applyBorder="1"/>
    <xf numFmtId="166" fontId="0" fillId="3" borderId="8" xfId="0" applyFill="1" applyBorder="1"/>
    <xf numFmtId="166" fontId="0" fillId="3" borderId="1" xfId="0" applyFill="1" applyBorder="1"/>
    <xf numFmtId="166" fontId="0" fillId="3" borderId="2" xfId="0" applyFill="1" applyBorder="1"/>
    <xf numFmtId="14" fontId="0" fillId="0" borderId="0" xfId="0" applyNumberFormat="1"/>
    <xf numFmtId="166" fontId="46" fillId="0" borderId="0" xfId="0" applyFont="1" applyFill="1" applyBorder="1" applyAlignment="1">
      <alignment vertical="center" wrapText="1"/>
    </xf>
    <xf numFmtId="166" fontId="36" fillId="2" borderId="0" xfId="0" applyFont="1" applyFill="1" applyBorder="1" applyAlignment="1" applyProtection="1">
      <alignment vertical="center"/>
      <protection locked="0"/>
    </xf>
    <xf numFmtId="166" fontId="37" fillId="2" borderId="0" xfId="0" applyFont="1" applyFill="1" applyBorder="1" applyAlignment="1" applyProtection="1">
      <alignment vertical="center"/>
      <protection locked="0"/>
    </xf>
    <xf numFmtId="9" fontId="0" fillId="0" borderId="0" xfId="3" applyFont="1"/>
    <xf numFmtId="165" fontId="33" fillId="3" borderId="17" xfId="1" applyNumberFormat="1" applyFont="1" applyFill="1" applyBorder="1" applyAlignment="1" applyProtection="1">
      <alignment horizontal="center" vertical="center"/>
      <protection locked="0"/>
    </xf>
    <xf numFmtId="165" fontId="33" fillId="3" borderId="29" xfId="1" applyNumberFormat="1" applyFont="1" applyFill="1" applyBorder="1" applyAlignment="1" applyProtection="1">
      <alignment horizontal="center" vertical="center"/>
      <protection locked="0"/>
    </xf>
    <xf numFmtId="166" fontId="38" fillId="7" borderId="13" xfId="0" applyFont="1" applyFill="1" applyBorder="1" applyAlignment="1" applyProtection="1">
      <alignment horizontal="center" vertical="center" wrapText="1"/>
    </xf>
    <xf numFmtId="166" fontId="44" fillId="8" borderId="31" xfId="0" applyFont="1" applyFill="1" applyBorder="1" applyAlignment="1" applyProtection="1">
      <alignment horizontal="center" vertical="center" wrapText="1"/>
    </xf>
    <xf numFmtId="166" fontId="47" fillId="0" borderId="0" xfId="0" applyFont="1" applyFill="1" applyBorder="1" applyAlignment="1">
      <alignment vertical="center"/>
    </xf>
    <xf numFmtId="166" fontId="32" fillId="2" borderId="0" xfId="0" applyFont="1" applyFill="1" applyBorder="1" applyAlignment="1" applyProtection="1">
      <alignment horizontal="center" vertical="center"/>
      <protection locked="0"/>
    </xf>
    <xf numFmtId="166" fontId="33" fillId="3" borderId="28" xfId="0" applyFont="1" applyFill="1" applyBorder="1" applyAlignment="1" applyProtection="1">
      <alignment horizontal="center" vertical="center"/>
      <protection locked="0"/>
    </xf>
    <xf numFmtId="166" fontId="40" fillId="4" borderId="13" xfId="0" applyFont="1" applyFill="1" applyBorder="1" applyAlignment="1" applyProtection="1">
      <alignment horizontal="center" vertical="center" wrapText="1"/>
    </xf>
    <xf numFmtId="166" fontId="40" fillId="4" borderId="31" xfId="0" applyFont="1" applyFill="1" applyBorder="1" applyAlignment="1" applyProtection="1">
      <alignment horizontal="center" vertical="center" wrapText="1"/>
    </xf>
    <xf numFmtId="166" fontId="38" fillId="7" borderId="31" xfId="0" applyFont="1" applyFill="1" applyBorder="1" applyAlignment="1" applyProtection="1">
      <alignment horizontal="center" vertical="center" wrapText="1"/>
    </xf>
    <xf numFmtId="166" fontId="38" fillId="4" borderId="31" xfId="0" applyFont="1" applyFill="1" applyBorder="1" applyAlignment="1" applyProtection="1">
      <alignment horizontal="center" vertical="center" wrapText="1"/>
    </xf>
    <xf numFmtId="166" fontId="38" fillId="4" borderId="30" xfId="0" applyFont="1" applyFill="1" applyBorder="1" applyAlignment="1" applyProtection="1">
      <alignment horizontal="center" vertical="center" wrapText="1"/>
    </xf>
    <xf numFmtId="2" fontId="32" fillId="2" borderId="0" xfId="0" applyNumberFormat="1" applyFont="1" applyFill="1" applyBorder="1" applyAlignment="1" applyProtection="1">
      <alignment horizontal="center"/>
      <protection locked="0"/>
    </xf>
    <xf numFmtId="166" fontId="38" fillId="6" borderId="30" xfId="0" applyFont="1" applyFill="1" applyBorder="1" applyAlignment="1" applyProtection="1">
      <alignment horizontal="center" vertical="center" wrapText="1"/>
    </xf>
    <xf numFmtId="166" fontId="54" fillId="0" borderId="0" xfId="0" applyFont="1" applyBorder="1"/>
    <xf numFmtId="166" fontId="45" fillId="8" borderId="24" xfId="0" applyFont="1" applyFill="1" applyBorder="1" applyAlignment="1" applyProtection="1">
      <alignment horizontal="center" vertical="center" wrapText="1"/>
    </xf>
    <xf numFmtId="166" fontId="40" fillId="5" borderId="31" xfId="0" applyFont="1" applyFill="1" applyBorder="1" applyAlignment="1" applyProtection="1">
      <alignment horizontal="center" vertical="center" wrapText="1"/>
    </xf>
    <xf numFmtId="166" fontId="38" fillId="6" borderId="13" xfId="0" applyFont="1" applyFill="1" applyBorder="1" applyAlignment="1" applyProtection="1">
      <alignment horizontal="center" vertical="center" wrapText="1"/>
    </xf>
    <xf numFmtId="166" fontId="50" fillId="6" borderId="31" xfId="0" applyFont="1" applyFill="1" applyBorder="1" applyAlignment="1" applyProtection="1">
      <alignment horizontal="center" vertical="center" wrapText="1"/>
    </xf>
    <xf numFmtId="166" fontId="39" fillId="4" borderId="45" xfId="0" applyFont="1" applyFill="1" applyBorder="1" applyAlignment="1" applyProtection="1">
      <alignment horizontal="center" vertical="center" wrapText="1"/>
      <protection locked="0"/>
    </xf>
    <xf numFmtId="166" fontId="38" fillId="6" borderId="35" xfId="0" applyFont="1" applyFill="1" applyBorder="1" applyAlignment="1" applyProtection="1">
      <alignment horizontal="center" vertical="center" wrapText="1"/>
    </xf>
    <xf numFmtId="166" fontId="44" fillId="8" borderId="24" xfId="0" applyFont="1" applyFill="1" applyBorder="1" applyAlignment="1" applyProtection="1">
      <alignment horizontal="center" vertical="center" wrapText="1"/>
    </xf>
    <xf numFmtId="166" fontId="39" fillId="5" borderId="45" xfId="0" applyFont="1" applyFill="1" applyBorder="1" applyAlignment="1" applyProtection="1">
      <alignment vertical="center" wrapText="1"/>
      <protection locked="0"/>
    </xf>
    <xf numFmtId="166" fontId="0" fillId="0" borderId="0" xfId="0" applyFill="1" applyBorder="1"/>
    <xf numFmtId="166" fontId="0" fillId="6" borderId="42" xfId="0" applyFill="1" applyBorder="1" applyAlignment="1">
      <alignment vertical="center" wrapText="1"/>
    </xf>
    <xf numFmtId="166" fontId="0" fillId="2" borderId="14" xfId="0" applyNumberFormat="1" applyFill="1" applyBorder="1" applyAlignment="1">
      <alignment horizontal="left" vertical="center" wrapText="1"/>
    </xf>
    <xf numFmtId="166" fontId="0" fillId="2" borderId="16" xfId="0" applyNumberFormat="1" applyFill="1" applyBorder="1" applyAlignment="1">
      <alignment horizontal="left" vertical="center" wrapText="1"/>
    </xf>
    <xf numFmtId="166" fontId="47" fillId="0" borderId="0" xfId="0" applyFont="1" applyFill="1" applyBorder="1" applyAlignment="1">
      <alignment horizontal="left" vertical="center"/>
    </xf>
    <xf numFmtId="166" fontId="0" fillId="2" borderId="0" xfId="0" applyFill="1" applyAlignment="1">
      <alignment vertical="center"/>
    </xf>
    <xf numFmtId="166" fontId="55" fillId="9" borderId="0" xfId="0" applyFont="1" applyFill="1" applyAlignment="1">
      <alignment vertical="center"/>
    </xf>
    <xf numFmtId="166" fontId="56" fillId="9" borderId="0" xfId="0" applyFont="1" applyFill="1" applyAlignment="1">
      <alignment vertical="center"/>
    </xf>
    <xf numFmtId="166" fontId="56" fillId="2" borderId="0" xfId="0" applyFont="1" applyFill="1" applyAlignment="1">
      <alignment vertical="center"/>
    </xf>
    <xf numFmtId="9" fontId="0" fillId="2" borderId="38" xfId="0" applyNumberFormat="1" applyFill="1" applyBorder="1" applyAlignment="1">
      <alignment horizontal="left" vertical="center" wrapText="1"/>
    </xf>
    <xf numFmtId="166" fontId="0" fillId="2" borderId="37" xfId="0" applyFill="1" applyBorder="1" applyAlignment="1">
      <alignment horizontal="center" vertical="center" wrapText="1"/>
    </xf>
    <xf numFmtId="166" fontId="0" fillId="2" borderId="38" xfId="0" applyFill="1" applyBorder="1" applyAlignment="1">
      <alignment vertical="center" wrapText="1"/>
    </xf>
    <xf numFmtId="0" fontId="0" fillId="2" borderId="0" xfId="0" applyNumberFormat="1" applyFill="1" applyAlignment="1">
      <alignment vertical="center"/>
    </xf>
    <xf numFmtId="166" fontId="39" fillId="4" borderId="18" xfId="0" applyFont="1" applyFill="1" applyBorder="1" applyAlignment="1" applyProtection="1">
      <alignment horizontal="center" vertical="center" wrapText="1"/>
      <protection locked="0"/>
    </xf>
    <xf numFmtId="166" fontId="0" fillId="2" borderId="51" xfId="0" applyFill="1" applyBorder="1" applyAlignment="1">
      <alignment vertical="center" wrapText="1"/>
    </xf>
    <xf numFmtId="166" fontId="0" fillId="2" borderId="52" xfId="0" applyNumberFormat="1" applyFill="1" applyBorder="1" applyAlignment="1">
      <alignment horizontal="left" vertical="center" wrapText="1"/>
    </xf>
    <xf numFmtId="1" fontId="0" fillId="2" borderId="0" xfId="0" applyNumberFormat="1" applyFill="1" applyBorder="1" applyAlignment="1">
      <alignment horizontal="center" vertical="center" wrapText="1"/>
    </xf>
    <xf numFmtId="166" fontId="0" fillId="2" borderId="58" xfId="0" applyNumberFormat="1" applyFill="1" applyBorder="1" applyAlignment="1">
      <alignment horizontal="left" vertical="center" wrapText="1"/>
    </xf>
    <xf numFmtId="166" fontId="0" fillId="2" borderId="53" xfId="0" applyFill="1" applyBorder="1" applyAlignment="1">
      <alignment vertical="center" wrapText="1"/>
    </xf>
    <xf numFmtId="166" fontId="60" fillId="2" borderId="0" xfId="0" applyFont="1" applyFill="1" applyBorder="1" applyAlignment="1" applyProtection="1">
      <alignment horizontal="left"/>
      <protection locked="0"/>
    </xf>
    <xf numFmtId="166" fontId="38" fillId="4" borderId="13" xfId="0" applyFont="1" applyFill="1" applyBorder="1" applyAlignment="1" applyProtection="1">
      <alignment horizontal="center" vertical="center" wrapText="1"/>
    </xf>
    <xf numFmtId="166" fontId="21" fillId="4" borderId="30" xfId="0" applyFont="1" applyFill="1" applyBorder="1" applyAlignment="1" applyProtection="1">
      <alignment horizontal="center" vertical="center" wrapText="1"/>
    </xf>
    <xf numFmtId="166" fontId="31" fillId="3" borderId="63" xfId="0" applyFont="1" applyFill="1" applyBorder="1" applyAlignment="1">
      <alignment horizontal="center" vertical="center" wrapText="1"/>
    </xf>
    <xf numFmtId="3" fontId="0" fillId="2" borderId="37" xfId="0" applyNumberFormat="1" applyFill="1" applyBorder="1" applyAlignment="1">
      <alignment horizontal="center" vertical="center" wrapText="1"/>
    </xf>
    <xf numFmtId="166" fontId="0" fillId="0" borderId="99" xfId="0" pivotButton="1" applyBorder="1"/>
    <xf numFmtId="166" fontId="0" fillId="0" borderId="100" xfId="0" applyBorder="1"/>
    <xf numFmtId="166" fontId="0" fillId="0" borderId="99" xfId="0" applyBorder="1"/>
    <xf numFmtId="166" fontId="0" fillId="0" borderId="101" xfId="0" applyBorder="1"/>
    <xf numFmtId="166" fontId="0" fillId="0" borderId="99" xfId="0" pivotButton="1" applyBorder="1" applyAlignment="1">
      <alignment wrapText="1"/>
    </xf>
    <xf numFmtId="166" fontId="0" fillId="0" borderId="103" xfId="0" applyBorder="1" applyAlignment="1">
      <alignment wrapText="1"/>
    </xf>
    <xf numFmtId="166" fontId="0" fillId="0" borderId="100" xfId="0" applyBorder="1" applyAlignment="1">
      <alignment horizontal="center" vertical="center"/>
    </xf>
    <xf numFmtId="166" fontId="0" fillId="0" borderId="104" xfId="0" pivotButton="1" applyBorder="1"/>
    <xf numFmtId="166" fontId="0" fillId="0" borderId="104" xfId="0" applyBorder="1"/>
    <xf numFmtId="166" fontId="0" fillId="0" borderId="105" xfId="0" applyBorder="1"/>
    <xf numFmtId="166" fontId="0" fillId="0" borderId="99" xfId="0" applyBorder="1" applyAlignment="1">
      <alignment wrapText="1"/>
    </xf>
    <xf numFmtId="166" fontId="0" fillId="0" borderId="101" xfId="0" applyBorder="1" applyAlignment="1">
      <alignment wrapText="1"/>
    </xf>
    <xf numFmtId="166" fontId="0" fillId="0" borderId="105" xfId="0" applyBorder="1" applyAlignment="1">
      <alignment wrapText="1"/>
    </xf>
    <xf numFmtId="9" fontId="0" fillId="0" borderId="100" xfId="0" applyNumberFormat="1" applyBorder="1" applyAlignment="1">
      <alignment horizontal="center" vertical="center"/>
    </xf>
    <xf numFmtId="9" fontId="0" fillId="0" borderId="102" xfId="0" applyNumberFormat="1" applyBorder="1" applyAlignment="1">
      <alignment horizontal="center" vertical="center"/>
    </xf>
    <xf numFmtId="9" fontId="0" fillId="0" borderId="106" xfId="0" applyNumberFormat="1" applyBorder="1" applyAlignment="1">
      <alignment horizontal="center" vertical="center"/>
    </xf>
    <xf numFmtId="166" fontId="0" fillId="0" borderId="107" xfId="0" applyBorder="1"/>
    <xf numFmtId="166" fontId="0" fillId="0" borderId="108" xfId="0" applyBorder="1"/>
    <xf numFmtId="49" fontId="0" fillId="0" borderId="99" xfId="0" applyNumberFormat="1" applyBorder="1" applyAlignment="1">
      <alignment horizontal="center"/>
    </xf>
    <xf numFmtId="49" fontId="0" fillId="0" borderId="109" xfId="0" applyNumberFormat="1" applyBorder="1" applyAlignment="1">
      <alignment horizontal="center"/>
    </xf>
    <xf numFmtId="49" fontId="0" fillId="0" borderId="101" xfId="0" applyNumberFormat="1" applyBorder="1" applyAlignment="1">
      <alignment horizontal="center"/>
    </xf>
    <xf numFmtId="3" fontId="0" fillId="0" borderId="100" xfId="0" applyNumberFormat="1" applyBorder="1" applyAlignment="1">
      <alignment horizontal="right" vertical="center"/>
    </xf>
    <xf numFmtId="3" fontId="0" fillId="0" borderId="102" xfId="0" applyNumberFormat="1" applyBorder="1" applyAlignment="1">
      <alignment horizontal="right" vertical="center"/>
    </xf>
    <xf numFmtId="3" fontId="0" fillId="0" borderId="104" xfId="0" applyNumberFormat="1" applyBorder="1" applyAlignment="1">
      <alignment horizontal="right" vertical="center"/>
    </xf>
    <xf numFmtId="3" fontId="0" fillId="0" borderId="106" xfId="0" applyNumberFormat="1" applyBorder="1" applyAlignment="1">
      <alignment horizontal="right" vertical="center"/>
    </xf>
    <xf numFmtId="1" fontId="0" fillId="0" borderId="99" xfId="0" applyNumberFormat="1" applyBorder="1" applyAlignment="1">
      <alignment horizontal="right" vertical="center"/>
    </xf>
    <xf numFmtId="1" fontId="0" fillId="0" borderId="109" xfId="0" applyNumberFormat="1" applyBorder="1" applyAlignment="1">
      <alignment horizontal="right" vertical="center"/>
    </xf>
    <xf numFmtId="1" fontId="0" fillId="0" borderId="100" xfId="0" applyNumberFormat="1" applyBorder="1" applyAlignment="1">
      <alignment horizontal="right" vertical="center"/>
    </xf>
    <xf numFmtId="1" fontId="0" fillId="0" borderId="101" xfId="0" applyNumberFormat="1" applyBorder="1" applyAlignment="1">
      <alignment horizontal="right" vertical="center"/>
    </xf>
    <xf numFmtId="1" fontId="0" fillId="0" borderId="0" xfId="0" applyNumberFormat="1" applyAlignment="1">
      <alignment horizontal="right" vertical="center"/>
    </xf>
    <xf numFmtId="1" fontId="0" fillId="0" borderId="102" xfId="0" applyNumberFormat="1" applyBorder="1" applyAlignment="1">
      <alignment horizontal="right" vertical="center"/>
    </xf>
    <xf numFmtId="1" fontId="0" fillId="0" borderId="105" xfId="0" applyNumberFormat="1" applyBorder="1" applyAlignment="1">
      <alignment horizontal="right" vertical="center"/>
    </xf>
    <xf numFmtId="1" fontId="0" fillId="0" borderId="110" xfId="0" applyNumberFormat="1" applyBorder="1" applyAlignment="1">
      <alignment horizontal="right" vertical="center"/>
    </xf>
    <xf numFmtId="1" fontId="0" fillId="0" borderId="106" xfId="0" applyNumberFormat="1" applyBorder="1" applyAlignment="1">
      <alignment horizontal="right" vertical="center"/>
    </xf>
    <xf numFmtId="166" fontId="42" fillId="0" borderId="0" xfId="0" applyFont="1" applyFill="1" applyBorder="1"/>
    <xf numFmtId="166" fontId="38" fillId="4" borderId="42" xfId="0" applyFont="1" applyFill="1" applyBorder="1" applyAlignment="1" applyProtection="1">
      <alignment horizontal="center" vertical="center" wrapText="1"/>
    </xf>
    <xf numFmtId="166" fontId="38" fillId="6" borderId="42" xfId="0" applyFont="1" applyFill="1" applyBorder="1" applyAlignment="1" applyProtection="1">
      <alignment horizontal="center" vertical="center" wrapText="1"/>
    </xf>
    <xf numFmtId="0" fontId="17" fillId="2" borderId="0" xfId="7" applyFill="1"/>
    <xf numFmtId="0" fontId="17" fillId="2" borderId="0" xfId="7" applyFill="1" applyAlignment="1">
      <alignment wrapText="1"/>
    </xf>
    <xf numFmtId="0" fontId="17" fillId="2" borderId="0" xfId="7" applyFill="1" applyAlignment="1">
      <alignment horizontal="center" vertical="center"/>
    </xf>
    <xf numFmtId="0" fontId="17" fillId="0" borderId="0" xfId="7"/>
    <xf numFmtId="0" fontId="62" fillId="2" borderId="0" xfId="7" applyFont="1" applyFill="1" applyAlignment="1">
      <alignment vertical="center" wrapText="1"/>
    </xf>
    <xf numFmtId="0" fontId="63" fillId="0" borderId="0" xfId="7" applyFont="1" applyAlignment="1">
      <alignment wrapText="1"/>
    </xf>
    <xf numFmtId="0" fontId="61" fillId="0" borderId="0" xfId="7" applyFont="1"/>
    <xf numFmtId="0" fontId="17" fillId="0" borderId="0" xfId="7" applyAlignment="1">
      <alignment wrapText="1"/>
    </xf>
    <xf numFmtId="0" fontId="17" fillId="0" borderId="0" xfId="7" applyAlignment="1">
      <alignment horizontal="center" vertical="center"/>
    </xf>
    <xf numFmtId="166" fontId="0" fillId="2" borderId="86" xfId="0" applyFill="1" applyBorder="1" applyAlignment="1">
      <alignment vertical="center" wrapText="1"/>
    </xf>
    <xf numFmtId="0" fontId="65" fillId="2" borderId="0" xfId="11" applyFont="1" applyFill="1"/>
    <xf numFmtId="14" fontId="66" fillId="2" borderId="0" xfId="11" applyNumberFormat="1" applyFont="1" applyFill="1" applyProtection="1">
      <protection locked="0"/>
    </xf>
    <xf numFmtId="0" fontId="65" fillId="2" borderId="0" xfId="11" applyFont="1" applyFill="1" applyProtection="1">
      <protection locked="0"/>
    </xf>
    <xf numFmtId="3" fontId="65" fillId="2" borderId="0" xfId="11" applyNumberFormat="1" applyFont="1" applyFill="1" applyProtection="1">
      <protection locked="0"/>
    </xf>
    <xf numFmtId="3" fontId="65" fillId="2" borderId="67" xfId="11" applyNumberFormat="1" applyFont="1" applyFill="1" applyBorder="1" applyProtection="1">
      <protection locked="0"/>
    </xf>
    <xf numFmtId="3" fontId="65" fillId="2" borderId="49" xfId="11" applyNumberFormat="1" applyFont="1" applyFill="1" applyBorder="1" applyProtection="1">
      <protection locked="0"/>
    </xf>
    <xf numFmtId="3" fontId="65" fillId="2" borderId="68" xfId="11" applyNumberFormat="1" applyFont="1" applyFill="1" applyBorder="1" applyProtection="1">
      <protection locked="0"/>
    </xf>
    <xf numFmtId="0" fontId="67" fillId="2" borderId="0" xfId="11" applyFont="1" applyFill="1"/>
    <xf numFmtId="0" fontId="68" fillId="3" borderId="22" xfId="11" applyFont="1" applyFill="1" applyBorder="1" applyAlignment="1" applyProtection="1">
      <alignment horizontal="right" vertical="center"/>
      <protection locked="0"/>
    </xf>
    <xf numFmtId="15" fontId="69" fillId="3" borderId="22" xfId="11" applyNumberFormat="1" applyFont="1" applyFill="1" applyBorder="1" applyAlignment="1" applyProtection="1">
      <alignment horizontal="left" vertical="center"/>
      <protection locked="0"/>
    </xf>
    <xf numFmtId="0" fontId="65" fillId="3" borderId="24" xfId="11" applyFont="1" applyFill="1" applyBorder="1" applyProtection="1">
      <protection locked="0"/>
    </xf>
    <xf numFmtId="0" fontId="65" fillId="3" borderId="23" xfId="11" applyFont="1" applyFill="1" applyBorder="1" applyProtection="1">
      <protection locked="0"/>
    </xf>
    <xf numFmtId="0" fontId="71" fillId="2" borderId="0" xfId="11" applyFont="1" applyFill="1" applyAlignment="1">
      <alignment horizontal="center" vertical="center"/>
    </xf>
    <xf numFmtId="0" fontId="68" fillId="11" borderId="23" xfId="11" applyFont="1" applyFill="1" applyBorder="1" applyAlignment="1" applyProtection="1">
      <alignment horizontal="center" vertical="center"/>
      <protection locked="0"/>
    </xf>
    <xf numFmtId="0" fontId="72" fillId="2" borderId="0" xfId="11" applyFont="1" applyFill="1" applyAlignment="1">
      <alignment horizontal="center" vertical="center"/>
    </xf>
    <xf numFmtId="0" fontId="73" fillId="4" borderId="69" xfId="11" applyFont="1" applyFill="1" applyBorder="1" applyAlignment="1">
      <alignment horizontal="center" vertical="center" wrapText="1"/>
    </xf>
    <xf numFmtId="0" fontId="73" fillId="4" borderId="70" xfId="11" applyFont="1" applyFill="1" applyBorder="1" applyAlignment="1">
      <alignment horizontal="center" vertical="center" wrapText="1"/>
    </xf>
    <xf numFmtId="0" fontId="73" fillId="4" borderId="71" xfId="11" applyFont="1" applyFill="1" applyBorder="1" applyAlignment="1">
      <alignment horizontal="center" vertical="center" wrapText="1"/>
    </xf>
    <xf numFmtId="0" fontId="73" fillId="4" borderId="72" xfId="11" applyFont="1" applyFill="1" applyBorder="1" applyAlignment="1">
      <alignment horizontal="center" vertical="center" wrapText="1"/>
    </xf>
    <xf numFmtId="0" fontId="73" fillId="4" borderId="73" xfId="11" applyFont="1" applyFill="1" applyBorder="1" applyAlignment="1">
      <alignment horizontal="center" vertical="center" wrapText="1"/>
    </xf>
    <xf numFmtId="3" fontId="73" fillId="4" borderId="74" xfId="11" applyNumberFormat="1" applyFont="1" applyFill="1" applyBorder="1" applyAlignment="1">
      <alignment horizontal="center" vertical="center" wrapText="1"/>
    </xf>
    <xf numFmtId="3" fontId="73" fillId="4" borderId="66" xfId="11" applyNumberFormat="1" applyFont="1" applyFill="1" applyBorder="1" applyAlignment="1">
      <alignment horizontal="center" vertical="center" wrapText="1"/>
    </xf>
    <xf numFmtId="3" fontId="73" fillId="4" borderId="49" xfId="11" applyNumberFormat="1" applyFont="1" applyFill="1" applyBorder="1" applyAlignment="1">
      <alignment horizontal="center" vertical="center" wrapText="1"/>
    </xf>
    <xf numFmtId="3" fontId="73" fillId="4" borderId="75" xfId="11" applyNumberFormat="1" applyFont="1" applyFill="1" applyBorder="1" applyAlignment="1">
      <alignment horizontal="center" vertical="center" wrapText="1"/>
    </xf>
    <xf numFmtId="3" fontId="73" fillId="4" borderId="69" xfId="11" applyNumberFormat="1" applyFont="1" applyFill="1" applyBorder="1" applyAlignment="1">
      <alignment horizontal="center" vertical="center" wrapText="1"/>
    </xf>
    <xf numFmtId="3" fontId="73" fillId="4" borderId="76" xfId="11" applyNumberFormat="1" applyFont="1" applyFill="1" applyBorder="1" applyAlignment="1">
      <alignment horizontal="center" vertical="center" wrapText="1"/>
    </xf>
    <xf numFmtId="3" fontId="73" fillId="4" borderId="70" xfId="11" applyNumberFormat="1" applyFont="1" applyFill="1" applyBorder="1" applyAlignment="1">
      <alignment horizontal="center" vertical="center" wrapText="1"/>
    </xf>
    <xf numFmtId="3" fontId="73" fillId="4" borderId="71" xfId="11" applyNumberFormat="1" applyFont="1" applyFill="1" applyBorder="1" applyAlignment="1">
      <alignment horizontal="center" vertical="center" wrapText="1"/>
    </xf>
    <xf numFmtId="0" fontId="73" fillId="4" borderId="77" xfId="11" applyFont="1" applyFill="1" applyBorder="1" applyAlignment="1">
      <alignment horizontal="center" vertical="center" wrapText="1"/>
    </xf>
    <xf numFmtId="0" fontId="74" fillId="5" borderId="78" xfId="11" applyFont="1" applyFill="1" applyBorder="1" applyAlignment="1" applyProtection="1">
      <alignment horizontal="left" vertical="center" wrapText="1"/>
      <protection locked="0"/>
    </xf>
    <xf numFmtId="0" fontId="65" fillId="5" borderId="37" xfId="11" applyFont="1" applyFill="1" applyBorder="1" applyAlignment="1" applyProtection="1">
      <alignment horizontal="center" vertical="center" wrapText="1"/>
      <protection locked="0"/>
    </xf>
    <xf numFmtId="0" fontId="74" fillId="5" borderId="37" xfId="11" applyFont="1" applyFill="1" applyBorder="1" applyAlignment="1" applyProtection="1">
      <alignment horizontal="center" vertical="center" wrapText="1"/>
      <protection locked="0"/>
    </xf>
    <xf numFmtId="0" fontId="65" fillId="2" borderId="79" xfId="11" applyFont="1" applyFill="1" applyBorder="1" applyAlignment="1" applyProtection="1">
      <alignment horizontal="left" vertical="center" wrapText="1"/>
      <protection locked="0"/>
    </xf>
    <xf numFmtId="14" fontId="65" fillId="2" borderId="78" xfId="11" applyNumberFormat="1" applyFont="1" applyFill="1" applyBorder="1" applyAlignment="1">
      <alignment horizontal="center" vertical="center" wrapText="1"/>
    </xf>
    <xf numFmtId="14" fontId="65" fillId="2" borderId="37" xfId="11" applyNumberFormat="1" applyFont="1" applyFill="1" applyBorder="1" applyAlignment="1">
      <alignment horizontal="center" vertical="center" wrapText="1"/>
    </xf>
    <xf numFmtId="0" fontId="65" fillId="2" borderId="47" xfId="11" applyFont="1" applyFill="1" applyBorder="1" applyAlignment="1" applyProtection="1">
      <alignment horizontal="center" vertical="center" wrapText="1"/>
      <protection locked="0"/>
    </xf>
    <xf numFmtId="0" fontId="65" fillId="2" borderId="79" xfId="11" applyFont="1" applyFill="1" applyBorder="1" applyAlignment="1" applyProtection="1">
      <alignment horizontal="center" vertical="center" wrapText="1"/>
      <protection locked="0"/>
    </xf>
    <xf numFmtId="0" fontId="65" fillId="2" borderId="78" xfId="11" applyFont="1" applyFill="1" applyBorder="1" applyAlignment="1" applyProtection="1">
      <alignment horizontal="center" vertical="center" wrapText="1"/>
      <protection locked="0"/>
    </xf>
    <xf numFmtId="9" fontId="65" fillId="2" borderId="47" xfId="11" applyNumberFormat="1" applyFont="1" applyFill="1" applyBorder="1" applyAlignment="1" applyProtection="1">
      <alignment horizontal="center" vertical="center" wrapText="1"/>
      <protection locked="0"/>
    </xf>
    <xf numFmtId="9" fontId="65" fillId="2" borderId="62" xfId="11" applyNumberFormat="1" applyFont="1" applyFill="1" applyBorder="1" applyAlignment="1" applyProtection="1">
      <alignment horizontal="center" vertical="center" wrapText="1"/>
      <protection locked="0"/>
    </xf>
    <xf numFmtId="9" fontId="65" fillId="2" borderId="63" xfId="11" applyNumberFormat="1" applyFont="1" applyFill="1" applyBorder="1" applyAlignment="1" applyProtection="1">
      <alignment horizontal="center" vertical="center" wrapText="1"/>
      <protection locked="0"/>
    </xf>
    <xf numFmtId="9" fontId="65" fillId="2" borderId="80" xfId="11" applyNumberFormat="1" applyFont="1" applyFill="1" applyBorder="1" applyAlignment="1" applyProtection="1">
      <alignment horizontal="center" vertical="center" wrapText="1"/>
      <protection locked="0"/>
    </xf>
    <xf numFmtId="0" fontId="65" fillId="2" borderId="37" xfId="11" applyFont="1" applyFill="1" applyBorder="1" applyAlignment="1" applyProtection="1">
      <alignment horizontal="center" vertical="center" wrapText="1"/>
      <protection locked="0"/>
    </xf>
    <xf numFmtId="3" fontId="65" fillId="5" borderId="78" xfId="11" applyNumberFormat="1" applyFont="1" applyFill="1" applyBorder="1" applyAlignment="1" applyProtection="1">
      <alignment horizontal="center" vertical="center" wrapText="1"/>
      <protection locked="0"/>
    </xf>
    <xf numFmtId="3" fontId="65" fillId="5" borderId="81" xfId="11" applyNumberFormat="1" applyFont="1" applyFill="1" applyBorder="1" applyAlignment="1" applyProtection="1">
      <alignment horizontal="center" vertical="center" wrapText="1"/>
      <protection locked="0"/>
    </xf>
    <xf numFmtId="9" fontId="65" fillId="2" borderId="37" xfId="11" applyNumberFormat="1" applyFont="1" applyFill="1" applyBorder="1" applyAlignment="1" applyProtection="1">
      <alignment horizontal="center" vertical="center" wrapText="1"/>
      <protection locked="0"/>
    </xf>
    <xf numFmtId="9" fontId="65" fillId="2" borderId="79" xfId="11" applyNumberFormat="1" applyFont="1" applyFill="1" applyBorder="1" applyAlignment="1" applyProtection="1">
      <alignment horizontal="center" vertical="center" wrapText="1"/>
      <protection locked="0"/>
    </xf>
    <xf numFmtId="0" fontId="65" fillId="2" borderId="82" xfId="11" applyFont="1" applyFill="1" applyBorder="1" applyAlignment="1" applyProtection="1">
      <alignment horizontal="center" vertical="center" wrapText="1"/>
      <protection locked="0"/>
    </xf>
    <xf numFmtId="9" fontId="65" fillId="2" borderId="36" xfId="11" applyNumberFormat="1" applyFont="1" applyFill="1" applyBorder="1" applyAlignment="1" applyProtection="1">
      <alignment horizontal="center" vertical="center" wrapText="1"/>
      <protection locked="0"/>
    </xf>
    <xf numFmtId="14" fontId="65" fillId="2" borderId="78" xfId="11" applyNumberFormat="1" applyFont="1" applyFill="1" applyBorder="1" applyAlignment="1" applyProtection="1">
      <alignment horizontal="center" vertical="center" wrapText="1"/>
      <protection locked="0"/>
    </xf>
    <xf numFmtId="14" fontId="65" fillId="2" borderId="37" xfId="11" applyNumberFormat="1" applyFont="1" applyFill="1" applyBorder="1" applyAlignment="1" applyProtection="1">
      <alignment horizontal="center" vertical="center" wrapText="1"/>
      <protection locked="0"/>
    </xf>
    <xf numFmtId="9" fontId="65" fillId="2" borderId="47" xfId="12" applyNumberFormat="1" applyFont="1" applyFill="1" applyBorder="1" applyAlignment="1" applyProtection="1">
      <alignment horizontal="center" vertical="center" wrapText="1"/>
      <protection locked="0"/>
    </xf>
    <xf numFmtId="0" fontId="65" fillId="2" borderId="0" xfId="11" applyFont="1" applyFill="1" applyAlignment="1">
      <alignment wrapText="1"/>
    </xf>
    <xf numFmtId="0" fontId="67" fillId="2" borderId="0" xfId="11" applyFont="1" applyFill="1" applyAlignment="1">
      <alignment wrapText="1"/>
    </xf>
    <xf numFmtId="9" fontId="65" fillId="2" borderId="47" xfId="13" applyNumberFormat="1" applyFont="1" applyFill="1" applyBorder="1" applyAlignment="1">
      <alignment horizontal="center" vertical="center"/>
    </xf>
    <xf numFmtId="9" fontId="65" fillId="2" borderId="36" xfId="13" applyNumberFormat="1" applyFont="1" applyFill="1" applyBorder="1" applyAlignment="1">
      <alignment horizontal="center" vertical="center"/>
    </xf>
    <xf numFmtId="9" fontId="65" fillId="2" borderId="37" xfId="13" applyNumberFormat="1" applyFont="1" applyFill="1" applyBorder="1" applyAlignment="1">
      <alignment horizontal="center" vertical="center"/>
    </xf>
    <xf numFmtId="9" fontId="65" fillId="2" borderId="79" xfId="13" applyNumberFormat="1" applyFont="1" applyFill="1" applyBorder="1" applyAlignment="1">
      <alignment horizontal="center" vertical="center"/>
    </xf>
    <xf numFmtId="3" fontId="65" fillId="5" borderId="78" xfId="13" applyNumberFormat="1" applyFont="1" applyFill="1" applyBorder="1" applyAlignment="1">
      <alignment horizontal="center" vertical="center"/>
    </xf>
    <xf numFmtId="14" fontId="65" fillId="2" borderId="47" xfId="11" applyNumberFormat="1" applyFont="1" applyFill="1" applyBorder="1" applyAlignment="1" applyProtection="1">
      <alignment horizontal="center" vertical="center" wrapText="1"/>
      <protection locked="0"/>
    </xf>
    <xf numFmtId="3" fontId="65" fillId="2" borderId="78" xfId="11" applyNumberFormat="1" applyFont="1" applyFill="1" applyBorder="1" applyAlignment="1" applyProtection="1">
      <alignment horizontal="center" vertical="center" wrapText="1"/>
      <protection locked="0"/>
    </xf>
    <xf numFmtId="3" fontId="65" fillId="2" borderId="37" xfId="11" applyNumberFormat="1" applyFont="1" applyFill="1" applyBorder="1" applyAlignment="1" applyProtection="1">
      <alignment horizontal="center" vertical="center" wrapText="1"/>
      <protection locked="0"/>
    </xf>
    <xf numFmtId="3" fontId="65" fillId="2" borderId="79" xfId="11" applyNumberFormat="1" applyFont="1" applyFill="1" applyBorder="1" applyAlignment="1" applyProtection="1">
      <alignment horizontal="center" vertical="center" wrapText="1"/>
      <protection locked="0"/>
    </xf>
    <xf numFmtId="0" fontId="65" fillId="2" borderId="82" xfId="11" applyFont="1" applyFill="1" applyBorder="1" applyAlignment="1" applyProtection="1">
      <alignment horizontal="left" vertical="center" wrapText="1"/>
      <protection locked="0"/>
    </xf>
    <xf numFmtId="9" fontId="65" fillId="0" borderId="47" xfId="11" applyNumberFormat="1" applyFont="1" applyFill="1" applyBorder="1" applyAlignment="1" applyProtection="1">
      <alignment horizontal="center" vertical="center" wrapText="1"/>
      <protection locked="0"/>
    </xf>
    <xf numFmtId="1" fontId="65" fillId="2" borderId="78" xfId="11" applyNumberFormat="1" applyFont="1" applyFill="1" applyBorder="1" applyAlignment="1" applyProtection="1">
      <alignment horizontal="center" vertical="center" wrapText="1"/>
      <protection locked="0"/>
    </xf>
    <xf numFmtId="1" fontId="65" fillId="2" borderId="37" xfId="11" applyNumberFormat="1" applyFont="1" applyFill="1" applyBorder="1" applyAlignment="1" applyProtection="1">
      <alignment horizontal="center" vertical="center" wrapText="1"/>
      <protection locked="0"/>
    </xf>
    <xf numFmtId="1" fontId="65" fillId="2" borderId="79" xfId="11" applyNumberFormat="1" applyFont="1" applyFill="1" applyBorder="1" applyAlignment="1" applyProtection="1">
      <alignment horizontal="center" vertical="center" wrapText="1"/>
      <protection locked="0"/>
    </xf>
    <xf numFmtId="9" fontId="65" fillId="2" borderId="47" xfId="11" applyNumberFormat="1" applyFont="1" applyFill="1" applyBorder="1" applyAlignment="1" applyProtection="1">
      <alignment horizontal="center" vertical="center"/>
      <protection locked="0"/>
    </xf>
    <xf numFmtId="9" fontId="65" fillId="2" borderId="36" xfId="11" applyNumberFormat="1" applyFont="1" applyFill="1" applyBorder="1" applyAlignment="1" applyProtection="1">
      <alignment horizontal="center" vertical="center"/>
      <protection locked="0"/>
    </xf>
    <xf numFmtId="9" fontId="65" fillId="2" borderId="37" xfId="11" applyNumberFormat="1" applyFont="1" applyFill="1" applyBorder="1" applyAlignment="1" applyProtection="1">
      <alignment horizontal="center" vertical="center"/>
      <protection locked="0"/>
    </xf>
    <xf numFmtId="9" fontId="65" fillId="2" borderId="79" xfId="11" applyNumberFormat="1" applyFont="1" applyFill="1" applyBorder="1" applyAlignment="1" applyProtection="1">
      <alignment horizontal="center" vertical="center"/>
      <protection locked="0"/>
    </xf>
    <xf numFmtId="3" fontId="65" fillId="5" borderId="78" xfId="11" applyNumberFormat="1" applyFont="1" applyFill="1" applyBorder="1" applyAlignment="1" applyProtection="1">
      <alignment horizontal="center" vertical="center"/>
      <protection locked="0"/>
    </xf>
    <xf numFmtId="9" fontId="65" fillId="2" borderId="36" xfId="12" applyFont="1" applyFill="1" applyBorder="1" applyAlignment="1" applyProtection="1">
      <alignment horizontal="center" vertical="center" wrapText="1"/>
      <protection locked="0"/>
    </xf>
    <xf numFmtId="0" fontId="81" fillId="5" borderId="78" xfId="11" applyFont="1" applyFill="1" applyBorder="1" applyAlignment="1" applyProtection="1">
      <alignment horizontal="left" vertical="center" wrapText="1"/>
      <protection locked="0"/>
    </xf>
    <xf numFmtId="0" fontId="32" fillId="5" borderId="37" xfId="11" applyFont="1" applyFill="1" applyBorder="1" applyAlignment="1" applyProtection="1">
      <alignment horizontal="center" vertical="center" wrapText="1"/>
      <protection locked="0"/>
    </xf>
    <xf numFmtId="0" fontId="81" fillId="5" borderId="37" xfId="11" applyFont="1" applyFill="1" applyBorder="1" applyAlignment="1" applyProtection="1">
      <alignment horizontal="center" vertical="center" wrapText="1"/>
      <protection locked="0"/>
    </xf>
    <xf numFmtId="0" fontId="32" fillId="2" borderId="79" xfId="11" applyFont="1" applyFill="1" applyBorder="1" applyAlignment="1" applyProtection="1">
      <alignment horizontal="left" vertical="center" wrapText="1"/>
      <protection locked="0"/>
    </xf>
    <xf numFmtId="14" fontId="32" fillId="2" borderId="78" xfId="11" applyNumberFormat="1" applyFont="1" applyFill="1" applyBorder="1" applyAlignment="1" applyProtection="1">
      <alignment horizontal="center" vertical="center" wrapText="1"/>
      <protection locked="0"/>
    </xf>
    <xf numFmtId="14" fontId="32" fillId="2" borderId="37" xfId="11" applyNumberFormat="1" applyFont="1" applyFill="1" applyBorder="1" applyAlignment="1" applyProtection="1">
      <alignment horizontal="center" vertical="center" wrapText="1"/>
      <protection locked="0"/>
    </xf>
    <xf numFmtId="0" fontId="32" fillId="2" borderId="47" xfId="11" applyFont="1" applyFill="1" applyBorder="1" applyAlignment="1" applyProtection="1">
      <alignment horizontal="center" vertical="center" wrapText="1"/>
      <protection locked="0"/>
    </xf>
    <xf numFmtId="0" fontId="32" fillId="2" borderId="79" xfId="11" applyFont="1" applyFill="1" applyBorder="1" applyAlignment="1" applyProtection="1">
      <alignment horizontal="center" vertical="center" wrapText="1"/>
      <protection locked="0"/>
    </xf>
    <xf numFmtId="0" fontId="32" fillId="2" borderId="78" xfId="11" applyFont="1" applyFill="1" applyBorder="1" applyAlignment="1" applyProtection="1">
      <alignment horizontal="center" vertical="center" wrapText="1"/>
      <protection locked="0"/>
    </xf>
    <xf numFmtId="9" fontId="32" fillId="2" borderId="47" xfId="11" applyNumberFormat="1" applyFont="1" applyFill="1" applyBorder="1" applyAlignment="1" applyProtection="1">
      <alignment horizontal="center" vertical="center" wrapText="1"/>
      <protection locked="0"/>
    </xf>
    <xf numFmtId="9" fontId="32" fillId="2" borderId="36" xfId="12" applyFont="1" applyFill="1" applyBorder="1" applyAlignment="1" applyProtection="1">
      <alignment horizontal="center" vertical="center" wrapText="1"/>
      <protection locked="0"/>
    </xf>
    <xf numFmtId="9" fontId="32" fillId="2" borderId="37" xfId="11" applyNumberFormat="1" applyFont="1" applyFill="1" applyBorder="1" applyAlignment="1" applyProtection="1">
      <alignment horizontal="center" vertical="center" wrapText="1"/>
      <protection locked="0"/>
    </xf>
    <xf numFmtId="9" fontId="32" fillId="2" borderId="79" xfId="11" applyNumberFormat="1" applyFont="1" applyFill="1" applyBorder="1" applyAlignment="1" applyProtection="1">
      <alignment horizontal="center" vertical="center" wrapText="1"/>
      <protection locked="0"/>
    </xf>
    <xf numFmtId="0" fontId="32" fillId="2" borderId="37" xfId="11" applyFont="1" applyFill="1" applyBorder="1" applyAlignment="1" applyProtection="1">
      <alignment horizontal="center" vertical="center" wrapText="1"/>
      <protection locked="0"/>
    </xf>
    <xf numFmtId="0" fontId="32" fillId="2" borderId="82" xfId="11" applyFont="1" applyFill="1" applyBorder="1" applyAlignment="1" applyProtection="1">
      <alignment horizontal="center" vertical="center" wrapText="1"/>
      <protection locked="0"/>
    </xf>
    <xf numFmtId="0" fontId="75" fillId="2" borderId="37" xfId="11" applyFont="1" applyFill="1" applyBorder="1" applyAlignment="1" applyProtection="1">
      <alignment horizontal="center" vertical="center" wrapText="1"/>
      <protection locked="0"/>
    </xf>
    <xf numFmtId="0" fontId="65" fillId="5" borderId="83" xfId="11" applyFont="1" applyFill="1" applyBorder="1" applyAlignment="1" applyProtection="1">
      <alignment horizontal="center" vertical="center" wrapText="1"/>
      <protection locked="0"/>
    </xf>
    <xf numFmtId="14" fontId="65" fillId="2" borderId="84" xfId="11" applyNumberFormat="1" applyFont="1" applyFill="1" applyBorder="1" applyAlignment="1">
      <alignment horizontal="center" vertical="center" wrapText="1"/>
    </xf>
    <xf numFmtId="14" fontId="65" fillId="2" borderId="83" xfId="11" applyNumberFormat="1" applyFont="1" applyFill="1" applyBorder="1" applyAlignment="1">
      <alignment horizontal="center" vertical="center" wrapText="1"/>
    </xf>
    <xf numFmtId="0" fontId="65" fillId="2" borderId="84" xfId="11" applyFont="1" applyFill="1" applyBorder="1" applyAlignment="1" applyProtection="1">
      <alignment horizontal="center" vertical="center" wrapText="1"/>
      <protection locked="0"/>
    </xf>
    <xf numFmtId="9" fontId="65" fillId="2" borderId="85" xfId="11" applyNumberFormat="1" applyFont="1" applyFill="1" applyBorder="1" applyAlignment="1" applyProtection="1">
      <alignment horizontal="center" vertical="center" wrapText="1"/>
      <protection locked="0"/>
    </xf>
    <xf numFmtId="9" fontId="65" fillId="2" borderId="86" xfId="11" applyNumberFormat="1" applyFont="1" applyFill="1" applyBorder="1" applyAlignment="1" applyProtection="1">
      <alignment horizontal="center" vertical="center" wrapText="1"/>
      <protection locked="0"/>
    </xf>
    <xf numFmtId="9" fontId="65" fillId="2" borderId="83" xfId="11" applyNumberFormat="1" applyFont="1" applyFill="1" applyBorder="1" applyAlignment="1" applyProtection="1">
      <alignment horizontal="center" vertical="center" wrapText="1"/>
      <protection locked="0"/>
    </xf>
    <xf numFmtId="9" fontId="65" fillId="2" borderId="87" xfId="11" applyNumberFormat="1" applyFont="1" applyFill="1" applyBorder="1" applyAlignment="1" applyProtection="1">
      <alignment horizontal="center" vertical="center" wrapText="1"/>
      <protection locked="0"/>
    </xf>
    <xf numFmtId="0" fontId="65" fillId="2" borderId="87" xfId="11" applyFont="1" applyFill="1" applyBorder="1" applyAlignment="1" applyProtection="1">
      <alignment horizontal="center" vertical="center" wrapText="1"/>
      <protection locked="0"/>
    </xf>
    <xf numFmtId="0" fontId="65" fillId="2" borderId="83" xfId="11" applyFont="1" applyFill="1" applyBorder="1" applyAlignment="1" applyProtection="1">
      <alignment horizontal="center" vertical="center" wrapText="1"/>
      <protection locked="0"/>
    </xf>
    <xf numFmtId="3" fontId="65" fillId="5" borderId="84" xfId="11" applyNumberFormat="1" applyFont="1" applyFill="1" applyBorder="1" applyAlignment="1" applyProtection="1">
      <alignment horizontal="center" vertical="center" wrapText="1"/>
      <protection locked="0"/>
    </xf>
    <xf numFmtId="0" fontId="65" fillId="2" borderId="88" xfId="11" applyFont="1" applyFill="1" applyBorder="1" applyAlignment="1" applyProtection="1">
      <alignment horizontal="center" vertical="center" wrapText="1"/>
      <protection locked="0"/>
    </xf>
    <xf numFmtId="0" fontId="75" fillId="5" borderId="83" xfId="11" applyFont="1" applyFill="1" applyBorder="1" applyAlignment="1" applyProtection="1">
      <alignment horizontal="center" vertical="center" wrapText="1"/>
      <protection locked="0"/>
    </xf>
    <xf numFmtId="14" fontId="75" fillId="2" borderId="84" xfId="11" applyNumberFormat="1" applyFont="1" applyFill="1" applyBorder="1" applyAlignment="1" applyProtection="1">
      <alignment horizontal="center" vertical="center" wrapText="1"/>
      <protection locked="0"/>
    </xf>
    <xf numFmtId="14" fontId="75" fillId="2" borderId="83" xfId="11" applyNumberFormat="1" applyFont="1" applyFill="1" applyBorder="1" applyAlignment="1" applyProtection="1">
      <alignment horizontal="center" vertical="center" wrapText="1"/>
      <protection locked="0"/>
    </xf>
    <xf numFmtId="0" fontId="75" fillId="2" borderId="85" xfId="11" applyFont="1" applyFill="1" applyBorder="1" applyAlignment="1" applyProtection="1">
      <alignment horizontal="center" vertical="center" wrapText="1"/>
      <protection locked="0"/>
    </xf>
    <xf numFmtId="0" fontId="75" fillId="2" borderId="84" xfId="11" applyFont="1" applyFill="1" applyBorder="1" applyAlignment="1" applyProtection="1">
      <alignment horizontal="center" vertical="center" wrapText="1"/>
      <protection locked="0"/>
    </xf>
    <xf numFmtId="9" fontId="75" fillId="2" borderId="85" xfId="11" applyNumberFormat="1" applyFont="1" applyFill="1" applyBorder="1" applyAlignment="1" applyProtection="1">
      <alignment horizontal="center" vertical="center" wrapText="1"/>
      <protection locked="0"/>
    </xf>
    <xf numFmtId="9" fontId="75" fillId="2" borderId="86" xfId="11" applyNumberFormat="1" applyFont="1" applyFill="1" applyBorder="1" applyAlignment="1" applyProtection="1">
      <alignment horizontal="center" vertical="center" wrapText="1"/>
      <protection locked="0"/>
    </xf>
    <xf numFmtId="9" fontId="75" fillId="2" borderId="83" xfId="11" applyNumberFormat="1" applyFont="1" applyFill="1" applyBorder="1" applyAlignment="1" applyProtection="1">
      <alignment horizontal="center" vertical="center" wrapText="1"/>
      <protection locked="0"/>
    </xf>
    <xf numFmtId="9" fontId="75" fillId="2" borderId="87" xfId="11" applyNumberFormat="1" applyFont="1" applyFill="1" applyBorder="1" applyAlignment="1" applyProtection="1">
      <alignment horizontal="center" vertical="center" wrapText="1"/>
      <protection locked="0"/>
    </xf>
    <xf numFmtId="0" fontId="75" fillId="2" borderId="83" xfId="11" applyFont="1" applyFill="1" applyBorder="1" applyAlignment="1" applyProtection="1">
      <alignment horizontal="center" vertical="center" wrapText="1"/>
      <protection locked="0"/>
    </xf>
    <xf numFmtId="0" fontId="75" fillId="2" borderId="87" xfId="11" applyFont="1" applyFill="1" applyBorder="1" applyAlignment="1" applyProtection="1">
      <alignment horizontal="center" vertical="center" wrapText="1"/>
      <protection locked="0"/>
    </xf>
    <xf numFmtId="3" fontId="75" fillId="5" borderId="84" xfId="11" applyNumberFormat="1" applyFont="1" applyFill="1" applyBorder="1" applyAlignment="1" applyProtection="1">
      <alignment horizontal="center" vertical="center" wrapText="1"/>
      <protection locked="0"/>
    </xf>
    <xf numFmtId="0" fontId="75" fillId="2" borderId="88" xfId="11" applyFont="1" applyFill="1" applyBorder="1" applyAlignment="1" applyProtection="1">
      <alignment horizontal="center" vertical="center" wrapText="1"/>
      <protection locked="0"/>
    </xf>
    <xf numFmtId="0" fontId="76" fillId="2" borderId="0" xfId="11" applyFont="1" applyFill="1"/>
    <xf numFmtId="0" fontId="77" fillId="2" borderId="0" xfId="11" applyFont="1" applyFill="1"/>
    <xf numFmtId="0" fontId="65" fillId="2" borderId="92" xfId="11" applyFont="1" applyFill="1" applyBorder="1" applyAlignment="1" applyProtection="1">
      <alignment horizontal="center" vertical="center" wrapText="1"/>
      <protection locked="0"/>
    </xf>
    <xf numFmtId="3" fontId="65" fillId="5" borderId="95" xfId="11" applyNumberFormat="1" applyFont="1" applyFill="1" applyBorder="1" applyAlignment="1" applyProtection="1">
      <alignment horizontal="center" vertical="center" wrapText="1"/>
      <protection locked="0"/>
    </xf>
    <xf numFmtId="0" fontId="74" fillId="12" borderId="73" xfId="11" applyFont="1" applyFill="1" applyBorder="1" applyAlignment="1" applyProtection="1">
      <alignment horizontal="left" vertical="center" wrapText="1"/>
      <protection locked="0"/>
    </xf>
    <xf numFmtId="0" fontId="65" fillId="12" borderId="112" xfId="11" applyFont="1" applyFill="1" applyBorder="1" applyAlignment="1" applyProtection="1">
      <alignment horizontal="center" vertical="center" wrapText="1"/>
      <protection locked="0"/>
    </xf>
    <xf numFmtId="0" fontId="74" fillId="12" borderId="112" xfId="11" applyFont="1" applyFill="1" applyBorder="1" applyAlignment="1" applyProtection="1">
      <alignment horizontal="center" vertical="center" wrapText="1"/>
      <protection locked="0"/>
    </xf>
    <xf numFmtId="0" fontId="65" fillId="2" borderId="113" xfId="11" applyFont="1" applyFill="1" applyBorder="1" applyAlignment="1" applyProtection="1">
      <alignment horizontal="left" vertical="center" wrapText="1"/>
      <protection locked="0"/>
    </xf>
    <xf numFmtId="14" fontId="65" fillId="2" borderId="73" xfId="11" applyNumberFormat="1" applyFont="1" applyFill="1" applyBorder="1" applyAlignment="1" applyProtection="1">
      <alignment horizontal="center" vertical="center" wrapText="1"/>
      <protection locked="0"/>
    </xf>
    <xf numFmtId="14" fontId="65" fillId="2" borderId="112" xfId="11" applyNumberFormat="1" applyFont="1" applyFill="1" applyBorder="1" applyAlignment="1" applyProtection="1">
      <alignment horizontal="center" vertical="center" wrapText="1"/>
      <protection locked="0"/>
    </xf>
    <xf numFmtId="0" fontId="65" fillId="2" borderId="74" xfId="11" applyFont="1" applyFill="1" applyBorder="1" applyAlignment="1" applyProtection="1">
      <alignment horizontal="center" vertical="center" wrapText="1"/>
      <protection locked="0"/>
    </xf>
    <xf numFmtId="0" fontId="65" fillId="2" borderId="113" xfId="11" applyFont="1" applyFill="1" applyBorder="1" applyAlignment="1" applyProtection="1">
      <alignment horizontal="center" vertical="center" wrapText="1"/>
      <protection locked="0"/>
    </xf>
    <xf numFmtId="0" fontId="65" fillId="2" borderId="73" xfId="11" applyFont="1" applyFill="1" applyBorder="1" applyAlignment="1" applyProtection="1">
      <alignment horizontal="center" vertical="center" wrapText="1"/>
      <protection locked="0"/>
    </xf>
    <xf numFmtId="9" fontId="65" fillId="2" borderId="74" xfId="11" applyNumberFormat="1" applyFont="1" applyFill="1" applyBorder="1" applyAlignment="1" applyProtection="1">
      <alignment horizontal="center" vertical="center" wrapText="1"/>
      <protection locked="0"/>
    </xf>
    <xf numFmtId="9" fontId="65" fillId="2" borderId="114" xfId="11" applyNumberFormat="1" applyFont="1" applyFill="1" applyBorder="1" applyAlignment="1" applyProtection="1">
      <alignment horizontal="center" vertical="center" wrapText="1"/>
      <protection locked="0"/>
    </xf>
    <xf numFmtId="9" fontId="65" fillId="2" borderId="112" xfId="11" applyNumberFormat="1" applyFont="1" applyFill="1" applyBorder="1" applyAlignment="1" applyProtection="1">
      <alignment horizontal="center" vertical="center" wrapText="1"/>
      <protection locked="0"/>
    </xf>
    <xf numFmtId="9" fontId="65" fillId="2" borderId="113" xfId="11" applyNumberFormat="1" applyFont="1" applyFill="1" applyBorder="1" applyAlignment="1" applyProtection="1">
      <alignment horizontal="center" vertical="center" wrapText="1"/>
      <protection locked="0"/>
    </xf>
    <xf numFmtId="0" fontId="65" fillId="2" borderId="112" xfId="11" applyFont="1" applyFill="1" applyBorder="1" applyAlignment="1" applyProtection="1">
      <alignment horizontal="center" vertical="center" wrapText="1"/>
      <protection locked="0"/>
    </xf>
    <xf numFmtId="3" fontId="65" fillId="5" borderId="73" xfId="11" applyNumberFormat="1" applyFont="1" applyFill="1" applyBorder="1" applyAlignment="1" applyProtection="1">
      <alignment horizontal="center" vertical="center" wrapText="1"/>
      <protection locked="0"/>
    </xf>
    <xf numFmtId="3" fontId="65" fillId="5" borderId="111" xfId="11" applyNumberFormat="1" applyFont="1" applyFill="1" applyBorder="1" applyAlignment="1" applyProtection="1">
      <alignment horizontal="center" vertical="center" wrapText="1"/>
      <protection locked="0"/>
    </xf>
    <xf numFmtId="0" fontId="74" fillId="12" borderId="78" xfId="11" applyFont="1" applyFill="1" applyBorder="1" applyAlignment="1" applyProtection="1">
      <alignment horizontal="left" vertical="center" wrapText="1"/>
      <protection locked="0"/>
    </xf>
    <xf numFmtId="0" fontId="65" fillId="12" borderId="37" xfId="11" applyFont="1" applyFill="1" applyBorder="1" applyAlignment="1" applyProtection="1">
      <alignment horizontal="center" vertical="center" wrapText="1"/>
      <protection locked="0"/>
    </xf>
    <xf numFmtId="0" fontId="74" fillId="12" borderId="37" xfId="11" applyFont="1" applyFill="1" applyBorder="1" applyAlignment="1" applyProtection="1">
      <alignment horizontal="center" vertical="center" wrapText="1"/>
      <protection locked="0"/>
    </xf>
    <xf numFmtId="0" fontId="74" fillId="12" borderId="84" xfId="11" applyFont="1" applyFill="1" applyBorder="1" applyAlignment="1" applyProtection="1">
      <alignment horizontal="left" vertical="center" wrapText="1"/>
      <protection locked="0"/>
    </xf>
    <xf numFmtId="0" fontId="65" fillId="12" borderId="83" xfId="11" applyFont="1" applyFill="1" applyBorder="1" applyAlignment="1" applyProtection="1">
      <alignment horizontal="center" vertical="center" wrapText="1"/>
      <protection locked="0"/>
    </xf>
    <xf numFmtId="0" fontId="74" fillId="12" borderId="83" xfId="11" applyFont="1" applyFill="1" applyBorder="1" applyAlignment="1" applyProtection="1">
      <alignment horizontal="center" vertical="center" wrapText="1"/>
      <protection locked="0"/>
    </xf>
    <xf numFmtId="0" fontId="65" fillId="2" borderId="87" xfId="11" applyFont="1" applyFill="1" applyBorder="1" applyAlignment="1" applyProtection="1">
      <alignment horizontal="left" vertical="center" wrapText="1"/>
      <protection locked="0"/>
    </xf>
    <xf numFmtId="3" fontId="65" fillId="5" borderId="115" xfId="11" applyNumberFormat="1" applyFont="1" applyFill="1" applyBorder="1" applyAlignment="1" applyProtection="1">
      <alignment horizontal="center" vertical="center" wrapText="1"/>
      <protection locked="0"/>
    </xf>
    <xf numFmtId="0" fontId="74" fillId="12" borderId="90" xfId="11" applyFont="1" applyFill="1" applyBorder="1" applyAlignment="1" applyProtection="1">
      <alignment horizontal="left" vertical="center" wrapText="1"/>
      <protection locked="0"/>
    </xf>
    <xf numFmtId="0" fontId="65" fillId="12" borderId="91" xfId="11" applyFont="1" applyFill="1" applyBorder="1" applyAlignment="1" applyProtection="1">
      <alignment horizontal="center" vertical="center" wrapText="1"/>
      <protection locked="0"/>
    </xf>
    <xf numFmtId="0" fontId="74" fillId="12" borderId="91" xfId="11" applyFont="1" applyFill="1" applyBorder="1" applyAlignment="1" applyProtection="1">
      <alignment horizontal="center" vertical="center" wrapText="1"/>
      <protection locked="0"/>
    </xf>
    <xf numFmtId="0" fontId="65" fillId="2" borderId="92" xfId="11" applyFont="1" applyFill="1" applyBorder="1" applyAlignment="1" applyProtection="1">
      <alignment horizontal="left" vertical="center" wrapText="1"/>
      <protection locked="0"/>
    </xf>
    <xf numFmtId="14" fontId="65" fillId="2" borderId="116" xfId="11" applyNumberFormat="1" applyFont="1" applyFill="1" applyBorder="1" applyAlignment="1" applyProtection="1">
      <alignment horizontal="center" vertical="center" wrapText="1"/>
      <protection locked="0"/>
    </xf>
    <xf numFmtId="14" fontId="65" fillId="2" borderId="44" xfId="11" applyNumberFormat="1" applyFont="1" applyFill="1" applyBorder="1" applyAlignment="1" applyProtection="1">
      <alignment horizontal="center" vertical="center" wrapText="1"/>
      <protection locked="0"/>
    </xf>
    <xf numFmtId="0" fontId="65" fillId="2" borderId="117" xfId="11" applyFont="1" applyFill="1" applyBorder="1" applyAlignment="1" applyProtection="1">
      <alignment horizontal="center" vertical="center" wrapText="1"/>
      <protection locked="0"/>
    </xf>
    <xf numFmtId="0" fontId="65" fillId="2" borderId="118" xfId="11" applyFont="1" applyFill="1" applyBorder="1" applyAlignment="1" applyProtection="1">
      <alignment horizontal="center" vertical="center" wrapText="1"/>
      <protection locked="0"/>
    </xf>
    <xf numFmtId="0" fontId="65" fillId="2" borderId="90" xfId="11" applyFont="1" applyFill="1" applyBorder="1" applyAlignment="1" applyProtection="1">
      <alignment horizontal="center" vertical="center" wrapText="1"/>
      <protection locked="0"/>
    </xf>
    <xf numFmtId="9" fontId="65" fillId="2" borderId="93" xfId="11" applyNumberFormat="1" applyFont="1" applyFill="1" applyBorder="1" applyAlignment="1" applyProtection="1">
      <alignment horizontal="center" vertical="center" wrapText="1"/>
      <protection locked="0"/>
    </xf>
    <xf numFmtId="9" fontId="65" fillId="2" borderId="94" xfId="11" applyNumberFormat="1" applyFont="1" applyFill="1" applyBorder="1" applyAlignment="1" applyProtection="1">
      <alignment horizontal="center" vertical="center" wrapText="1"/>
      <protection locked="0"/>
    </xf>
    <xf numFmtId="9" fontId="65" fillId="2" borderId="91" xfId="11" applyNumberFormat="1" applyFont="1" applyFill="1" applyBorder="1" applyAlignment="1" applyProtection="1">
      <alignment horizontal="center" vertical="center" wrapText="1"/>
      <protection locked="0"/>
    </xf>
    <xf numFmtId="9" fontId="65" fillId="2" borderId="92" xfId="11" applyNumberFormat="1" applyFont="1" applyFill="1" applyBorder="1" applyAlignment="1" applyProtection="1">
      <alignment horizontal="center" vertical="center" wrapText="1"/>
      <protection locked="0"/>
    </xf>
    <xf numFmtId="0" fontId="65" fillId="2" borderId="91" xfId="11" applyFont="1" applyFill="1" applyBorder="1" applyAlignment="1" applyProtection="1">
      <alignment horizontal="center" vertical="center" wrapText="1"/>
      <protection locked="0"/>
    </xf>
    <xf numFmtId="3" fontId="65" fillId="5" borderId="90" xfId="11" applyNumberFormat="1" applyFont="1" applyFill="1" applyBorder="1" applyAlignment="1" applyProtection="1">
      <alignment horizontal="center" vertical="center" wrapText="1"/>
      <protection locked="0"/>
    </xf>
    <xf numFmtId="0" fontId="65" fillId="2" borderId="96" xfId="11" applyFont="1" applyFill="1" applyBorder="1" applyAlignment="1" applyProtection="1">
      <alignment horizontal="center" vertical="center" wrapText="1"/>
      <protection locked="0"/>
    </xf>
    <xf numFmtId="0" fontId="78" fillId="2" borderId="18" xfId="11" applyFont="1" applyFill="1" applyBorder="1" applyAlignment="1" applyProtection="1">
      <alignment vertical="center" wrapText="1"/>
      <protection locked="0"/>
    </xf>
    <xf numFmtId="0" fontId="78" fillId="2" borderId="0" xfId="11" applyFont="1" applyFill="1" applyBorder="1" applyAlignment="1" applyProtection="1">
      <alignment vertical="center" wrapText="1"/>
      <protection locked="0"/>
    </xf>
    <xf numFmtId="3" fontId="71" fillId="2" borderId="0" xfId="11" applyNumberFormat="1" applyFont="1" applyFill="1" applyBorder="1" applyAlignment="1" applyProtection="1">
      <alignment horizontal="center" vertical="center" wrapText="1"/>
      <protection locked="0"/>
    </xf>
    <xf numFmtId="3" fontId="71" fillId="2" borderId="67" xfId="11" applyNumberFormat="1" applyFont="1" applyFill="1" applyBorder="1" applyAlignment="1" applyProtection="1">
      <alignment horizontal="center" vertical="center" wrapText="1"/>
      <protection locked="0"/>
    </xf>
    <xf numFmtId="3" fontId="71" fillId="2" borderId="49" xfId="11" applyNumberFormat="1" applyFont="1" applyFill="1" applyBorder="1" applyAlignment="1" applyProtection="1">
      <alignment horizontal="center" vertical="center" wrapText="1"/>
      <protection locked="0"/>
    </xf>
    <xf numFmtId="3" fontId="71" fillId="2" borderId="68" xfId="11" applyNumberFormat="1" applyFont="1" applyFill="1" applyBorder="1" applyAlignment="1" applyProtection="1">
      <alignment horizontal="center" vertical="center" wrapText="1"/>
      <protection locked="0"/>
    </xf>
    <xf numFmtId="0" fontId="78" fillId="2" borderId="18" xfId="11" applyFont="1" applyFill="1" applyBorder="1" applyAlignment="1" applyProtection="1">
      <alignment horizontal="center" vertical="center" wrapText="1"/>
      <protection locked="0"/>
    </xf>
    <xf numFmtId="3" fontId="79" fillId="2" borderId="0" xfId="11" applyNumberFormat="1" applyFont="1" applyFill="1" applyBorder="1" applyAlignment="1" applyProtection="1">
      <alignment horizontal="center" vertical="center" wrapText="1"/>
      <protection locked="0"/>
    </xf>
    <xf numFmtId="0" fontId="65" fillId="2" borderId="18" xfId="11" applyFont="1" applyFill="1" applyBorder="1" applyAlignment="1" applyProtection="1">
      <alignment horizontal="center" vertical="center" wrapText="1"/>
      <protection locked="0"/>
    </xf>
    <xf numFmtId="0" fontId="65" fillId="2" borderId="0" xfId="11" applyFont="1" applyFill="1" applyBorder="1"/>
    <xf numFmtId="0" fontId="65" fillId="2" borderId="0" xfId="11" applyFont="1" applyFill="1" applyBorder="1" applyAlignment="1" applyProtection="1">
      <alignment horizontal="center" vertical="center" wrapText="1"/>
      <protection locked="0"/>
    </xf>
    <xf numFmtId="2" fontId="65" fillId="2" borderId="0" xfId="11" applyNumberFormat="1" applyFont="1" applyFill="1" applyBorder="1" applyAlignment="1" applyProtection="1">
      <alignment horizontal="center" vertical="center" wrapText="1"/>
      <protection locked="0"/>
    </xf>
    <xf numFmtId="3" fontId="65" fillId="2" borderId="0" xfId="11" applyNumberFormat="1" applyFont="1" applyFill="1" applyBorder="1" applyAlignment="1" applyProtection="1">
      <alignment horizontal="center" vertical="center" wrapText="1"/>
      <protection locked="0"/>
    </xf>
    <xf numFmtId="3" fontId="65" fillId="2" borderId="67" xfId="11" applyNumberFormat="1" applyFont="1" applyFill="1" applyBorder="1" applyAlignment="1" applyProtection="1">
      <alignment horizontal="center" vertical="center" wrapText="1"/>
      <protection locked="0"/>
    </xf>
    <xf numFmtId="3" fontId="65" fillId="2" borderId="49" xfId="11" applyNumberFormat="1" applyFont="1" applyFill="1" applyBorder="1" applyAlignment="1" applyProtection="1">
      <alignment horizontal="center" vertical="center" wrapText="1"/>
      <protection locked="0"/>
    </xf>
    <xf numFmtId="3" fontId="65" fillId="2" borderId="68" xfId="11" applyNumberFormat="1" applyFont="1" applyFill="1" applyBorder="1" applyAlignment="1" applyProtection="1">
      <alignment horizontal="center" vertical="center" wrapText="1"/>
      <protection locked="0"/>
    </xf>
    <xf numFmtId="0" fontId="67" fillId="2" borderId="0" xfId="11" applyFont="1" applyFill="1" applyBorder="1"/>
    <xf numFmtId="167" fontId="65" fillId="2" borderId="0" xfId="11" applyNumberFormat="1" applyFont="1" applyFill="1" applyBorder="1" applyAlignment="1" applyProtection="1">
      <alignment horizontal="center" vertical="center" wrapText="1"/>
      <protection locked="0"/>
    </xf>
    <xf numFmtId="0" fontId="65" fillId="2" borderId="0" xfId="11" applyFont="1" applyFill="1" applyBorder="1" applyAlignment="1" applyProtection="1">
      <alignment horizontal="left" vertical="center"/>
      <protection locked="0"/>
    </xf>
    <xf numFmtId="0" fontId="80" fillId="2" borderId="0" xfId="11" applyFont="1" applyFill="1" applyBorder="1" applyAlignment="1" applyProtection="1">
      <alignment horizontal="center" vertical="center" wrapText="1"/>
      <protection locked="0"/>
    </xf>
    <xf numFmtId="3" fontId="80" fillId="2" borderId="0" xfId="11" applyNumberFormat="1" applyFont="1" applyFill="1" applyBorder="1" applyAlignment="1" applyProtection="1">
      <alignment horizontal="center" vertical="center" wrapText="1"/>
      <protection locked="0"/>
    </xf>
    <xf numFmtId="3" fontId="80" fillId="2" borderId="67" xfId="11" applyNumberFormat="1" applyFont="1" applyFill="1" applyBorder="1" applyAlignment="1" applyProtection="1">
      <alignment horizontal="center" vertical="center" wrapText="1"/>
      <protection locked="0"/>
    </xf>
    <xf numFmtId="3" fontId="80" fillId="2" borderId="49" xfId="11" applyNumberFormat="1" applyFont="1" applyFill="1" applyBorder="1" applyAlignment="1" applyProtection="1">
      <alignment horizontal="center" vertical="center" wrapText="1"/>
      <protection locked="0"/>
    </xf>
    <xf numFmtId="3" fontId="80" fillId="2" borderId="68" xfId="11" applyNumberFormat="1" applyFont="1" applyFill="1" applyBorder="1" applyAlignment="1" applyProtection="1">
      <alignment horizontal="center" vertical="center" wrapText="1"/>
      <protection locked="0"/>
    </xf>
    <xf numFmtId="0" fontId="65" fillId="2" borderId="0" xfId="11" applyFont="1" applyFill="1" applyBorder="1" applyProtection="1">
      <protection locked="0"/>
    </xf>
    <xf numFmtId="3" fontId="65" fillId="2" borderId="0" xfId="11" applyNumberFormat="1" applyFont="1" applyFill="1" applyBorder="1" applyProtection="1">
      <protection locked="0"/>
    </xf>
    <xf numFmtId="0" fontId="65" fillId="2" borderId="79" xfId="15" applyFont="1" applyFill="1" applyBorder="1" applyAlignment="1" applyProtection="1">
      <alignment horizontal="left" vertical="center" wrapText="1"/>
      <protection locked="0"/>
    </xf>
    <xf numFmtId="14" fontId="65" fillId="2" borderId="78" xfId="15" applyNumberFormat="1" applyFont="1" applyFill="1" applyBorder="1" applyAlignment="1" applyProtection="1">
      <alignment horizontal="center" vertical="center" wrapText="1"/>
      <protection locked="0"/>
    </xf>
    <xf numFmtId="0" fontId="65" fillId="2" borderId="78" xfId="15" applyFont="1" applyFill="1" applyBorder="1" applyAlignment="1" applyProtection="1">
      <alignment horizontal="center" vertical="center" wrapText="1"/>
      <protection locked="0"/>
    </xf>
    <xf numFmtId="9" fontId="65" fillId="2" borderId="47" xfId="15" applyNumberFormat="1" applyFont="1" applyFill="1" applyBorder="1" applyAlignment="1" applyProtection="1">
      <alignment horizontal="center" vertical="center" wrapText="1"/>
      <protection locked="0"/>
    </xf>
    <xf numFmtId="0" fontId="65" fillId="2" borderId="37" xfId="15" applyFont="1" applyFill="1" applyBorder="1" applyAlignment="1" applyProtection="1">
      <alignment horizontal="center" vertical="center" wrapText="1"/>
      <protection locked="0"/>
    </xf>
    <xf numFmtId="1" fontId="65" fillId="2" borderId="78" xfId="15" applyNumberFormat="1" applyFont="1" applyFill="1" applyBorder="1" applyAlignment="1" applyProtection="1">
      <alignment horizontal="center" vertical="center" wrapText="1"/>
      <protection locked="0"/>
    </xf>
    <xf numFmtId="1" fontId="65" fillId="2" borderId="37" xfId="15" applyNumberFormat="1" applyFont="1" applyFill="1" applyBorder="1" applyAlignment="1" applyProtection="1">
      <alignment horizontal="center" vertical="center" wrapText="1"/>
      <protection locked="0"/>
    </xf>
    <xf numFmtId="9" fontId="65" fillId="2" borderId="36" xfId="15" applyNumberFormat="1" applyFont="1" applyFill="1" applyBorder="1" applyAlignment="1" applyProtection="1">
      <alignment horizontal="center" vertical="center"/>
      <protection locked="0"/>
    </xf>
    <xf numFmtId="9" fontId="65" fillId="2" borderId="37" xfId="15" applyNumberFormat="1" applyFont="1" applyFill="1" applyBorder="1" applyAlignment="1" applyProtection="1">
      <alignment horizontal="center" vertical="center"/>
      <protection locked="0"/>
    </xf>
    <xf numFmtId="3" fontId="65" fillId="5" borderId="78" xfId="15" applyNumberFormat="1" applyFont="1" applyFill="1" applyBorder="1" applyAlignment="1" applyProtection="1">
      <alignment horizontal="center" vertical="center" wrapText="1"/>
      <protection locked="0"/>
    </xf>
    <xf numFmtId="9" fontId="65" fillId="2" borderId="37" xfId="15" applyNumberFormat="1" applyFont="1" applyFill="1" applyBorder="1" applyAlignment="1" applyProtection="1">
      <alignment horizontal="center" vertical="center" wrapText="1"/>
      <protection locked="0"/>
    </xf>
    <xf numFmtId="9" fontId="65" fillId="2" borderId="79" xfId="15" applyNumberFormat="1" applyFont="1" applyFill="1" applyBorder="1" applyAlignment="1" applyProtection="1">
      <alignment horizontal="center" vertical="center" wrapText="1"/>
      <protection locked="0"/>
    </xf>
    <xf numFmtId="166" fontId="38" fillId="6" borderId="31" xfId="0" applyFont="1" applyFill="1" applyBorder="1" applyAlignment="1" applyProtection="1">
      <alignment horizontal="center" vertical="center" wrapText="1"/>
    </xf>
    <xf numFmtId="166" fontId="38" fillId="5" borderId="31" xfId="0" applyFont="1" applyFill="1" applyBorder="1" applyAlignment="1" applyProtection="1">
      <alignment horizontal="center" vertical="center" wrapText="1"/>
    </xf>
    <xf numFmtId="166" fontId="0" fillId="0" borderId="0" xfId="0"/>
    <xf numFmtId="166" fontId="32" fillId="2" borderId="0" xfId="0" applyFont="1" applyFill="1" applyBorder="1" applyAlignment="1" applyProtection="1">
      <alignment horizontal="left"/>
      <protection locked="0"/>
    </xf>
    <xf numFmtId="166" fontId="41" fillId="3" borderId="32" xfId="0" applyFont="1" applyFill="1" applyBorder="1" applyAlignment="1" applyProtection="1">
      <alignment horizontal="center" vertical="center" wrapText="1"/>
      <protection locked="0"/>
    </xf>
    <xf numFmtId="15" fontId="41" fillId="3" borderId="32" xfId="0" applyNumberFormat="1" applyFont="1" applyFill="1" applyBorder="1" applyAlignment="1" applyProtection="1">
      <alignment horizontal="center" vertical="center" wrapText="1"/>
      <protection locked="0"/>
    </xf>
    <xf numFmtId="9" fontId="41" fillId="2" borderId="61" xfId="0" applyNumberFormat="1" applyFont="1" applyFill="1" applyBorder="1" applyAlignment="1" applyProtection="1">
      <alignment horizontal="center" vertical="center" wrapText="1"/>
      <protection locked="0"/>
    </xf>
    <xf numFmtId="9" fontId="0" fillId="0" borderId="0" xfId="3" applyFont="1" applyAlignment="1">
      <alignment horizontal="left"/>
    </xf>
    <xf numFmtId="166" fontId="0" fillId="0" borderId="0" xfId="0"/>
    <xf numFmtId="1" fontId="41" fillId="0" borderId="59" xfId="0" applyNumberFormat="1" applyFont="1" applyFill="1" applyBorder="1" applyAlignment="1" applyProtection="1">
      <alignment horizontal="center" vertical="center" wrapText="1"/>
      <protection locked="0"/>
    </xf>
    <xf numFmtId="9" fontId="41" fillId="0" borderId="59" xfId="0" applyNumberFormat="1" applyFont="1" applyFill="1" applyBorder="1" applyAlignment="1" applyProtection="1">
      <alignment horizontal="center" vertical="center" wrapText="1"/>
      <protection locked="0"/>
    </xf>
    <xf numFmtId="9" fontId="41" fillId="0" borderId="61" xfId="0" applyNumberFormat="1" applyFont="1" applyFill="1" applyBorder="1" applyAlignment="1" applyProtection="1">
      <alignment horizontal="center" vertical="center" wrapText="1"/>
      <protection locked="0"/>
    </xf>
    <xf numFmtId="0" fontId="75" fillId="5" borderId="37" xfId="11" applyFont="1" applyFill="1" applyBorder="1" applyAlignment="1" applyProtection="1">
      <alignment horizontal="center" vertical="center" wrapText="1"/>
      <protection locked="0"/>
    </xf>
    <xf numFmtId="0" fontId="73" fillId="5" borderId="37" xfId="11" applyFont="1" applyFill="1" applyBorder="1" applyAlignment="1" applyProtection="1">
      <alignment horizontal="center" vertical="center" wrapText="1"/>
      <protection locked="0"/>
    </xf>
    <xf numFmtId="0" fontId="74" fillId="5" borderId="83" xfId="11" applyFont="1" applyFill="1" applyBorder="1" applyAlignment="1" applyProtection="1">
      <alignment horizontal="center" vertical="center" wrapText="1"/>
      <protection locked="0"/>
    </xf>
    <xf numFmtId="0" fontId="75" fillId="2" borderId="79" xfId="11" applyFont="1" applyFill="1" applyBorder="1" applyAlignment="1" applyProtection="1">
      <alignment horizontal="left" vertical="center" wrapText="1"/>
      <protection locked="0"/>
    </xf>
    <xf numFmtId="14" fontId="75" fillId="2" borderId="78" xfId="11" applyNumberFormat="1" applyFont="1" applyFill="1" applyBorder="1" applyAlignment="1">
      <alignment horizontal="center" vertical="center" wrapText="1"/>
    </xf>
    <xf numFmtId="14" fontId="75" fillId="2" borderId="37" xfId="11" applyNumberFormat="1" applyFont="1" applyFill="1" applyBorder="1" applyAlignment="1">
      <alignment horizontal="center" vertical="center" wrapText="1"/>
    </xf>
    <xf numFmtId="0" fontId="65" fillId="2" borderId="85" xfId="11" applyFont="1" applyFill="1" applyBorder="1" applyAlignment="1" applyProtection="1">
      <alignment horizontal="center" vertical="center" wrapText="1"/>
      <protection locked="0"/>
    </xf>
    <xf numFmtId="0" fontId="75" fillId="2" borderId="78" xfId="11" applyFont="1" applyFill="1" applyBorder="1" applyAlignment="1" applyProtection="1">
      <alignment horizontal="center" vertical="center" wrapText="1"/>
      <protection locked="0"/>
    </xf>
    <xf numFmtId="9" fontId="75" fillId="2" borderId="47" xfId="12" applyNumberFormat="1" applyFont="1" applyFill="1" applyBorder="1" applyAlignment="1" applyProtection="1">
      <alignment horizontal="center" vertical="center" wrapText="1"/>
      <protection locked="0"/>
    </xf>
    <xf numFmtId="9" fontId="75" fillId="2" borderId="36" xfId="11" applyNumberFormat="1" applyFont="1" applyFill="1" applyBorder="1" applyAlignment="1" applyProtection="1">
      <alignment horizontal="center" vertical="center" wrapText="1"/>
      <protection locked="0"/>
    </xf>
    <xf numFmtId="9" fontId="75" fillId="2" borderId="37" xfId="11" applyNumberFormat="1" applyFont="1" applyFill="1" applyBorder="1" applyAlignment="1" applyProtection="1">
      <alignment horizontal="center" vertical="center" wrapText="1"/>
      <protection locked="0"/>
    </xf>
    <xf numFmtId="9" fontId="65" fillId="2" borderId="79" xfId="15" applyNumberFormat="1" applyFont="1" applyFill="1" applyBorder="1" applyAlignment="1" applyProtection="1">
      <alignment horizontal="center" vertical="center"/>
      <protection locked="0"/>
    </xf>
    <xf numFmtId="9" fontId="75" fillId="2" borderId="79" xfId="11" applyNumberFormat="1" applyFont="1" applyFill="1" applyBorder="1" applyAlignment="1" applyProtection="1">
      <alignment horizontal="center" vertical="center" wrapText="1"/>
      <protection locked="0"/>
    </xf>
    <xf numFmtId="1" fontId="65" fillId="2" borderId="79" xfId="15" applyNumberFormat="1" applyFont="1" applyFill="1" applyBorder="1" applyAlignment="1" applyProtection="1">
      <alignment horizontal="center" vertical="center" wrapText="1"/>
      <protection locked="0"/>
    </xf>
    <xf numFmtId="0" fontId="65" fillId="2" borderId="81" xfId="11" applyFont="1" applyFill="1" applyBorder="1" applyAlignment="1" applyProtection="1">
      <alignment horizontal="center" vertical="center" wrapText="1"/>
      <protection locked="0"/>
    </xf>
    <xf numFmtId="0" fontId="75" fillId="2" borderId="79" xfId="11" applyFont="1" applyFill="1" applyBorder="1" applyAlignment="1" applyProtection="1">
      <alignment horizontal="center" vertical="center" wrapText="1"/>
      <protection locked="0"/>
    </xf>
    <xf numFmtId="0" fontId="65" fillId="2" borderId="119" xfId="11" applyFont="1" applyFill="1" applyBorder="1" applyAlignment="1" applyProtection="1">
      <alignment horizontal="center" vertical="center" wrapText="1"/>
      <protection locked="0"/>
    </xf>
    <xf numFmtId="0" fontId="65" fillId="2" borderId="79" xfId="15" applyFont="1" applyFill="1" applyBorder="1" applyAlignment="1" applyProtection="1">
      <alignment horizontal="center" vertical="center" wrapText="1"/>
      <protection locked="0"/>
    </xf>
    <xf numFmtId="3" fontId="75" fillId="5" borderId="78" xfId="11" applyNumberFormat="1" applyFont="1" applyFill="1" applyBorder="1" applyAlignment="1" applyProtection="1">
      <alignment horizontal="center" vertical="center" wrapText="1"/>
      <protection locked="0"/>
    </xf>
    <xf numFmtId="0" fontId="75" fillId="2" borderId="82" xfId="11" applyFont="1" applyFill="1" applyBorder="1" applyAlignment="1" applyProtection="1">
      <alignment horizontal="center" vertical="center" wrapText="1"/>
      <protection locked="0"/>
    </xf>
    <xf numFmtId="0" fontId="75" fillId="2" borderId="68" xfId="11" applyFont="1" applyFill="1" applyBorder="1" applyAlignment="1" applyProtection="1">
      <alignment horizontal="center" vertical="center" wrapText="1"/>
      <protection locked="0"/>
    </xf>
    <xf numFmtId="9" fontId="65" fillId="2" borderId="85" xfId="13" applyNumberFormat="1" applyFont="1" applyFill="1" applyBorder="1" applyAlignment="1">
      <alignment horizontal="center" vertical="center" wrapText="1"/>
    </xf>
    <xf numFmtId="9" fontId="65" fillId="2" borderId="86" xfId="13" applyNumberFormat="1" applyFont="1" applyFill="1" applyBorder="1" applyAlignment="1">
      <alignment horizontal="center" vertical="center" wrapText="1"/>
    </xf>
    <xf numFmtId="9" fontId="65" fillId="2" borderId="83" xfId="13" applyNumberFormat="1" applyFont="1" applyFill="1" applyBorder="1" applyAlignment="1">
      <alignment horizontal="center" vertical="center" wrapText="1"/>
    </xf>
    <xf numFmtId="9" fontId="65" fillId="2" borderId="87" xfId="13" applyNumberFormat="1" applyFont="1" applyFill="1" applyBorder="1" applyAlignment="1">
      <alignment horizontal="center" vertical="center" wrapText="1"/>
    </xf>
    <xf numFmtId="3" fontId="65" fillId="5" borderId="84" xfId="13" applyNumberFormat="1" applyFont="1" applyFill="1" applyBorder="1" applyAlignment="1">
      <alignment horizontal="center" vertical="center" wrapText="1"/>
    </xf>
    <xf numFmtId="166" fontId="0" fillId="2" borderId="0" xfId="0" applyFill="1" applyBorder="1"/>
    <xf numFmtId="166" fontId="41" fillId="2" borderId="0" xfId="0" applyFont="1" applyFill="1" applyBorder="1" applyAlignment="1" applyProtection="1">
      <alignment horizontal="left" vertical="center" wrapText="1"/>
      <protection locked="0"/>
    </xf>
    <xf numFmtId="166" fontId="0" fillId="2" borderId="0" xfId="0" applyNumberFormat="1" applyFill="1" applyAlignment="1">
      <alignment horizontal="left"/>
    </xf>
    <xf numFmtId="9" fontId="30" fillId="2" borderId="0" xfId="3" applyFont="1" applyFill="1" applyAlignment="1">
      <alignment horizontal="center"/>
    </xf>
    <xf numFmtId="166" fontId="0" fillId="2" borderId="0" xfId="0" applyFill="1" applyAlignment="1">
      <alignment horizontal="center" wrapText="1"/>
    </xf>
    <xf numFmtId="9" fontId="0" fillId="2" borderId="0" xfId="0" applyNumberFormat="1" applyFill="1" applyAlignment="1">
      <alignment horizontal="center"/>
    </xf>
    <xf numFmtId="166" fontId="0" fillId="0" borderId="0" xfId="0" applyBorder="1" applyAlignment="1">
      <alignment wrapText="1"/>
    </xf>
    <xf numFmtId="3" fontId="0" fillId="2" borderId="0" xfId="0" applyNumberFormat="1" applyFill="1" applyAlignment="1">
      <alignment horizontal="right"/>
    </xf>
    <xf numFmtId="166" fontId="0" fillId="2" borderId="0" xfId="0" applyFill="1" applyAlignment="1">
      <alignment wrapText="1"/>
    </xf>
    <xf numFmtId="166" fontId="0" fillId="2" borderId="11" xfId="0" applyFill="1" applyBorder="1" applyAlignment="1">
      <alignment vertical="center" wrapText="1"/>
    </xf>
    <xf numFmtId="1" fontId="0" fillId="2" borderId="12" xfId="0" applyNumberFormat="1" applyFill="1" applyBorder="1" applyAlignment="1">
      <alignment horizontal="center" vertical="center" wrapText="1"/>
    </xf>
    <xf numFmtId="1" fontId="32" fillId="2" borderId="0" xfId="0" applyNumberFormat="1" applyFont="1" applyFill="1" applyBorder="1" applyAlignment="1" applyProtection="1">
      <alignment horizontal="center"/>
      <protection locked="0"/>
    </xf>
    <xf numFmtId="1" fontId="38" fillId="14" borderId="24" xfId="0" applyNumberFormat="1" applyFont="1" applyFill="1" applyBorder="1" applyAlignment="1" applyProtection="1">
      <alignment horizontal="center" vertical="center" wrapText="1"/>
    </xf>
    <xf numFmtId="166" fontId="0" fillId="2" borderId="0" xfId="0" applyNumberFormat="1" applyFill="1" applyBorder="1" applyAlignment="1">
      <alignment horizontal="center" vertical="center" wrapText="1"/>
    </xf>
    <xf numFmtId="166" fontId="0" fillId="2" borderId="55"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1" fontId="0" fillId="2" borderId="57" xfId="0" applyNumberFormat="1" applyFill="1" applyBorder="1" applyAlignment="1">
      <alignment horizontal="center" vertical="center" wrapText="1"/>
    </xf>
    <xf numFmtId="1" fontId="0" fillId="2" borderId="51" xfId="0" applyNumberFormat="1" applyFill="1" applyBorder="1" applyAlignment="1">
      <alignment horizontal="center" vertical="center" wrapText="1"/>
    </xf>
    <xf numFmtId="1" fontId="0" fillId="2" borderId="14" xfId="0" applyNumberFormat="1" applyFill="1" applyBorder="1" applyAlignment="1">
      <alignment horizontal="center" vertical="center" wrapText="1"/>
    </xf>
    <xf numFmtId="1" fontId="0" fillId="2" borderId="15" xfId="0" applyNumberFormat="1" applyFill="1" applyBorder="1" applyAlignment="1">
      <alignment horizontal="center" vertical="center" wrapText="1"/>
    </xf>
    <xf numFmtId="1" fontId="0" fillId="2" borderId="54" xfId="0" applyNumberFormat="1" applyFill="1" applyBorder="1" applyAlignment="1">
      <alignment horizontal="center" vertical="center" wrapText="1"/>
    </xf>
    <xf numFmtId="1" fontId="0" fillId="2" borderId="55" xfId="0" applyNumberFormat="1" applyFill="1" applyBorder="1" applyAlignment="1">
      <alignment horizontal="center" vertical="center" wrapText="1"/>
    </xf>
    <xf numFmtId="9" fontId="30" fillId="2" borderId="0" xfId="3" applyFont="1" applyFill="1" applyAlignment="1">
      <alignment horizontal="center" vertical="center"/>
    </xf>
    <xf numFmtId="166" fontId="0" fillId="2" borderId="0" xfId="0" applyFill="1" applyAlignment="1">
      <alignment horizontal="center" vertical="center" wrapText="1"/>
    </xf>
    <xf numFmtId="166" fontId="0" fillId="2" borderId="0" xfId="0" applyNumberFormat="1" applyFill="1" applyAlignment="1">
      <alignment horizontal="left" vertical="center"/>
    </xf>
    <xf numFmtId="9" fontId="0" fillId="2" borderId="0" xfId="0" applyNumberFormat="1" applyFill="1" applyAlignment="1">
      <alignment horizontal="center" vertical="center"/>
    </xf>
    <xf numFmtId="3" fontId="0" fillId="2" borderId="0" xfId="0" applyNumberFormat="1" applyFill="1" applyAlignment="1">
      <alignment horizontal="right" vertical="center"/>
    </xf>
    <xf numFmtId="166" fontId="0" fillId="2" borderId="0" xfId="0" applyFill="1" applyAlignment="1">
      <alignment horizontal="right" vertical="center"/>
    </xf>
    <xf numFmtId="166" fontId="0" fillId="2" borderId="0" xfId="0" applyNumberFormat="1" applyFill="1" applyAlignment="1">
      <alignment vertical="center"/>
    </xf>
    <xf numFmtId="166" fontId="0" fillId="2" borderId="0" xfId="0" applyFill="1" applyAlignment="1"/>
    <xf numFmtId="166" fontId="0" fillId="2" borderId="0" xfId="0" applyFill="1" applyAlignment="1">
      <alignment horizontal="right"/>
    </xf>
    <xf numFmtId="166" fontId="0" fillId="2" borderId="0" xfId="0" applyFill="1" applyAlignment="1">
      <alignment horizontal="right" wrapText="1"/>
    </xf>
    <xf numFmtId="166" fontId="0" fillId="2" borderId="0" xfId="0" applyFill="1" applyAlignment="1">
      <alignment vertical="center" wrapText="1"/>
    </xf>
    <xf numFmtId="166" fontId="0" fillId="2" borderId="0" xfId="0" applyFill="1" applyAlignment="1">
      <alignment horizontal="right" vertical="center" wrapText="1"/>
    </xf>
    <xf numFmtId="166" fontId="0" fillId="2" borderId="0" xfId="0" applyNumberFormat="1" applyFill="1" applyAlignment="1">
      <alignment horizontal="center" vertical="center" wrapText="1"/>
    </xf>
    <xf numFmtId="168" fontId="32" fillId="2" borderId="0" xfId="0" applyNumberFormat="1" applyFont="1" applyFill="1" applyBorder="1" applyAlignment="1" applyProtection="1">
      <alignment horizontal="center"/>
      <protection locked="0"/>
    </xf>
    <xf numFmtId="168" fontId="40" fillId="6" borderId="22" xfId="0" applyNumberFormat="1" applyFont="1" applyFill="1" applyBorder="1" applyAlignment="1" applyProtection="1">
      <alignment horizontal="center" vertical="center" wrapText="1"/>
    </xf>
    <xf numFmtId="168" fontId="40" fillId="6" borderId="31" xfId="0" applyNumberFormat="1" applyFont="1" applyFill="1" applyBorder="1" applyAlignment="1" applyProtection="1">
      <alignment horizontal="center" vertical="center" wrapText="1"/>
    </xf>
    <xf numFmtId="166" fontId="0" fillId="0" borderId="0" xfId="0" applyAlignment="1">
      <alignment vertical="center"/>
    </xf>
    <xf numFmtId="166" fontId="0" fillId="2" borderId="0" xfId="0" applyNumberFormat="1" applyFill="1" applyAlignment="1">
      <alignment vertical="center" wrapText="1"/>
    </xf>
    <xf numFmtId="9" fontId="0" fillId="2" borderId="0" xfId="0" applyNumberFormat="1" applyFill="1" applyAlignment="1">
      <alignment horizontal="center" vertical="center" wrapText="1"/>
    </xf>
    <xf numFmtId="166" fontId="0" fillId="0" borderId="0" xfId="0" applyBorder="1" applyAlignment="1">
      <alignment horizontal="center"/>
    </xf>
    <xf numFmtId="3" fontId="0" fillId="2" borderId="0" xfId="0" applyNumberFormat="1" applyFill="1" applyAlignment="1">
      <alignment horizontal="center" vertical="center"/>
    </xf>
    <xf numFmtId="3" fontId="0" fillId="2" borderId="0" xfId="0" applyNumberFormat="1" applyFill="1" applyAlignment="1">
      <alignment horizontal="center" vertical="center" wrapText="1"/>
    </xf>
    <xf numFmtId="166" fontId="0" fillId="2" borderId="0" xfId="0" applyNumberFormat="1" applyFill="1" applyAlignment="1">
      <alignment horizontal="center" vertical="center"/>
    </xf>
    <xf numFmtId="166" fontId="41" fillId="3" borderId="59" xfId="0" applyFont="1" applyFill="1" applyBorder="1" applyAlignment="1" applyProtection="1">
      <alignment horizontal="left" vertical="center" wrapText="1"/>
      <protection locked="0"/>
    </xf>
    <xf numFmtId="166" fontId="38" fillId="5" borderId="30" xfId="0" applyFont="1" applyFill="1" applyBorder="1" applyAlignment="1" applyProtection="1">
      <alignment horizontal="center" vertical="center" wrapText="1"/>
    </xf>
    <xf numFmtId="166" fontId="0" fillId="0" borderId="109" xfId="0" applyBorder="1"/>
    <xf numFmtId="166" fontId="0" fillId="0" borderId="107" xfId="0" applyBorder="1" applyAlignment="1">
      <alignment horizontal="center" vertical="center"/>
    </xf>
    <xf numFmtId="166" fontId="0" fillId="0" borderId="108" xfId="0" applyBorder="1" applyAlignment="1">
      <alignment horizontal="center" vertical="center"/>
    </xf>
    <xf numFmtId="3" fontId="0" fillId="0" borderId="99" xfId="0" applyNumberFormat="1" applyBorder="1" applyAlignment="1">
      <alignment horizontal="right" vertical="center"/>
    </xf>
    <xf numFmtId="3" fontId="0" fillId="0" borderId="109" xfId="0" applyNumberFormat="1" applyBorder="1" applyAlignment="1">
      <alignment horizontal="right" vertical="center"/>
    </xf>
    <xf numFmtId="3" fontId="0" fillId="0" borderId="105" xfId="0" applyNumberFormat="1" applyBorder="1" applyAlignment="1">
      <alignment horizontal="right" vertical="center"/>
    </xf>
    <xf numFmtId="3" fontId="0" fillId="0" borderId="110" xfId="0" applyNumberFormat="1" applyBorder="1" applyAlignment="1">
      <alignment horizontal="right" vertical="center"/>
    </xf>
    <xf numFmtId="9" fontId="0" fillId="2" borderId="0" xfId="0" applyNumberFormat="1" applyFill="1" applyBorder="1" applyAlignment="1">
      <alignment vertical="center"/>
    </xf>
    <xf numFmtId="166" fontId="0" fillId="2" borderId="0" xfId="0" applyFill="1" applyBorder="1" applyAlignment="1">
      <alignment vertical="center"/>
    </xf>
    <xf numFmtId="166" fontId="0" fillId="2" borderId="132" xfId="0" applyFill="1" applyBorder="1" applyAlignment="1">
      <alignment vertical="center"/>
    </xf>
    <xf numFmtId="9" fontId="0" fillId="2" borderId="132" xfId="0" applyNumberFormat="1" applyFill="1" applyBorder="1" applyAlignment="1">
      <alignment vertical="center"/>
    </xf>
    <xf numFmtId="166" fontId="0" fillId="2" borderId="133" xfId="0" applyFill="1" applyBorder="1" applyAlignment="1">
      <alignment vertical="center"/>
    </xf>
    <xf numFmtId="9" fontId="0" fillId="2" borderId="133" xfId="0" applyNumberFormat="1" applyFill="1" applyBorder="1" applyAlignment="1">
      <alignment vertical="center"/>
    </xf>
    <xf numFmtId="166" fontId="0" fillId="2" borderId="134" xfId="0" applyFill="1" applyBorder="1" applyAlignment="1">
      <alignment vertical="center"/>
    </xf>
    <xf numFmtId="9" fontId="0" fillId="2" borderId="134" xfId="0" applyNumberFormat="1" applyFill="1" applyBorder="1" applyAlignment="1">
      <alignment vertical="center"/>
    </xf>
    <xf numFmtId="166" fontId="31" fillId="11" borderId="53" xfId="0" applyFont="1" applyFill="1" applyBorder="1" applyAlignment="1">
      <alignment vertical="center"/>
    </xf>
    <xf numFmtId="9" fontId="0" fillId="2" borderId="136" xfId="0" applyNumberFormat="1" applyFill="1" applyBorder="1" applyAlignment="1">
      <alignment vertical="center"/>
    </xf>
    <xf numFmtId="9" fontId="0" fillId="2" borderId="137" xfId="0" applyNumberFormat="1" applyFill="1" applyBorder="1" applyAlignment="1">
      <alignment vertical="center"/>
    </xf>
    <xf numFmtId="9" fontId="0" fillId="2" borderId="138" xfId="0" applyNumberFormat="1" applyFill="1" applyBorder="1" applyAlignment="1">
      <alignment vertical="center"/>
    </xf>
    <xf numFmtId="9" fontId="84" fillId="2" borderId="140" xfId="0" applyNumberFormat="1" applyFont="1" applyFill="1" applyBorder="1" applyAlignment="1">
      <alignment vertical="center"/>
    </xf>
    <xf numFmtId="9" fontId="84" fillId="2" borderId="141" xfId="0" applyNumberFormat="1" applyFont="1" applyFill="1" applyBorder="1" applyAlignment="1">
      <alignment vertical="center"/>
    </xf>
    <xf numFmtId="9" fontId="84" fillId="2" borderId="142" xfId="0" applyNumberFormat="1" applyFont="1" applyFill="1" applyBorder="1" applyAlignment="1">
      <alignment vertical="center"/>
    </xf>
    <xf numFmtId="166" fontId="84" fillId="2" borderId="139" xfId="0" applyFont="1" applyFill="1" applyBorder="1" applyAlignment="1">
      <alignment horizontal="center" vertical="center"/>
    </xf>
    <xf numFmtId="3" fontId="0" fillId="2" borderId="0" xfId="0" applyNumberFormat="1" applyFill="1" applyAlignment="1">
      <alignment horizontal="center"/>
    </xf>
    <xf numFmtId="1" fontId="41" fillId="0" borderId="145" xfId="0" applyNumberFormat="1" applyFont="1" applyFill="1" applyBorder="1" applyAlignment="1" applyProtection="1">
      <alignment horizontal="center" vertical="center" wrapText="1"/>
      <protection locked="0"/>
    </xf>
    <xf numFmtId="9" fontId="41" fillId="0" borderId="145" xfId="3" applyFont="1" applyFill="1" applyBorder="1" applyAlignment="1" applyProtection="1">
      <alignment horizontal="center" vertical="center" wrapText="1"/>
      <protection locked="0"/>
    </xf>
    <xf numFmtId="168" fontId="41" fillId="0" borderId="59" xfId="0" applyNumberFormat="1" applyFont="1" applyFill="1" applyBorder="1" applyAlignment="1" applyProtection="1">
      <alignment horizontal="center" vertical="center" wrapText="1"/>
      <protection locked="0"/>
    </xf>
    <xf numFmtId="9" fontId="0" fillId="2" borderId="0" xfId="0" applyNumberFormat="1" applyFill="1" applyAlignment="1">
      <alignment vertical="center" wrapText="1"/>
    </xf>
    <xf numFmtId="9" fontId="0" fillId="2" borderId="135" xfId="0" applyNumberFormat="1" applyFill="1" applyBorder="1" applyAlignment="1">
      <alignment horizontal="left" vertical="center" wrapText="1"/>
    </xf>
    <xf numFmtId="166" fontId="23" fillId="2" borderId="122" xfId="0" applyFont="1" applyFill="1" applyBorder="1" applyAlignment="1">
      <alignment vertical="center" wrapText="1"/>
    </xf>
    <xf numFmtId="166" fontId="82" fillId="2" borderId="36" xfId="0" applyFont="1" applyFill="1" applyBorder="1" applyAlignment="1">
      <alignment horizontal="right" vertical="center" wrapText="1"/>
    </xf>
    <xf numFmtId="166" fontId="31" fillId="3" borderId="147" xfId="0" applyFont="1" applyFill="1" applyBorder="1" applyAlignment="1">
      <alignment horizontal="center" vertical="center" wrapText="1"/>
    </xf>
    <xf numFmtId="166" fontId="0" fillId="2" borderId="149" xfId="0" applyFill="1" applyBorder="1" applyAlignment="1">
      <alignment vertical="center" wrapText="1"/>
    </xf>
    <xf numFmtId="166" fontId="82" fillId="2" borderId="150" xfId="0" applyFont="1" applyFill="1" applyBorder="1" applyAlignment="1">
      <alignment horizontal="right" vertical="center" wrapText="1"/>
    </xf>
    <xf numFmtId="166" fontId="0" fillId="2" borderId="151" xfId="0" applyFill="1" applyBorder="1" applyAlignment="1">
      <alignment vertical="center" wrapText="1"/>
    </xf>
    <xf numFmtId="166" fontId="82" fillId="2" borderId="94" xfId="0" applyFont="1" applyFill="1" applyBorder="1" applyAlignment="1">
      <alignment horizontal="right" vertical="center" wrapText="1"/>
    </xf>
    <xf numFmtId="166" fontId="82" fillId="2" borderId="152" xfId="0" applyFont="1" applyFill="1" applyBorder="1" applyAlignment="1">
      <alignment vertical="center" wrapText="1"/>
    </xf>
    <xf numFmtId="166" fontId="31" fillId="3" borderId="65" xfId="0" applyFont="1" applyFill="1" applyBorder="1" applyAlignment="1">
      <alignment horizontal="center" vertical="center" wrapText="1"/>
    </xf>
    <xf numFmtId="166" fontId="55" fillId="9" borderId="0" xfId="0" applyFont="1" applyFill="1" applyAlignment="1">
      <alignment vertical="center" wrapText="1"/>
    </xf>
    <xf numFmtId="166" fontId="56" fillId="9" borderId="0" xfId="0" applyFont="1" applyFill="1" applyAlignment="1">
      <alignment vertical="center" wrapText="1"/>
    </xf>
    <xf numFmtId="166" fontId="31" fillId="3" borderId="62" xfId="0" applyFont="1" applyFill="1" applyBorder="1" applyAlignment="1">
      <alignment horizontal="center" vertical="center" wrapText="1"/>
    </xf>
    <xf numFmtId="166" fontId="31" fillId="3" borderId="64" xfId="0" applyFont="1" applyFill="1" applyBorder="1" applyAlignment="1">
      <alignment horizontal="center" vertical="center" wrapText="1"/>
    </xf>
    <xf numFmtId="166" fontId="0" fillId="2" borderId="36" xfId="0" applyFill="1" applyBorder="1" applyAlignment="1">
      <alignment vertical="center" wrapText="1"/>
    </xf>
    <xf numFmtId="9" fontId="0" fillId="2" borderId="47" xfId="0" applyNumberFormat="1" applyFill="1" applyBorder="1" applyAlignment="1">
      <alignment horizontal="center" vertical="center" wrapText="1"/>
    </xf>
    <xf numFmtId="166" fontId="0" fillId="0" borderId="36" xfId="0" applyFill="1" applyBorder="1" applyAlignment="1">
      <alignment vertical="center" wrapText="1"/>
    </xf>
    <xf numFmtId="3" fontId="0" fillId="2" borderId="83" xfId="0" applyNumberFormat="1" applyFill="1" applyBorder="1" applyAlignment="1">
      <alignment horizontal="center" vertical="center" wrapText="1"/>
    </xf>
    <xf numFmtId="3" fontId="0" fillId="2" borderId="41" xfId="0" applyNumberFormat="1" applyFill="1" applyBorder="1" applyAlignment="1">
      <alignment horizontal="left" vertical="center" wrapText="1"/>
    </xf>
    <xf numFmtId="3" fontId="0" fillId="2" borderId="0" xfId="0" applyNumberFormat="1" applyFill="1" applyAlignment="1">
      <alignment vertical="center" wrapText="1"/>
    </xf>
    <xf numFmtId="166" fontId="55" fillId="2" borderId="0" xfId="0" applyFont="1" applyFill="1" applyAlignment="1">
      <alignment vertical="center" wrapText="1"/>
    </xf>
    <xf numFmtId="166" fontId="43" fillId="3" borderId="146" xfId="0" applyFont="1" applyFill="1" applyBorder="1" applyAlignment="1">
      <alignment horizontal="center" vertical="center" wrapText="1"/>
    </xf>
    <xf numFmtId="166" fontId="31" fillId="3" borderId="148" xfId="0" applyFont="1" applyFill="1" applyBorder="1" applyAlignment="1">
      <alignment horizontal="center" vertical="center" wrapText="1"/>
    </xf>
    <xf numFmtId="3" fontId="0" fillId="2" borderId="121" xfId="0" applyNumberFormat="1" applyFill="1" applyBorder="1" applyAlignment="1">
      <alignment horizontal="center" vertical="center" wrapText="1"/>
    </xf>
    <xf numFmtId="9" fontId="0" fillId="2" borderId="121" xfId="3" applyFont="1" applyFill="1" applyBorder="1" applyAlignment="1">
      <alignment horizontal="center" vertical="center" wrapText="1"/>
    </xf>
    <xf numFmtId="166" fontId="0" fillId="2" borderId="121" xfId="0" applyFill="1" applyBorder="1" applyAlignment="1">
      <alignment horizontal="center" vertical="center" wrapText="1"/>
    </xf>
    <xf numFmtId="3" fontId="0" fillId="2" borderId="70" xfId="0" applyNumberFormat="1" applyFill="1" applyBorder="1" applyAlignment="1">
      <alignment horizontal="center" vertical="center" wrapText="1"/>
    </xf>
    <xf numFmtId="9" fontId="0" fillId="2" borderId="70" xfId="3" applyFont="1" applyFill="1" applyBorder="1" applyAlignment="1">
      <alignment horizontal="center" vertical="center" wrapText="1"/>
    </xf>
    <xf numFmtId="166" fontId="0" fillId="2" borderId="70" xfId="0" applyFill="1" applyBorder="1" applyAlignment="1">
      <alignment horizontal="center" vertical="center" wrapText="1"/>
    </xf>
    <xf numFmtId="9" fontId="0" fillId="2" borderId="37" xfId="3" applyFont="1" applyFill="1" applyBorder="1" applyAlignment="1">
      <alignment horizontal="center" vertical="center" wrapText="1"/>
    </xf>
    <xf numFmtId="3" fontId="0" fillId="2" borderId="91" xfId="0" applyNumberFormat="1" applyFill="1" applyBorder="1" applyAlignment="1">
      <alignment horizontal="center" vertical="center" wrapText="1"/>
    </xf>
    <xf numFmtId="9" fontId="82" fillId="2" borderId="91" xfId="0" applyNumberFormat="1" applyFont="1" applyFill="1" applyBorder="1" applyAlignment="1">
      <alignment horizontal="center" vertical="center" wrapText="1"/>
    </xf>
    <xf numFmtId="9" fontId="0" fillId="2" borderId="91" xfId="3" applyFont="1" applyFill="1" applyBorder="1" applyAlignment="1">
      <alignment horizontal="center" vertical="center" wrapText="1"/>
    </xf>
    <xf numFmtId="166" fontId="82" fillId="2" borderId="91" xfId="0" applyFont="1" applyFill="1" applyBorder="1" applyAlignment="1">
      <alignment horizontal="center" vertical="center" wrapText="1"/>
    </xf>
    <xf numFmtId="0" fontId="0" fillId="2" borderId="0" xfId="0" applyNumberFormat="1" applyFill="1" applyAlignment="1">
      <alignment vertical="center" wrapText="1"/>
    </xf>
    <xf numFmtId="166" fontId="55" fillId="9" borderId="0" xfId="0" applyFont="1" applyFill="1" applyAlignment="1">
      <alignment wrapText="1"/>
    </xf>
    <xf numFmtId="166" fontId="56" fillId="9" borderId="0" xfId="0" applyFont="1" applyFill="1" applyAlignment="1">
      <alignment wrapText="1"/>
    </xf>
    <xf numFmtId="166" fontId="56" fillId="2" borderId="0" xfId="0" applyFont="1" applyFill="1" applyAlignment="1">
      <alignment wrapText="1"/>
    </xf>
    <xf numFmtId="168" fontId="41" fillId="2" borderId="59" xfId="0" applyNumberFormat="1" applyFont="1" applyFill="1" applyBorder="1" applyAlignment="1" applyProtection="1">
      <alignment horizontal="center" vertical="center" wrapText="1"/>
      <protection locked="0"/>
    </xf>
    <xf numFmtId="3" fontId="0" fillId="2" borderId="83" xfId="0" applyNumberFormat="1" applyFill="1" applyBorder="1" applyAlignment="1">
      <alignment horizontal="center" vertical="center" wrapText="1"/>
    </xf>
    <xf numFmtId="166" fontId="57" fillId="2" borderId="0" xfId="0" applyFont="1" applyFill="1" applyAlignment="1">
      <alignment horizontal="center" vertical="center" wrapText="1"/>
    </xf>
    <xf numFmtId="1" fontId="41" fillId="2" borderId="145" xfId="0" applyNumberFormat="1" applyFont="1" applyFill="1" applyBorder="1" applyAlignment="1" applyProtection="1">
      <alignment horizontal="center" vertical="center" wrapText="1"/>
      <protection locked="0"/>
    </xf>
    <xf numFmtId="10" fontId="0" fillId="2" borderId="0" xfId="0" applyNumberFormat="1" applyFill="1" applyAlignment="1">
      <alignment horizontal="center" vertical="center" wrapText="1"/>
    </xf>
    <xf numFmtId="3" fontId="86" fillId="2" borderId="39" xfId="0" applyNumberFormat="1" applyFont="1" applyFill="1" applyBorder="1" applyAlignment="1">
      <alignment vertical="center" wrapText="1"/>
    </xf>
    <xf numFmtId="3" fontId="86" fillId="2" borderId="40" xfId="0" applyNumberFormat="1" applyFont="1" applyFill="1" applyBorder="1" applyAlignment="1">
      <alignment horizontal="center" vertical="center" wrapText="1"/>
    </xf>
    <xf numFmtId="9" fontId="86" fillId="2" borderId="48" xfId="0" applyNumberFormat="1" applyFont="1" applyFill="1" applyBorder="1" applyAlignment="1">
      <alignment horizontal="center" vertical="center" wrapText="1"/>
    </xf>
    <xf numFmtId="166" fontId="84" fillId="2" borderId="0" xfId="0" applyFont="1" applyFill="1" applyBorder="1" applyAlignment="1">
      <alignment horizontal="center" vertical="center"/>
    </xf>
    <xf numFmtId="9" fontId="84" fillId="2" borderId="0" xfId="0" applyNumberFormat="1" applyFont="1" applyFill="1" applyBorder="1" applyAlignment="1">
      <alignment vertical="center"/>
    </xf>
    <xf numFmtId="169" fontId="31" fillId="3" borderId="63" xfId="0" applyNumberFormat="1" applyFont="1" applyFill="1" applyBorder="1" applyAlignment="1">
      <alignment horizontal="center" vertical="center" wrapText="1"/>
    </xf>
    <xf numFmtId="166" fontId="0" fillId="2" borderId="0" xfId="0" applyNumberFormat="1" applyFill="1"/>
    <xf numFmtId="9" fontId="0" fillId="0" borderId="0" xfId="3" applyFont="1" applyBorder="1"/>
    <xf numFmtId="0" fontId="0" fillId="2" borderId="53" xfId="0" applyNumberFormat="1" applyFill="1" applyBorder="1" applyAlignment="1">
      <alignment vertical="center" wrapText="1"/>
    </xf>
    <xf numFmtId="166" fontId="0" fillId="2" borderId="0" xfId="0" applyNumberFormat="1" applyFill="1" applyBorder="1" applyAlignment="1">
      <alignment vertical="center" wrapText="1"/>
    </xf>
    <xf numFmtId="10" fontId="0" fillId="2" borderId="0" xfId="0" applyNumberFormat="1" applyFill="1" applyBorder="1" applyAlignment="1">
      <alignment horizontal="center" vertical="center" wrapText="1"/>
    </xf>
    <xf numFmtId="0" fontId="0" fillId="2" borderId="16" xfId="0" applyNumberFormat="1" applyFill="1" applyBorder="1" applyAlignment="1">
      <alignment vertical="center" wrapText="1"/>
    </xf>
    <xf numFmtId="0" fontId="0" fillId="2" borderId="58" xfId="0" applyNumberFormat="1" applyFill="1" applyBorder="1" applyAlignment="1">
      <alignment vertical="center" wrapText="1"/>
    </xf>
    <xf numFmtId="0" fontId="0" fillId="2" borderId="52" xfId="0" applyNumberFormat="1" applyFill="1" applyBorder="1" applyAlignment="1">
      <alignment vertical="center" wrapText="1"/>
    </xf>
    <xf numFmtId="166" fontId="0" fillId="2" borderId="58" xfId="0" applyFill="1" applyBorder="1" applyAlignment="1">
      <alignment horizontal="left" vertical="center" wrapText="1"/>
    </xf>
    <xf numFmtId="166" fontId="0" fillId="2" borderId="52" xfId="0" applyFill="1" applyBorder="1" applyAlignment="1">
      <alignment horizontal="left" vertical="center" wrapText="1"/>
    </xf>
    <xf numFmtId="166" fontId="0" fillId="2" borderId="16" xfId="0" applyFill="1" applyBorder="1" applyAlignment="1">
      <alignment horizontal="left" vertical="center" wrapText="1"/>
    </xf>
    <xf numFmtId="166" fontId="0" fillId="2" borderId="53" xfId="0" applyFill="1" applyBorder="1" applyAlignment="1">
      <alignment horizontal="left" vertical="center" wrapText="1"/>
    </xf>
    <xf numFmtId="166" fontId="40" fillId="6" borderId="121" xfId="0" applyFont="1" applyFill="1" applyBorder="1" applyAlignment="1" applyProtection="1">
      <alignment horizontal="center" vertical="center" wrapText="1"/>
    </xf>
    <xf numFmtId="166" fontId="0" fillId="2" borderId="58" xfId="0" applyFill="1" applyBorder="1" applyAlignment="1">
      <alignment vertical="center" wrapText="1"/>
    </xf>
    <xf numFmtId="166" fontId="0" fillId="2" borderId="104" xfId="0" applyFill="1" applyBorder="1" applyAlignment="1">
      <alignment vertical="center" wrapText="1"/>
    </xf>
    <xf numFmtId="166" fontId="0" fillId="2" borderId="99" xfId="0" applyFill="1" applyBorder="1" applyAlignment="1">
      <alignment vertical="center" wrapText="1"/>
    </xf>
    <xf numFmtId="166" fontId="0" fillId="2" borderId="99" xfId="0" applyNumberFormat="1" applyFill="1" applyBorder="1" applyAlignment="1">
      <alignment vertical="center" wrapText="1"/>
    </xf>
    <xf numFmtId="166" fontId="0" fillId="2" borderId="101" xfId="0" applyNumberFormat="1" applyFill="1" applyBorder="1" applyAlignment="1">
      <alignment vertical="center" wrapText="1"/>
    </xf>
    <xf numFmtId="166" fontId="0" fillId="2" borderId="103" xfId="0" applyNumberFormat="1" applyFill="1" applyBorder="1" applyAlignment="1">
      <alignment vertical="center" wrapText="1"/>
    </xf>
    <xf numFmtId="9" fontId="0" fillId="2" borderId="99" xfId="0" applyNumberFormat="1" applyFill="1" applyBorder="1" applyAlignment="1">
      <alignment horizontal="center" vertical="center" wrapText="1"/>
    </xf>
    <xf numFmtId="9" fontId="0" fillId="2" borderId="101" xfId="0" applyNumberFormat="1" applyFill="1" applyBorder="1" applyAlignment="1">
      <alignment horizontal="center" vertical="center" wrapText="1"/>
    </xf>
    <xf numFmtId="9" fontId="0" fillId="2" borderId="103" xfId="0" applyNumberFormat="1" applyFill="1" applyBorder="1" applyAlignment="1">
      <alignment horizontal="center" vertical="center" wrapText="1"/>
    </xf>
    <xf numFmtId="166" fontId="0" fillId="2" borderId="107" xfId="0" applyFill="1" applyBorder="1" applyAlignment="1">
      <alignment horizontal="center" vertical="center" wrapText="1"/>
    </xf>
    <xf numFmtId="166" fontId="0" fillId="2" borderId="108" xfId="0" applyFill="1" applyBorder="1" applyAlignment="1">
      <alignment horizontal="center" vertical="center" wrapText="1"/>
    </xf>
    <xf numFmtId="1" fontId="0" fillId="2" borderId="99" xfId="0" applyNumberFormat="1" applyFill="1" applyBorder="1" applyAlignment="1">
      <alignment horizontal="center" vertical="center" wrapText="1"/>
    </xf>
    <xf numFmtId="1" fontId="0" fillId="2" borderId="109" xfId="0" applyNumberFormat="1" applyFill="1" applyBorder="1" applyAlignment="1">
      <alignment horizontal="center" vertical="center" wrapText="1"/>
    </xf>
    <xf numFmtId="1" fontId="0" fillId="2" borderId="101" xfId="0" applyNumberFormat="1" applyFill="1" applyBorder="1" applyAlignment="1">
      <alignment horizontal="center" vertical="center" wrapText="1"/>
    </xf>
    <xf numFmtId="1" fontId="0" fillId="2" borderId="103" xfId="0" applyNumberFormat="1" applyFill="1" applyBorder="1" applyAlignment="1">
      <alignment horizontal="center" vertical="center" wrapText="1"/>
    </xf>
    <xf numFmtId="1" fontId="0" fillId="2" borderId="154" xfId="0" applyNumberFormat="1" applyFill="1" applyBorder="1" applyAlignment="1">
      <alignment horizontal="center" vertical="center" wrapText="1"/>
    </xf>
    <xf numFmtId="166" fontId="0" fillId="2" borderId="99" xfId="0" applyNumberFormat="1" applyFill="1" applyBorder="1" applyAlignment="1">
      <alignment horizontal="left" vertical="center" wrapText="1"/>
    </xf>
    <xf numFmtId="166" fontId="0" fillId="2" borderId="101" xfId="0" applyNumberFormat="1" applyFill="1" applyBorder="1" applyAlignment="1">
      <alignment horizontal="left" vertical="center" wrapText="1"/>
    </xf>
    <xf numFmtId="166" fontId="0" fillId="2" borderId="99" xfId="0" applyFill="1" applyBorder="1" applyAlignment="1">
      <alignment horizontal="center" vertical="center" wrapText="1"/>
    </xf>
    <xf numFmtId="166" fontId="0" fillId="2" borderId="109" xfId="0" applyFill="1" applyBorder="1" applyAlignment="1">
      <alignment horizontal="center" vertical="center" wrapText="1"/>
    </xf>
    <xf numFmtId="166" fontId="0" fillId="2" borderId="155" xfId="0" applyFill="1" applyBorder="1" applyAlignment="1">
      <alignment vertical="center" wrapText="1"/>
    </xf>
    <xf numFmtId="166" fontId="0" fillId="2" borderId="104" xfId="0" applyFill="1" applyBorder="1" applyAlignment="1">
      <alignment horizontal="center" vertical="center" wrapText="1"/>
    </xf>
    <xf numFmtId="9" fontId="0" fillId="2" borderId="155" xfId="0" applyNumberFormat="1" applyFill="1" applyBorder="1" applyAlignment="1">
      <alignment horizontal="center" vertical="center" wrapText="1"/>
    </xf>
    <xf numFmtId="9" fontId="0" fillId="2" borderId="156" xfId="0" applyNumberFormat="1" applyFill="1" applyBorder="1" applyAlignment="1">
      <alignment horizontal="center" vertical="center" wrapText="1"/>
    </xf>
    <xf numFmtId="9" fontId="0" fillId="2" borderId="157" xfId="0" applyNumberFormat="1" applyFill="1" applyBorder="1" applyAlignment="1">
      <alignment horizontal="center" vertical="center" wrapText="1"/>
    </xf>
    <xf numFmtId="1" fontId="41" fillId="0" borderId="145" xfId="0" applyNumberFormat="1" applyFont="1" applyFill="1" applyBorder="1" applyAlignment="1" applyProtection="1">
      <alignment horizontal="center" vertical="center" wrapText="1"/>
    </xf>
    <xf numFmtId="166" fontId="58" fillId="10" borderId="0" xfId="0" applyFont="1" applyFill="1" applyAlignment="1">
      <alignment vertical="center" wrapText="1"/>
    </xf>
    <xf numFmtId="166" fontId="0" fillId="13" borderId="0" xfId="0" applyFill="1" applyBorder="1"/>
    <xf numFmtId="166" fontId="0" fillId="2" borderId="55" xfId="0" applyFill="1" applyBorder="1"/>
    <xf numFmtId="166" fontId="40" fillId="4" borderId="158" xfId="0" applyFont="1" applyFill="1" applyBorder="1" applyAlignment="1" applyProtection="1">
      <alignment horizontal="center" vertical="center" wrapText="1"/>
    </xf>
    <xf numFmtId="166" fontId="0" fillId="2" borderId="54" xfId="0" applyFill="1" applyBorder="1" applyAlignment="1">
      <alignment vertical="center" wrapText="1"/>
    </xf>
    <xf numFmtId="166" fontId="0" fillId="2" borderId="107" xfId="0" applyFill="1" applyBorder="1" applyAlignment="1">
      <alignment vertical="center" wrapText="1"/>
    </xf>
    <xf numFmtId="9" fontId="0" fillId="2" borderId="109" xfId="0" applyNumberFormat="1" applyFill="1" applyBorder="1" applyAlignment="1">
      <alignment horizontal="center" vertical="center" wrapText="1"/>
    </xf>
    <xf numFmtId="9" fontId="0" fillId="2" borderId="154" xfId="0" applyNumberFormat="1" applyFill="1" applyBorder="1" applyAlignment="1">
      <alignment horizontal="center" vertical="center" wrapText="1"/>
    </xf>
    <xf numFmtId="166" fontId="40" fillId="5" borderId="13" xfId="0" applyFont="1" applyFill="1" applyBorder="1" applyAlignment="1" applyProtection="1">
      <alignment horizontal="center" vertical="center" wrapText="1"/>
    </xf>
    <xf numFmtId="166" fontId="0" fillId="2" borderId="53" xfId="0" applyFill="1" applyBorder="1"/>
    <xf numFmtId="166" fontId="0" fillId="2" borderId="58" xfId="0" applyFill="1" applyBorder="1" applyAlignment="1">
      <alignment horizontal="left"/>
    </xf>
    <xf numFmtId="166" fontId="0" fillId="2" borderId="52" xfId="0" applyFill="1" applyBorder="1" applyAlignment="1">
      <alignment horizontal="left"/>
    </xf>
    <xf numFmtId="166" fontId="0" fillId="2" borderId="16" xfId="0" applyFill="1" applyBorder="1" applyAlignment="1">
      <alignment horizontal="left"/>
    </xf>
    <xf numFmtId="166" fontId="0" fillId="2" borderId="53" xfId="0" applyFill="1" applyBorder="1" applyAlignment="1">
      <alignment horizontal="left"/>
    </xf>
    <xf numFmtId="9" fontId="0" fillId="2" borderId="58" xfId="0" applyNumberFormat="1" applyFill="1" applyBorder="1" applyAlignment="1">
      <alignment horizontal="center" vertical="center"/>
    </xf>
    <xf numFmtId="9" fontId="0" fillId="2" borderId="52" xfId="0" applyNumberFormat="1" applyFill="1" applyBorder="1" applyAlignment="1">
      <alignment horizontal="center" vertical="center"/>
    </xf>
    <xf numFmtId="9" fontId="0" fillId="2" borderId="16" xfId="0" applyNumberFormat="1" applyFill="1" applyBorder="1" applyAlignment="1">
      <alignment horizontal="center" vertical="center"/>
    </xf>
    <xf numFmtId="9" fontId="0" fillId="2" borderId="53" xfId="0" applyNumberFormat="1" applyFill="1" applyBorder="1" applyAlignment="1">
      <alignment horizontal="center" vertical="center"/>
    </xf>
    <xf numFmtId="166" fontId="47" fillId="3" borderId="0" xfId="0" applyFont="1" applyFill="1" applyBorder="1" applyAlignment="1">
      <alignment horizontal="left" vertical="center"/>
    </xf>
    <xf numFmtId="166" fontId="47" fillId="0" borderId="51" xfId="0" applyFont="1" applyFill="1" applyBorder="1" applyAlignment="1">
      <alignment horizontal="left" vertical="center"/>
    </xf>
    <xf numFmtId="166" fontId="0" fillId="2" borderId="159" xfId="0" applyFill="1" applyBorder="1" applyAlignment="1">
      <alignment vertical="center" wrapText="1"/>
    </xf>
    <xf numFmtId="166" fontId="0" fillId="2" borderId="103" xfId="0" applyFill="1" applyBorder="1" applyAlignment="1">
      <alignment vertical="center" wrapText="1"/>
    </xf>
    <xf numFmtId="166" fontId="0" fillId="2" borderId="160" xfId="0" applyFill="1" applyBorder="1" applyAlignment="1">
      <alignment vertical="center" wrapText="1"/>
    </xf>
    <xf numFmtId="166" fontId="0" fillId="2" borderId="159" xfId="0" applyFill="1" applyBorder="1" applyAlignment="1">
      <alignment horizontal="center" vertical="center" wrapText="1"/>
    </xf>
    <xf numFmtId="166" fontId="0" fillId="2" borderId="155" xfId="0" applyFill="1" applyBorder="1" applyAlignment="1">
      <alignment horizontal="center" vertical="center" wrapText="1"/>
    </xf>
    <xf numFmtId="168" fontId="89" fillId="2" borderId="0" xfId="216" applyNumberFormat="1" applyFont="1" applyFill="1" applyProtection="1">
      <protection locked="0"/>
    </xf>
    <xf numFmtId="3" fontId="0" fillId="0" borderId="101" xfId="0" applyNumberFormat="1" applyBorder="1" applyAlignment="1">
      <alignment horizontal="right" vertical="center"/>
    </xf>
    <xf numFmtId="3" fontId="0" fillId="0" borderId="0" xfId="0" applyNumberFormat="1" applyAlignment="1">
      <alignment horizontal="right" vertical="center"/>
    </xf>
    <xf numFmtId="9" fontId="41" fillId="5" borderId="145" xfId="0" applyNumberFormat="1" applyFont="1" applyFill="1" applyBorder="1" applyAlignment="1" applyProtection="1">
      <alignment horizontal="center" vertical="center" wrapText="1"/>
    </xf>
    <xf numFmtId="9" fontId="41" fillId="5" borderId="145" xfId="3" applyNumberFormat="1" applyFont="1" applyFill="1" applyBorder="1" applyAlignment="1" applyProtection="1">
      <alignment horizontal="center" vertical="center" wrapText="1"/>
    </xf>
    <xf numFmtId="166" fontId="0" fillId="0" borderId="0" xfId="0" applyNumberFormat="1" applyFill="1" applyAlignment="1">
      <alignment horizontal="left" vertical="center"/>
    </xf>
    <xf numFmtId="166" fontId="44" fillId="15" borderId="35" xfId="0" applyFont="1" applyFill="1" applyBorder="1" applyAlignment="1" applyProtection="1">
      <alignment horizontal="center" vertical="center" wrapText="1"/>
    </xf>
    <xf numFmtId="0" fontId="38" fillId="7" borderId="31"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protection locked="0"/>
    </xf>
    <xf numFmtId="0" fontId="33" fillId="3" borderId="17" xfId="0" applyNumberFormat="1" applyFont="1" applyFill="1" applyBorder="1" applyAlignment="1" applyProtection="1">
      <alignment horizontal="center" vertical="center"/>
      <protection locked="0"/>
    </xf>
    <xf numFmtId="0" fontId="32" fillId="2" borderId="0" xfId="0" applyNumberFormat="1" applyFont="1" applyFill="1" applyBorder="1" applyAlignment="1" applyProtection="1">
      <alignment horizontal="left"/>
      <protection locked="0"/>
    </xf>
    <xf numFmtId="0" fontId="41" fillId="3" borderId="145" xfId="0" applyNumberFormat="1" applyFont="1" applyFill="1" applyBorder="1" applyAlignment="1" applyProtection="1">
      <alignment horizontal="center" vertical="center" wrapText="1"/>
      <protection locked="0"/>
    </xf>
    <xf numFmtId="170" fontId="33" fillId="3" borderId="18" xfId="0" applyNumberFormat="1" applyFont="1" applyFill="1" applyBorder="1" applyAlignment="1" applyProtection="1">
      <alignment horizontal="center" vertical="center"/>
      <protection locked="0"/>
    </xf>
    <xf numFmtId="166" fontId="41" fillId="3" borderId="162" xfId="0" applyNumberFormat="1" applyFont="1" applyFill="1" applyBorder="1" applyAlignment="1" applyProtection="1">
      <alignment horizontal="center" vertical="center" wrapText="1"/>
      <protection locked="0"/>
    </xf>
    <xf numFmtId="166" fontId="41" fillId="3" borderId="163" xfId="0" applyNumberFormat="1" applyFont="1" applyFill="1" applyBorder="1" applyAlignment="1" applyProtection="1">
      <alignment horizontal="center" vertical="center" wrapText="1"/>
      <protection locked="0"/>
    </xf>
    <xf numFmtId="166" fontId="41" fillId="3" borderId="145" xfId="0" applyFont="1" applyFill="1" applyBorder="1" applyAlignment="1" applyProtection="1">
      <alignment horizontal="center" vertical="center" wrapText="1"/>
      <protection locked="0"/>
    </xf>
    <xf numFmtId="15" fontId="41" fillId="3" borderId="145" xfId="0" applyNumberFormat="1" applyFont="1" applyFill="1" applyBorder="1" applyAlignment="1" applyProtection="1">
      <alignment horizontal="center" vertical="center" wrapText="1"/>
      <protection locked="0"/>
    </xf>
    <xf numFmtId="166" fontId="41" fillId="3" borderId="164" xfId="0" applyNumberFormat="1" applyFont="1" applyFill="1" applyBorder="1" applyAlignment="1" applyProtection="1">
      <alignment horizontal="center" vertical="center" wrapText="1"/>
      <protection locked="0"/>
    </xf>
    <xf numFmtId="166" fontId="38" fillId="14" borderId="123" xfId="0" applyFont="1" applyFill="1" applyBorder="1" applyAlignment="1" applyProtection="1">
      <alignment horizontal="center" vertical="center" wrapText="1"/>
    </xf>
    <xf numFmtId="166" fontId="38" fillId="14" borderId="166" xfId="0" applyFont="1" applyFill="1" applyBorder="1" applyAlignment="1" applyProtection="1">
      <alignment horizontal="center" vertical="center" wrapText="1"/>
    </xf>
    <xf numFmtId="166" fontId="38" fillId="7" borderId="167" xfId="0" applyFont="1" applyFill="1" applyBorder="1" applyAlignment="1" applyProtection="1">
      <alignment horizontal="center" vertical="center" wrapText="1"/>
    </xf>
    <xf numFmtId="166" fontId="38" fillId="7" borderId="168" xfId="0" applyFont="1" applyFill="1" applyBorder="1" applyAlignment="1" applyProtection="1">
      <alignment horizontal="center" vertical="center" wrapText="1"/>
    </xf>
    <xf numFmtId="1" fontId="41" fillId="0" borderId="169" xfId="0" applyNumberFormat="1" applyFont="1" applyFill="1" applyBorder="1" applyAlignment="1" applyProtection="1">
      <alignment horizontal="center" vertical="center" wrapText="1"/>
      <protection locked="0"/>
    </xf>
    <xf numFmtId="1" fontId="41" fillId="0" borderId="170" xfId="0" applyNumberFormat="1" applyFont="1" applyFill="1" applyBorder="1" applyAlignment="1" applyProtection="1">
      <alignment horizontal="center" vertical="center" wrapText="1"/>
      <protection locked="0"/>
    </xf>
    <xf numFmtId="1" fontId="41" fillId="0" borderId="171" xfId="0" applyNumberFormat="1" applyFont="1" applyFill="1" applyBorder="1" applyAlignment="1" applyProtection="1">
      <alignment horizontal="center" vertical="center" wrapText="1"/>
      <protection locked="0"/>
    </xf>
    <xf numFmtId="1" fontId="41" fillId="0" borderId="61" xfId="0" applyNumberFormat="1" applyFont="1" applyFill="1" applyBorder="1" applyAlignment="1" applyProtection="1">
      <alignment horizontal="center" vertical="center" wrapText="1"/>
      <protection locked="0"/>
    </xf>
    <xf numFmtId="0" fontId="41" fillId="0" borderId="145" xfId="0" applyNumberFormat="1" applyFont="1" applyFill="1" applyBorder="1" applyAlignment="1" applyProtection="1">
      <alignment horizontal="center" vertical="center" wrapText="1"/>
      <protection locked="0"/>
    </xf>
    <xf numFmtId="1" fontId="41" fillId="4" borderId="170" xfId="0" applyNumberFormat="1" applyFont="1" applyFill="1" applyBorder="1" applyAlignment="1" applyProtection="1">
      <alignment horizontal="center" vertical="center" wrapText="1"/>
    </xf>
    <xf numFmtId="9" fontId="35" fillId="0" borderId="59" xfId="0" applyNumberFormat="1" applyFont="1" applyFill="1" applyBorder="1" applyAlignment="1" applyProtection="1">
      <alignment horizontal="center" vertical="center" wrapText="1"/>
      <protection locked="0"/>
    </xf>
    <xf numFmtId="1" fontId="41" fillId="4" borderId="145" xfId="0" applyNumberFormat="1" applyFont="1" applyFill="1" applyBorder="1" applyAlignment="1" applyProtection="1">
      <alignment horizontal="center" vertical="center" wrapText="1"/>
    </xf>
    <xf numFmtId="166" fontId="90" fillId="2" borderId="0" xfId="0" applyFont="1" applyFill="1" applyBorder="1" applyAlignment="1" applyProtection="1">
      <alignment horizontal="left" vertical="center" wrapText="1"/>
      <protection locked="0"/>
    </xf>
    <xf numFmtId="1" fontId="90" fillId="5" borderId="145" xfId="0" applyNumberFormat="1" applyFont="1" applyFill="1" applyBorder="1" applyAlignment="1" applyProtection="1">
      <alignment horizontal="center" vertical="center" wrapText="1"/>
    </xf>
    <xf numFmtId="1" fontId="90" fillId="4" borderId="145" xfId="0" applyNumberFormat="1" applyFont="1" applyFill="1" applyBorder="1" applyAlignment="1" applyProtection="1">
      <alignment horizontal="center" vertical="center" wrapText="1"/>
    </xf>
    <xf numFmtId="9" fontId="41" fillId="0" borderId="145" xfId="3" applyFont="1" applyFill="1" applyBorder="1" applyAlignment="1" applyProtection="1">
      <alignment horizontal="center" vertical="center" wrapText="1"/>
    </xf>
    <xf numFmtId="1" fontId="35" fillId="0" borderId="59" xfId="0" applyNumberFormat="1" applyFont="1" applyFill="1" applyBorder="1" applyAlignment="1" applyProtection="1">
      <alignment horizontal="center" vertical="center" wrapText="1"/>
      <protection locked="0"/>
    </xf>
    <xf numFmtId="1" fontId="35" fillId="0" borderId="145" xfId="0" applyNumberFormat="1" applyFont="1" applyFill="1" applyBorder="1" applyAlignment="1" applyProtection="1">
      <alignment horizontal="center" vertical="center" wrapText="1"/>
      <protection locked="0"/>
    </xf>
    <xf numFmtId="15" fontId="35" fillId="3" borderId="145" xfId="0" applyNumberFormat="1" applyFont="1" applyFill="1" applyBorder="1" applyAlignment="1" applyProtection="1">
      <alignment horizontal="center" vertical="center" wrapText="1"/>
      <protection locked="0"/>
    </xf>
    <xf numFmtId="166" fontId="35" fillId="3" borderId="164" xfId="0" applyNumberFormat="1" applyFont="1" applyFill="1" applyBorder="1" applyAlignment="1" applyProtection="1">
      <alignment horizontal="center" vertical="center" wrapText="1"/>
      <protection locked="0"/>
    </xf>
    <xf numFmtId="9" fontId="35" fillId="2" borderId="59" xfId="0" applyNumberFormat="1" applyFont="1" applyFill="1" applyBorder="1" applyAlignment="1" applyProtection="1">
      <alignment horizontal="center" vertical="center" wrapText="1"/>
      <protection locked="0"/>
    </xf>
    <xf numFmtId="9" fontId="35" fillId="2" borderId="61" xfId="0" applyNumberFormat="1" applyFont="1" applyFill="1" applyBorder="1" applyAlignment="1" applyProtection="1">
      <alignment horizontal="center" vertical="center" wrapText="1"/>
      <protection locked="0"/>
    </xf>
    <xf numFmtId="1" fontId="35" fillId="2" borderId="145" xfId="0" applyNumberFormat="1" applyFont="1" applyFill="1" applyBorder="1" applyAlignment="1" applyProtection="1">
      <alignment horizontal="center" vertical="center" wrapText="1"/>
      <protection locked="0"/>
    </xf>
    <xf numFmtId="9" fontId="35" fillId="2" borderId="145" xfId="3" applyFont="1" applyFill="1" applyBorder="1" applyAlignment="1" applyProtection="1">
      <alignment horizontal="center" vertical="center" wrapText="1"/>
      <protection locked="0"/>
    </xf>
    <xf numFmtId="9" fontId="35" fillId="0" borderId="145" xfId="3" applyFont="1" applyFill="1" applyBorder="1" applyAlignment="1" applyProtection="1">
      <alignment horizontal="center" vertical="center" wrapText="1"/>
      <protection locked="0"/>
    </xf>
    <xf numFmtId="168" fontId="35" fillId="0" borderId="59" xfId="0" applyNumberFormat="1" applyFont="1" applyFill="1" applyBorder="1" applyAlignment="1" applyProtection="1">
      <alignment horizontal="center" vertical="center" wrapText="1"/>
      <protection locked="0"/>
    </xf>
    <xf numFmtId="9" fontId="35" fillId="0" borderId="61" xfId="0" applyNumberFormat="1" applyFont="1" applyFill="1" applyBorder="1" applyAlignment="1" applyProtection="1">
      <alignment horizontal="center" vertical="center" wrapText="1"/>
      <protection locked="0"/>
    </xf>
    <xf numFmtId="1" fontId="35" fillId="0" borderId="61" xfId="0" applyNumberFormat="1" applyFont="1" applyFill="1" applyBorder="1" applyAlignment="1" applyProtection="1">
      <alignment horizontal="center" vertical="center" wrapText="1"/>
      <protection locked="0"/>
    </xf>
    <xf numFmtId="168" fontId="35" fillId="2" borderId="59" xfId="0" applyNumberFormat="1" applyFont="1" applyFill="1" applyBorder="1" applyAlignment="1" applyProtection="1">
      <alignment horizontal="center" vertical="center" wrapText="1"/>
      <protection locked="0"/>
    </xf>
    <xf numFmtId="166" fontId="35" fillId="3" borderId="145" xfId="0" applyNumberFormat="1" applyFont="1" applyFill="1" applyBorder="1" applyAlignment="1" applyProtection="1">
      <alignment horizontal="center" vertical="center" wrapText="1"/>
      <protection locked="0"/>
    </xf>
    <xf numFmtId="1" fontId="35" fillId="0" borderId="145" xfId="0" applyNumberFormat="1" applyFont="1" applyFill="1" applyBorder="1" applyAlignment="1" applyProtection="1">
      <alignment horizontal="center" vertical="center" wrapText="1"/>
    </xf>
    <xf numFmtId="166" fontId="35" fillId="2" borderId="0" xfId="0" applyFont="1" applyFill="1" applyBorder="1" applyAlignment="1" applyProtection="1">
      <alignment horizontal="left" vertical="center" wrapText="1"/>
      <protection locked="0"/>
    </xf>
    <xf numFmtId="166" fontId="35" fillId="3" borderId="145" xfId="0" applyFont="1" applyFill="1" applyBorder="1" applyAlignment="1" applyProtection="1">
      <alignment horizontal="center" vertical="center" wrapText="1"/>
      <protection locked="0"/>
    </xf>
    <xf numFmtId="1" fontId="35" fillId="5" borderId="145" xfId="0" applyNumberFormat="1" applyFont="1" applyFill="1" applyBorder="1" applyAlignment="1" applyProtection="1">
      <alignment horizontal="center" vertical="center" wrapText="1"/>
    </xf>
    <xf numFmtId="1" fontId="35" fillId="2" borderId="59" xfId="0" applyNumberFormat="1" applyFont="1" applyFill="1" applyBorder="1" applyAlignment="1" applyProtection="1">
      <alignment horizontal="center" vertical="center" wrapText="1"/>
      <protection locked="0"/>
    </xf>
    <xf numFmtId="1" fontId="35" fillId="2" borderId="61" xfId="0" applyNumberFormat="1" applyFont="1" applyFill="1" applyBorder="1" applyAlignment="1" applyProtection="1">
      <alignment horizontal="center" vertical="center" wrapText="1"/>
      <protection locked="0"/>
    </xf>
    <xf numFmtId="9" fontId="41" fillId="2" borderId="59" xfId="0" applyNumberFormat="1" applyFont="1" applyFill="1" applyBorder="1" applyAlignment="1" applyProtection="1">
      <alignment horizontal="center" vertical="center" wrapText="1"/>
      <protection locked="0"/>
    </xf>
    <xf numFmtId="9" fontId="35" fillId="0" borderId="145" xfId="3" applyFont="1" applyBorder="1" applyAlignment="1">
      <alignment horizontal="center" vertical="center"/>
    </xf>
    <xf numFmtId="9" fontId="0" fillId="0" borderId="145" xfId="3" applyFont="1" applyBorder="1" applyAlignment="1">
      <alignment horizontal="center" vertical="center"/>
    </xf>
    <xf numFmtId="171" fontId="41" fillId="2" borderId="59" xfId="0" applyNumberFormat="1" applyFont="1" applyFill="1" applyBorder="1" applyAlignment="1" applyProtection="1">
      <alignment horizontal="center" vertical="center" wrapText="1"/>
      <protection locked="0"/>
    </xf>
    <xf numFmtId="166" fontId="41" fillId="3" borderId="145" xfId="0" applyFont="1" applyFill="1" applyBorder="1" applyAlignment="1" applyProtection="1">
      <alignment horizontal="left" vertical="center" wrapText="1"/>
      <protection locked="0"/>
    </xf>
    <xf numFmtId="166" fontId="35" fillId="3" borderId="145" xfId="0" applyFont="1" applyFill="1" applyBorder="1" applyAlignment="1" applyProtection="1">
      <alignment horizontal="left" vertical="center" wrapText="1"/>
      <protection locked="0"/>
    </xf>
    <xf numFmtId="9" fontId="41" fillId="4" borderId="145" xfId="0" applyNumberFormat="1" applyFont="1" applyFill="1" applyBorder="1" applyAlignment="1" applyProtection="1">
      <alignment horizontal="center" vertical="center" wrapText="1"/>
    </xf>
    <xf numFmtId="1" fontId="41" fillId="5" borderId="145" xfId="0" applyNumberFormat="1" applyFont="1" applyFill="1" applyBorder="1" applyAlignment="1" applyProtection="1">
      <alignment horizontal="center" vertical="center" wrapText="1"/>
    </xf>
    <xf numFmtId="3" fontId="41" fillId="5" borderId="145" xfId="0" applyNumberFormat="1" applyFont="1" applyFill="1" applyBorder="1" applyAlignment="1" applyProtection="1">
      <alignment horizontal="center" vertical="center" wrapText="1"/>
    </xf>
    <xf numFmtId="168" fontId="41" fillId="6" borderId="145" xfId="0" applyNumberFormat="1" applyFont="1" applyFill="1" applyBorder="1" applyAlignment="1" applyProtection="1">
      <alignment horizontal="center" vertical="center" wrapText="1"/>
      <protection locked="0"/>
    </xf>
    <xf numFmtId="1" fontId="41" fillId="6" borderId="145" xfId="0" applyNumberFormat="1" applyFont="1" applyFill="1" applyBorder="1" applyAlignment="1" applyProtection="1">
      <alignment horizontal="center" vertical="center" wrapText="1"/>
    </xf>
    <xf numFmtId="9" fontId="41" fillId="6" borderId="145" xfId="0" applyNumberFormat="1" applyFont="1" applyFill="1" applyBorder="1" applyAlignment="1" applyProtection="1">
      <alignment horizontal="center" vertical="center" wrapText="1"/>
    </xf>
    <xf numFmtId="166" fontId="41" fillId="6" borderId="145" xfId="0" applyFont="1" applyFill="1" applyBorder="1" applyAlignment="1" applyProtection="1">
      <alignment horizontal="center" vertical="center" wrapText="1"/>
    </xf>
    <xf numFmtId="166" fontId="41" fillId="3" borderId="169" xfId="0" applyFont="1" applyFill="1" applyBorder="1" applyAlignment="1" applyProtection="1">
      <alignment horizontal="left" vertical="center" wrapText="1"/>
      <protection locked="0"/>
    </xf>
    <xf numFmtId="166" fontId="41" fillId="3" borderId="170" xfId="0" applyFont="1" applyFill="1" applyBorder="1" applyAlignment="1" applyProtection="1">
      <alignment horizontal="center" vertical="center" wrapText="1"/>
      <protection locked="0"/>
    </xf>
    <xf numFmtId="166" fontId="35" fillId="3" borderId="170" xfId="0" applyFont="1" applyFill="1" applyBorder="1" applyAlignment="1" applyProtection="1">
      <alignment horizontal="left" vertical="center" wrapText="1"/>
      <protection locked="0"/>
    </xf>
    <xf numFmtId="1" fontId="41" fillId="0" borderId="61" xfId="1" applyNumberFormat="1" applyFont="1" applyFill="1" applyBorder="1" applyAlignment="1">
      <alignment horizontal="center" vertical="center"/>
    </xf>
    <xf numFmtId="1" fontId="35" fillId="0" borderId="61" xfId="1" applyNumberFormat="1" applyFont="1" applyFill="1" applyBorder="1" applyAlignment="1">
      <alignment horizontal="center" vertical="center"/>
    </xf>
    <xf numFmtId="1" fontId="41" fillId="2" borderId="61" xfId="0" applyNumberFormat="1" applyFont="1" applyFill="1" applyBorder="1" applyAlignment="1" applyProtection="1">
      <alignment horizontal="center" vertical="center" wrapText="1"/>
      <protection locked="0"/>
    </xf>
    <xf numFmtId="166" fontId="41" fillId="3" borderId="61" xfId="0" applyNumberFormat="1" applyFont="1" applyFill="1" applyBorder="1" applyAlignment="1" applyProtection="1">
      <alignment horizontal="center" vertical="center" wrapText="1"/>
      <protection locked="0"/>
    </xf>
    <xf numFmtId="166" fontId="32" fillId="3" borderId="61" xfId="0" applyFont="1" applyFill="1" applyBorder="1" applyAlignment="1" applyProtection="1">
      <alignment horizontal="center"/>
      <protection locked="0"/>
    </xf>
    <xf numFmtId="166" fontId="41" fillId="3" borderId="144" xfId="0" applyFont="1" applyFill="1" applyBorder="1" applyAlignment="1" applyProtection="1">
      <alignment horizontal="center" vertical="center" wrapText="1"/>
      <protection locked="0"/>
    </xf>
    <xf numFmtId="166" fontId="35" fillId="3" borderId="144" xfId="0" applyFont="1" applyFill="1" applyBorder="1" applyAlignment="1" applyProtection="1">
      <alignment horizontal="center" vertical="center" wrapText="1"/>
      <protection locked="0"/>
    </xf>
    <xf numFmtId="166" fontId="32" fillId="3" borderId="144" xfId="0" applyFont="1" applyFill="1" applyBorder="1" applyAlignment="1" applyProtection="1">
      <alignment horizontal="center"/>
      <protection locked="0"/>
    </xf>
    <xf numFmtId="166" fontId="41" fillId="3" borderId="34" xfId="0" applyFont="1" applyFill="1" applyBorder="1" applyAlignment="1" applyProtection="1">
      <alignment horizontal="center" vertical="center" wrapText="1"/>
      <protection locked="0"/>
    </xf>
    <xf numFmtId="166" fontId="35" fillId="3" borderId="34" xfId="0" applyFont="1" applyFill="1" applyBorder="1" applyAlignment="1" applyProtection="1">
      <alignment horizontal="center" vertical="center" wrapText="1"/>
      <protection locked="0"/>
    </xf>
    <xf numFmtId="166" fontId="41" fillId="3" borderId="61" xfId="0" applyFont="1" applyFill="1" applyBorder="1" applyAlignment="1" applyProtection="1">
      <alignment horizontal="center" vertical="center" wrapText="1"/>
      <protection locked="0"/>
    </xf>
    <xf numFmtId="166" fontId="32" fillId="3" borderId="61" xfId="0" applyFont="1" applyFill="1" applyBorder="1" applyAlignment="1" applyProtection="1">
      <alignment horizontal="left"/>
      <protection locked="0"/>
    </xf>
    <xf numFmtId="1" fontId="41" fillId="2" borderId="59" xfId="0" applyNumberFormat="1" applyFont="1" applyFill="1" applyBorder="1" applyAlignment="1" applyProtection="1">
      <alignment horizontal="center" vertical="center" wrapText="1"/>
      <protection locked="0"/>
    </xf>
    <xf numFmtId="9" fontId="41" fillId="4" borderId="169" xfId="0" applyNumberFormat="1" applyFont="1" applyFill="1" applyBorder="1" applyAlignment="1" applyProtection="1">
      <alignment horizontal="center" vertical="center" wrapText="1"/>
    </xf>
    <xf numFmtId="9" fontId="41" fillId="4" borderId="170" xfId="0" applyNumberFormat="1" applyFont="1" applyFill="1" applyBorder="1" applyAlignment="1" applyProtection="1">
      <alignment horizontal="center" vertical="center" wrapText="1"/>
    </xf>
    <xf numFmtId="9" fontId="41" fillId="4" borderId="59" xfId="0" applyNumberFormat="1" applyFont="1" applyFill="1" applyBorder="1" applyAlignment="1" applyProtection="1">
      <alignment horizontal="center" vertical="center" wrapText="1"/>
    </xf>
    <xf numFmtId="9" fontId="35" fillId="4" borderId="145" xfId="0" applyNumberFormat="1" applyFont="1" applyFill="1" applyBorder="1" applyAlignment="1" applyProtection="1">
      <alignment horizontal="center" vertical="center" wrapText="1"/>
    </xf>
    <xf numFmtId="1" fontId="35" fillId="4" borderId="145" xfId="0" applyNumberFormat="1" applyFont="1" applyFill="1" applyBorder="1" applyAlignment="1" applyProtection="1">
      <alignment horizontal="center" vertical="center" wrapText="1"/>
    </xf>
    <xf numFmtId="9" fontId="90" fillId="4" borderId="145" xfId="0" applyNumberFormat="1" applyFont="1" applyFill="1" applyBorder="1" applyAlignment="1" applyProtection="1">
      <alignment horizontal="center" vertical="center" wrapText="1"/>
    </xf>
    <xf numFmtId="1" fontId="41" fillId="4" borderId="173" xfId="0" applyNumberFormat="1" applyFont="1" applyFill="1" applyBorder="1" applyAlignment="1" applyProtection="1">
      <alignment horizontal="center" vertical="center" wrapText="1"/>
    </xf>
    <xf numFmtId="1" fontId="41" fillId="4" borderId="143" xfId="0" applyNumberFormat="1" applyFont="1" applyFill="1" applyBorder="1" applyAlignment="1" applyProtection="1">
      <alignment horizontal="center" vertical="center" wrapText="1"/>
    </xf>
    <xf numFmtId="9" fontId="41" fillId="2" borderId="60" xfId="0" applyNumberFormat="1" applyFont="1" applyFill="1" applyBorder="1" applyAlignment="1" applyProtection="1">
      <alignment horizontal="center" vertical="center" wrapText="1"/>
      <protection locked="0"/>
    </xf>
    <xf numFmtId="9" fontId="35" fillId="2" borderId="60" xfId="0" applyNumberFormat="1" applyFont="1" applyFill="1" applyBorder="1" applyAlignment="1" applyProtection="1">
      <alignment horizontal="center" vertical="center" wrapText="1"/>
      <protection locked="0"/>
    </xf>
    <xf numFmtId="166" fontId="32" fillId="2" borderId="60" xfId="0" applyFont="1" applyFill="1" applyBorder="1" applyAlignment="1" applyProtection="1">
      <alignment horizontal="center"/>
      <protection locked="0"/>
    </xf>
    <xf numFmtId="1" fontId="41" fillId="2" borderId="170" xfId="0" applyNumberFormat="1" applyFont="1" applyFill="1" applyBorder="1" applyAlignment="1" applyProtection="1">
      <alignment horizontal="center" vertical="center" wrapText="1"/>
      <protection locked="0"/>
    </xf>
    <xf numFmtId="9" fontId="41" fillId="5" borderId="170" xfId="0" applyNumberFormat="1" applyFont="1" applyFill="1" applyBorder="1" applyAlignment="1" applyProtection="1">
      <alignment horizontal="center" vertical="center" wrapText="1"/>
    </xf>
    <xf numFmtId="1" fontId="41" fillId="5" borderId="170" xfId="0" applyNumberFormat="1" applyFont="1" applyFill="1" applyBorder="1" applyAlignment="1" applyProtection="1">
      <alignment horizontal="center" vertical="center" wrapText="1"/>
    </xf>
    <xf numFmtId="9" fontId="41" fillId="5" borderId="170" xfId="3" applyNumberFormat="1" applyFont="1" applyFill="1" applyBorder="1" applyAlignment="1" applyProtection="1">
      <alignment horizontal="center" vertical="center" wrapText="1"/>
    </xf>
    <xf numFmtId="3" fontId="41" fillId="5" borderId="170" xfId="0" applyNumberFormat="1" applyFont="1" applyFill="1" applyBorder="1" applyAlignment="1" applyProtection="1">
      <alignment horizontal="center" vertical="center" wrapText="1"/>
    </xf>
    <xf numFmtId="9" fontId="41" fillId="2" borderId="171" xfId="0" applyNumberFormat="1" applyFont="1" applyFill="1" applyBorder="1" applyAlignment="1" applyProtection="1">
      <alignment horizontal="center" vertical="center" wrapText="1"/>
      <protection locked="0"/>
    </xf>
    <xf numFmtId="9" fontId="35" fillId="5" borderId="145" xfId="0" applyNumberFormat="1" applyFont="1" applyFill="1" applyBorder="1" applyAlignment="1" applyProtection="1">
      <alignment horizontal="center" vertical="center" wrapText="1"/>
    </xf>
    <xf numFmtId="9" fontId="35" fillId="5" borderId="145" xfId="3" applyNumberFormat="1" applyFont="1" applyFill="1" applyBorder="1" applyAlignment="1" applyProtection="1">
      <alignment horizontal="center" vertical="center" wrapText="1"/>
    </xf>
    <xf numFmtId="9" fontId="35" fillId="0" borderId="145" xfId="3" applyFont="1" applyFill="1" applyBorder="1" applyAlignment="1" applyProtection="1">
      <alignment horizontal="center" vertical="center" wrapText="1"/>
    </xf>
    <xf numFmtId="3" fontId="35" fillId="5" borderId="145" xfId="0" applyNumberFormat="1" applyFont="1" applyFill="1" applyBorder="1" applyAlignment="1" applyProtection="1">
      <alignment horizontal="center" vertical="center" wrapText="1"/>
    </xf>
    <xf numFmtId="3" fontId="41" fillId="5" borderId="172" xfId="0" applyNumberFormat="1" applyFont="1" applyFill="1" applyBorder="1" applyAlignment="1" applyProtection="1">
      <alignment horizontal="center" vertical="center" wrapText="1"/>
    </xf>
    <xf numFmtId="3" fontId="41" fillId="5" borderId="144" xfId="0" applyNumberFormat="1" applyFont="1" applyFill="1" applyBorder="1" applyAlignment="1" applyProtection="1">
      <alignment horizontal="center" vertical="center" wrapText="1"/>
    </xf>
    <xf numFmtId="9" fontId="41" fillId="0" borderId="61" xfId="3" applyFont="1" applyFill="1" applyBorder="1" applyAlignment="1" applyProtection="1">
      <alignment horizontal="center" vertical="center" wrapText="1"/>
      <protection locked="0"/>
    </xf>
    <xf numFmtId="9" fontId="35" fillId="0" borderId="61" xfId="3" applyFont="1" applyFill="1" applyBorder="1" applyAlignment="1" applyProtection="1">
      <alignment horizontal="center" vertical="center" wrapText="1"/>
      <protection locked="0"/>
    </xf>
    <xf numFmtId="166" fontId="38" fillId="5" borderId="168" xfId="0" applyFont="1" applyFill="1" applyBorder="1" applyAlignment="1" applyProtection="1">
      <alignment horizontal="center" vertical="center" wrapText="1"/>
    </xf>
    <xf numFmtId="168" fontId="41" fillId="6" borderId="170" xfId="0" applyNumberFormat="1" applyFont="1" applyFill="1" applyBorder="1" applyAlignment="1" applyProtection="1">
      <alignment horizontal="center" vertical="center" wrapText="1"/>
      <protection locked="0"/>
    </xf>
    <xf numFmtId="1" fontId="41" fillId="6" borderId="170" xfId="0" applyNumberFormat="1" applyFont="1" applyFill="1" applyBorder="1" applyAlignment="1" applyProtection="1">
      <alignment horizontal="center" vertical="center" wrapText="1"/>
    </xf>
    <xf numFmtId="9" fontId="41" fillId="6" borderId="170" xfId="0" applyNumberFormat="1" applyFont="1" applyFill="1" applyBorder="1" applyAlignment="1" applyProtection="1">
      <alignment horizontal="center" vertical="center" wrapText="1"/>
    </xf>
    <xf numFmtId="1" fontId="41" fillId="6" borderId="171" xfId="0" applyNumberFormat="1" applyFont="1" applyFill="1" applyBorder="1" applyAlignment="1" applyProtection="1">
      <alignment horizontal="center" vertical="center" wrapText="1"/>
    </xf>
    <xf numFmtId="1" fontId="41" fillId="6" borderId="61" xfId="0" applyNumberFormat="1" applyFont="1" applyFill="1" applyBorder="1" applyAlignment="1" applyProtection="1">
      <alignment horizontal="center" vertical="center" wrapText="1"/>
    </xf>
    <xf numFmtId="168" fontId="35" fillId="6" borderId="145" xfId="0" applyNumberFormat="1" applyFont="1" applyFill="1" applyBorder="1" applyAlignment="1" applyProtection="1">
      <alignment horizontal="center" vertical="center" wrapText="1"/>
      <protection locked="0"/>
    </xf>
    <xf numFmtId="1" fontId="35" fillId="6" borderId="145" xfId="0" applyNumberFormat="1" applyFont="1" applyFill="1" applyBorder="1" applyAlignment="1" applyProtection="1">
      <alignment horizontal="center" vertical="center" wrapText="1"/>
    </xf>
    <xf numFmtId="9" fontId="35" fillId="6" borderId="145" xfId="0" applyNumberFormat="1" applyFont="1" applyFill="1" applyBorder="1" applyAlignment="1" applyProtection="1">
      <alignment horizontal="center" vertical="center" wrapText="1"/>
    </xf>
    <xf numFmtId="1" fontId="35" fillId="6" borderId="61" xfId="0" applyNumberFormat="1" applyFont="1" applyFill="1" applyBorder="1" applyAlignment="1" applyProtection="1">
      <alignment horizontal="center" vertical="center" wrapText="1"/>
    </xf>
    <xf numFmtId="9" fontId="41" fillId="0" borderId="171" xfId="0" applyNumberFormat="1" applyFont="1" applyFill="1" applyBorder="1" applyAlignment="1" applyProtection="1">
      <alignment horizontal="center" vertical="center" wrapText="1"/>
      <protection locked="0"/>
    </xf>
    <xf numFmtId="1" fontId="41" fillId="6" borderId="161" xfId="0" applyNumberFormat="1" applyFont="1" applyFill="1" applyBorder="1" applyAlignment="1" applyProtection="1">
      <alignment horizontal="center" vertical="center" wrapText="1"/>
    </xf>
    <xf numFmtId="166" fontId="41" fillId="2" borderId="163" xfId="0" applyNumberFormat="1" applyFont="1" applyFill="1" applyBorder="1" applyAlignment="1" applyProtection="1">
      <alignment horizontal="left" vertical="center" wrapText="1"/>
      <protection locked="0"/>
    </xf>
    <xf numFmtId="166" fontId="41" fillId="2" borderId="163" xfId="0" applyFont="1" applyFill="1" applyBorder="1" applyAlignment="1" applyProtection="1">
      <alignment horizontal="left" vertical="center" wrapText="1"/>
      <protection locked="0"/>
    </xf>
    <xf numFmtId="166" fontId="35" fillId="2" borderId="163" xfId="0" applyFont="1" applyFill="1" applyBorder="1" applyAlignment="1" applyProtection="1">
      <alignment horizontal="left" vertical="center" wrapText="1"/>
      <protection locked="0"/>
    </xf>
    <xf numFmtId="166" fontId="41" fillId="0" borderId="163" xfId="0" applyFont="1" applyFill="1" applyBorder="1" applyAlignment="1" applyProtection="1">
      <alignment horizontal="left" vertical="center" wrapText="1"/>
      <protection locked="0"/>
    </xf>
    <xf numFmtId="0" fontId="41" fillId="2" borderId="163" xfId="0" applyNumberFormat="1" applyFont="1" applyFill="1" applyBorder="1" applyAlignment="1" applyProtection="1">
      <alignment horizontal="left" vertical="center" wrapText="1"/>
      <protection locked="0"/>
    </xf>
    <xf numFmtId="0" fontId="35" fillId="2" borderId="163" xfId="0" applyNumberFormat="1" applyFont="1" applyFill="1" applyBorder="1" applyAlignment="1" applyProtection="1">
      <alignment horizontal="left" vertical="center" wrapText="1"/>
      <protection locked="0"/>
    </xf>
    <xf numFmtId="166" fontId="35" fillId="2" borderId="163" xfId="0" applyNumberFormat="1" applyFont="1" applyFill="1" applyBorder="1" applyAlignment="1" applyProtection="1">
      <alignment horizontal="left" vertical="center" wrapText="1"/>
      <protection locked="0"/>
    </xf>
    <xf numFmtId="166" fontId="32" fillId="2" borderId="163" xfId="0" applyFont="1" applyFill="1" applyBorder="1" applyAlignment="1" applyProtection="1">
      <alignment horizontal="left"/>
      <protection locked="0"/>
    </xf>
    <xf numFmtId="166" fontId="41" fillId="6" borderId="170" xfId="0" applyFont="1" applyFill="1" applyBorder="1" applyAlignment="1" applyProtection="1">
      <alignment horizontal="center" vertical="center" wrapText="1"/>
    </xf>
    <xf numFmtId="166" fontId="35" fillId="6" borderId="145" xfId="0" applyFont="1" applyFill="1" applyBorder="1" applyAlignment="1" applyProtection="1">
      <alignment horizontal="center" vertical="center" wrapText="1"/>
    </xf>
    <xf numFmtId="1" fontId="83" fillId="0" borderId="145" xfId="0" applyNumberFormat="1" applyFont="1" applyFill="1" applyBorder="1" applyAlignment="1" applyProtection="1">
      <alignment horizontal="center" vertical="center" wrapText="1"/>
      <protection locked="0"/>
    </xf>
    <xf numFmtId="0" fontId="65" fillId="2" borderId="47" xfId="220" applyFont="1" applyFill="1" applyBorder="1" applyAlignment="1" applyProtection="1">
      <alignment horizontal="center" vertical="center" wrapText="1"/>
      <protection locked="0"/>
    </xf>
    <xf numFmtId="14" fontId="65" fillId="2" borderId="37" xfId="220" applyNumberFormat="1" applyFont="1" applyFill="1" applyBorder="1" applyAlignment="1" applyProtection="1">
      <alignment horizontal="center" vertical="center" wrapText="1"/>
      <protection locked="0"/>
    </xf>
    <xf numFmtId="14" fontId="65" fillId="2" borderId="78" xfId="220" applyNumberFormat="1" applyFont="1" applyFill="1" applyBorder="1" applyAlignment="1" applyProtection="1">
      <alignment horizontal="center" vertical="center" wrapText="1"/>
      <protection locked="0"/>
    </xf>
    <xf numFmtId="3" fontId="65" fillId="5" borderId="78" xfId="220" applyNumberFormat="1" applyFont="1" applyFill="1" applyBorder="1" applyAlignment="1" applyProtection="1">
      <alignment horizontal="center" vertical="center" wrapText="1"/>
      <protection locked="0"/>
    </xf>
    <xf numFmtId="9" fontId="65" fillId="2" borderId="36" xfId="220" applyNumberFormat="1" applyFont="1" applyFill="1" applyBorder="1" applyAlignment="1" applyProtection="1">
      <alignment horizontal="center" vertical="center"/>
      <protection locked="0"/>
    </xf>
    <xf numFmtId="9" fontId="65" fillId="2" borderId="37" xfId="220" applyNumberFormat="1" applyFont="1" applyFill="1" applyBorder="1" applyAlignment="1" applyProtection="1">
      <alignment horizontal="center" vertical="center"/>
      <protection locked="0"/>
    </xf>
    <xf numFmtId="9" fontId="65" fillId="2" borderId="37" xfId="220" applyNumberFormat="1" applyFont="1" applyFill="1" applyBorder="1" applyAlignment="1" applyProtection="1">
      <alignment horizontal="center" vertical="center" wrapText="1"/>
      <protection locked="0"/>
    </xf>
    <xf numFmtId="9" fontId="65" fillId="2" borderId="79" xfId="220" applyNumberFormat="1" applyFont="1" applyFill="1" applyBorder="1" applyAlignment="1" applyProtection="1">
      <alignment horizontal="center" vertical="center" wrapText="1"/>
      <protection locked="0"/>
    </xf>
    <xf numFmtId="0" fontId="65" fillId="2" borderId="78" xfId="220" applyFont="1" applyFill="1" applyBorder="1" applyAlignment="1" applyProtection="1">
      <alignment horizontal="center" vertical="center" wrapText="1"/>
      <protection locked="0"/>
    </xf>
    <xf numFmtId="9" fontId="65" fillId="2" borderId="47" xfId="220" applyNumberFormat="1" applyFont="1" applyFill="1" applyBorder="1" applyAlignment="1" applyProtection="1">
      <alignment horizontal="center" vertical="center" wrapText="1"/>
      <protection locked="0"/>
    </xf>
    <xf numFmtId="9" fontId="65" fillId="2" borderId="79" xfId="220" applyNumberFormat="1" applyFont="1" applyFill="1" applyBorder="1" applyAlignment="1" applyProtection="1">
      <alignment horizontal="center" vertical="center"/>
      <protection locked="0"/>
    </xf>
    <xf numFmtId="1" fontId="65" fillId="2" borderId="78" xfId="220" applyNumberFormat="1" applyFont="1" applyFill="1" applyBorder="1" applyAlignment="1" applyProtection="1">
      <alignment horizontal="center" vertical="center" wrapText="1"/>
      <protection locked="0"/>
    </xf>
    <xf numFmtId="1" fontId="65" fillId="2" borderId="37" xfId="220" applyNumberFormat="1" applyFont="1" applyFill="1" applyBorder="1" applyAlignment="1" applyProtection="1">
      <alignment horizontal="center" vertical="center" wrapText="1"/>
      <protection locked="0"/>
    </xf>
    <xf numFmtId="1" fontId="65" fillId="2" borderId="79" xfId="220" applyNumberFormat="1" applyFont="1" applyFill="1" applyBorder="1" applyAlignment="1" applyProtection="1">
      <alignment horizontal="center" vertical="center" wrapText="1"/>
      <protection locked="0"/>
    </xf>
    <xf numFmtId="0" fontId="65" fillId="2" borderId="120" xfId="219" applyFont="1" applyFill="1" applyBorder="1" applyAlignment="1" applyProtection="1">
      <alignment horizontal="center" vertical="center" wrapText="1"/>
      <protection locked="0"/>
    </xf>
    <xf numFmtId="0" fontId="65" fillId="2" borderId="78" xfId="219" applyFont="1" applyFill="1" applyBorder="1" applyAlignment="1" applyProtection="1">
      <alignment horizontal="center" vertical="center" wrapText="1"/>
      <protection locked="0"/>
    </xf>
    <xf numFmtId="9" fontId="65" fillId="2" borderId="47" xfId="219" applyNumberFormat="1" applyFont="1" applyFill="1" applyBorder="1" applyAlignment="1" applyProtection="1">
      <alignment horizontal="center" vertical="center" wrapText="1"/>
      <protection locked="0"/>
    </xf>
    <xf numFmtId="0" fontId="65" fillId="2" borderId="37" xfId="219" applyFont="1" applyFill="1" applyBorder="1" applyAlignment="1" applyProtection="1">
      <alignment horizontal="center" vertical="center" wrapText="1"/>
      <protection locked="0"/>
    </xf>
    <xf numFmtId="9" fontId="65" fillId="2" borderId="37" xfId="219" applyNumberFormat="1" applyFont="1" applyFill="1" applyBorder="1" applyAlignment="1" applyProtection="1">
      <alignment horizontal="center" vertical="center" wrapText="1"/>
      <protection locked="0"/>
    </xf>
    <xf numFmtId="9" fontId="65" fillId="2" borderId="36" xfId="219" applyNumberFormat="1" applyFont="1" applyFill="1" applyBorder="1" applyAlignment="1" applyProtection="1">
      <alignment horizontal="center" vertical="center" wrapText="1"/>
      <protection locked="0"/>
    </xf>
    <xf numFmtId="0" fontId="65" fillId="5" borderId="37" xfId="224" quotePrefix="1" applyFont="1" applyFill="1" applyBorder="1" applyAlignment="1" applyProtection="1">
      <alignment horizontal="center" vertical="center" wrapText="1"/>
      <protection locked="0"/>
    </xf>
    <xf numFmtId="0" fontId="74" fillId="5" borderId="78" xfId="224" applyFont="1" applyFill="1" applyBorder="1" applyAlignment="1" applyProtection="1">
      <alignment horizontal="left" vertical="center" wrapText="1"/>
      <protection locked="0"/>
    </xf>
    <xf numFmtId="0" fontId="65" fillId="5" borderId="37" xfId="224" applyFont="1" applyFill="1" applyBorder="1" applyAlignment="1" applyProtection="1">
      <alignment horizontal="center" vertical="center" wrapText="1"/>
      <protection locked="0"/>
    </xf>
    <xf numFmtId="0" fontId="74" fillId="5" borderId="37" xfId="224" applyFont="1" applyFill="1" applyBorder="1" applyAlignment="1" applyProtection="1">
      <alignment horizontal="center" vertical="center" wrapText="1"/>
      <protection locked="0"/>
    </xf>
    <xf numFmtId="0" fontId="65" fillId="2" borderId="79" xfId="224" applyFont="1" applyFill="1" applyBorder="1" applyAlignment="1" applyProtection="1">
      <alignment horizontal="left" vertical="center" wrapText="1"/>
      <protection locked="0"/>
    </xf>
    <xf numFmtId="14" fontId="65" fillId="2" borderId="78" xfId="224" applyNumberFormat="1" applyFont="1" applyFill="1" applyBorder="1" applyAlignment="1">
      <alignment horizontal="center" vertical="center" wrapText="1"/>
    </xf>
    <xf numFmtId="14" fontId="65" fillId="2" borderId="37" xfId="224" applyNumberFormat="1" applyFont="1" applyFill="1" applyBorder="1" applyAlignment="1">
      <alignment horizontal="center" vertical="center" wrapText="1"/>
    </xf>
    <xf numFmtId="0" fontId="65" fillId="2" borderId="47" xfId="224" applyFont="1" applyFill="1" applyBorder="1" applyAlignment="1" applyProtection="1">
      <alignment horizontal="center" vertical="center" wrapText="1"/>
      <protection locked="0"/>
    </xf>
    <xf numFmtId="0" fontId="65" fillId="2" borderId="79" xfId="224" applyFont="1" applyFill="1" applyBorder="1" applyAlignment="1" applyProtection="1">
      <alignment horizontal="center" vertical="center" wrapText="1"/>
      <protection locked="0"/>
    </xf>
    <xf numFmtId="0" fontId="65" fillId="2" borderId="78" xfId="224" applyFont="1" applyFill="1" applyBorder="1" applyAlignment="1" applyProtection="1">
      <alignment horizontal="center" vertical="center" wrapText="1"/>
      <protection locked="0"/>
    </xf>
    <xf numFmtId="9" fontId="65" fillId="2" borderId="47" xfId="224" applyNumberFormat="1" applyFont="1" applyFill="1" applyBorder="1" applyAlignment="1" applyProtection="1">
      <alignment horizontal="center" vertical="center" wrapText="1"/>
      <protection locked="0"/>
    </xf>
    <xf numFmtId="0" fontId="65" fillId="2" borderId="37" xfId="224" applyFont="1" applyFill="1" applyBorder="1" applyAlignment="1" applyProtection="1">
      <alignment horizontal="center" vertical="center" wrapText="1"/>
      <protection locked="0"/>
    </xf>
    <xf numFmtId="3" fontId="65" fillId="5" borderId="78" xfId="224" applyNumberFormat="1" applyFont="1" applyFill="1" applyBorder="1" applyAlignment="1" applyProtection="1">
      <alignment horizontal="center" vertical="center" wrapText="1"/>
      <protection locked="0"/>
    </xf>
    <xf numFmtId="9" fontId="65" fillId="2" borderId="37" xfId="224" applyNumberFormat="1" applyFont="1" applyFill="1" applyBorder="1" applyAlignment="1" applyProtection="1">
      <alignment horizontal="center" vertical="center" wrapText="1"/>
      <protection locked="0"/>
    </xf>
    <xf numFmtId="9" fontId="65" fillId="2" borderId="79" xfId="224" applyNumberFormat="1" applyFont="1" applyFill="1" applyBorder="1" applyAlignment="1" applyProtection="1">
      <alignment horizontal="center" vertical="center" wrapText="1"/>
      <protection locked="0"/>
    </xf>
    <xf numFmtId="0" fontId="65" fillId="2" borderId="82" xfId="224" applyFont="1" applyFill="1" applyBorder="1" applyAlignment="1" applyProtection="1">
      <alignment horizontal="center" vertical="center" wrapText="1"/>
      <protection locked="0"/>
    </xf>
    <xf numFmtId="9" fontId="65" fillId="2" borderId="36" xfId="224" applyNumberFormat="1" applyFont="1" applyFill="1" applyBorder="1" applyAlignment="1" applyProtection="1">
      <alignment horizontal="center" vertical="center" wrapText="1"/>
      <protection locked="0"/>
    </xf>
    <xf numFmtId="1" fontId="65" fillId="2" borderId="78" xfId="224" applyNumberFormat="1" applyFont="1" applyFill="1" applyBorder="1" applyAlignment="1" applyProtection="1">
      <alignment horizontal="center" vertical="center" wrapText="1"/>
      <protection locked="0"/>
    </xf>
    <xf numFmtId="0" fontId="92" fillId="0" borderId="61" xfId="0" applyNumberFormat="1" applyFont="1" applyFill="1" applyBorder="1" applyAlignment="1">
      <alignment horizontal="center" vertical="center"/>
    </xf>
    <xf numFmtId="166" fontId="32" fillId="3" borderId="59" xfId="0" applyFont="1" applyFill="1" applyBorder="1" applyAlignment="1" applyProtection="1">
      <alignment horizontal="left" vertical="top"/>
      <protection locked="0"/>
    </xf>
    <xf numFmtId="0" fontId="64" fillId="0" borderId="61" xfId="0" applyNumberFormat="1" applyFont="1" applyFill="1" applyBorder="1" applyAlignment="1">
      <alignment horizontal="center"/>
    </xf>
    <xf numFmtId="166" fontId="41" fillId="7" borderId="172" xfId="0" applyFont="1" applyFill="1" applyBorder="1" applyAlignment="1" applyProtection="1">
      <alignment horizontal="center" vertical="center" wrapText="1"/>
    </xf>
    <xf numFmtId="166" fontId="41" fillId="7" borderId="43" xfId="0" applyFont="1" applyFill="1" applyBorder="1" applyAlignment="1" applyProtection="1">
      <alignment horizontal="center" vertical="center" wrapText="1"/>
    </xf>
    <xf numFmtId="166" fontId="35" fillId="7" borderId="43" xfId="0" applyFont="1" applyFill="1" applyBorder="1" applyAlignment="1" applyProtection="1">
      <alignment horizontal="center" vertical="center" wrapText="1"/>
    </xf>
    <xf numFmtId="166" fontId="41" fillId="7" borderId="144" xfId="0" applyFont="1" applyFill="1" applyBorder="1" applyAlignment="1" applyProtection="1">
      <alignment horizontal="center" vertical="center" wrapText="1"/>
    </xf>
    <xf numFmtId="166" fontId="35" fillId="3" borderId="59" xfId="0" applyFont="1" applyFill="1" applyBorder="1" applyAlignment="1" applyProtection="1">
      <alignment horizontal="left" vertical="center" wrapText="1"/>
      <protection locked="0"/>
    </xf>
    <xf numFmtId="0" fontId="35" fillId="3" borderId="145" xfId="0" applyNumberFormat="1" applyFont="1" applyFill="1" applyBorder="1" applyAlignment="1" applyProtection="1">
      <alignment horizontal="center" vertical="center" wrapText="1"/>
      <protection locked="0"/>
    </xf>
    <xf numFmtId="1" fontId="35" fillId="12" borderId="61" xfId="0" applyNumberFormat="1" applyFont="1" applyFill="1" applyBorder="1" applyAlignment="1" applyProtection="1">
      <alignment horizontal="center" vertical="center" wrapText="1"/>
      <protection locked="0"/>
    </xf>
    <xf numFmtId="0" fontId="41" fillId="3" borderId="59" xfId="0" applyNumberFormat="1" applyFont="1" applyFill="1" applyBorder="1" applyAlignment="1" applyProtection="1">
      <alignment horizontal="left" vertical="center" wrapText="1"/>
      <protection locked="0"/>
    </xf>
    <xf numFmtId="166" fontId="35" fillId="3" borderId="59" xfId="0" applyFont="1" applyFill="1" applyBorder="1" applyAlignment="1">
      <alignment horizontal="left" vertical="center" wrapText="1"/>
    </xf>
    <xf numFmtId="1" fontId="91" fillId="12" borderId="61" xfId="1" applyNumberFormat="1" applyFont="1" applyFill="1" applyBorder="1" applyAlignment="1">
      <alignment horizontal="center" wrapText="1" readingOrder="1"/>
    </xf>
    <xf numFmtId="1" fontId="35" fillId="12" borderId="61" xfId="0" applyNumberFormat="1" applyFont="1" applyFill="1" applyBorder="1" applyAlignment="1" applyProtection="1">
      <alignment horizontal="center" wrapText="1"/>
      <protection locked="0"/>
    </xf>
    <xf numFmtId="0" fontId="41" fillId="3" borderId="59" xfId="4" applyFont="1" applyFill="1" applyBorder="1" applyAlignment="1">
      <alignment horizontal="left" vertical="center"/>
    </xf>
    <xf numFmtId="0" fontId="41" fillId="3" borderId="59" xfId="4" applyFont="1" applyFill="1" applyBorder="1" applyAlignment="1">
      <alignment horizontal="left" vertical="center" wrapText="1"/>
    </xf>
    <xf numFmtId="166" fontId="35" fillId="3" borderId="59" xfId="0" applyFont="1" applyFill="1" applyBorder="1" applyAlignment="1">
      <alignment horizontal="left" vertical="center"/>
    </xf>
    <xf numFmtId="166" fontId="41" fillId="3" borderId="59" xfId="0" applyFont="1" applyFill="1" applyBorder="1" applyAlignment="1">
      <alignment vertical="center"/>
    </xf>
    <xf numFmtId="166" fontId="41" fillId="3" borderId="59" xfId="0" applyFont="1" applyFill="1" applyBorder="1" applyAlignment="1">
      <alignment vertical="center" wrapText="1"/>
    </xf>
    <xf numFmtId="164" fontId="41" fillId="3" borderId="59" xfId="1" applyFont="1" applyFill="1" applyBorder="1" applyAlignment="1">
      <alignment vertical="center"/>
    </xf>
    <xf numFmtId="15" fontId="41" fillId="3" borderId="147" xfId="0" applyNumberFormat="1" applyFont="1" applyFill="1" applyBorder="1" applyAlignment="1" applyProtection="1">
      <alignment horizontal="center" vertical="center" wrapText="1"/>
      <protection locked="0"/>
    </xf>
    <xf numFmtId="9" fontId="41" fillId="2" borderId="175" xfId="0" applyNumberFormat="1" applyFont="1" applyFill="1" applyBorder="1" applyAlignment="1" applyProtection="1">
      <alignment horizontal="center" vertical="center" wrapText="1"/>
      <protection locked="0"/>
    </xf>
    <xf numFmtId="0" fontId="0" fillId="0" borderId="145" xfId="0" applyNumberFormat="1" applyFill="1" applyBorder="1" applyAlignment="1">
      <alignment horizontal="center" vertical="center"/>
    </xf>
    <xf numFmtId="0" fontId="0" fillId="0" borderId="61" xfId="0" applyNumberFormat="1" applyBorder="1" applyAlignment="1">
      <alignment horizontal="center"/>
    </xf>
    <xf numFmtId="1" fontId="41" fillId="0" borderId="147" xfId="0" applyNumberFormat="1" applyFont="1" applyFill="1" applyBorder="1" applyAlignment="1" applyProtection="1">
      <alignment horizontal="center" vertical="center" wrapText="1"/>
      <protection locked="0"/>
    </xf>
    <xf numFmtId="166" fontId="93" fillId="2" borderId="61" xfId="0" applyFont="1" applyFill="1" applyBorder="1" applyAlignment="1" applyProtection="1">
      <alignment horizontal="left"/>
      <protection locked="0"/>
    </xf>
    <xf numFmtId="1" fontId="41" fillId="0" borderId="179" xfId="0" applyNumberFormat="1" applyFont="1" applyFill="1" applyBorder="1" applyAlignment="1" applyProtection="1">
      <alignment horizontal="center" vertical="center" wrapText="1"/>
      <protection locked="0"/>
    </xf>
    <xf numFmtId="9" fontId="41" fillId="0" borderId="147" xfId="3" applyFont="1" applyFill="1" applyBorder="1" applyAlignment="1" applyProtection="1">
      <alignment horizontal="center" vertical="center" wrapText="1"/>
    </xf>
    <xf numFmtId="1" fontId="41" fillId="0" borderId="147" xfId="0" applyNumberFormat="1" applyFont="1" applyFill="1" applyBorder="1" applyAlignment="1" applyProtection="1">
      <alignment horizontal="center" vertical="center" wrapText="1"/>
    </xf>
    <xf numFmtId="166" fontId="32" fillId="2" borderId="59" xfId="0" applyFont="1" applyFill="1" applyBorder="1" applyAlignment="1" applyProtection="1">
      <alignment horizontal="center"/>
      <protection locked="0"/>
    </xf>
    <xf numFmtId="1" fontId="41" fillId="0" borderId="175" xfId="0" applyNumberFormat="1" applyFont="1" applyFill="1" applyBorder="1" applyAlignment="1" applyProtection="1">
      <alignment horizontal="center" vertical="center" wrapText="1"/>
      <protection locked="0"/>
    </xf>
    <xf numFmtId="0" fontId="81" fillId="5" borderId="78" xfId="230" applyFont="1" applyFill="1" applyBorder="1" applyAlignment="1" applyProtection="1">
      <alignment horizontal="left" vertical="center" wrapText="1"/>
      <protection locked="0"/>
    </xf>
    <xf numFmtId="0" fontId="32" fillId="5" borderId="37" xfId="230" applyFont="1" applyFill="1" applyBorder="1" applyAlignment="1" applyProtection="1">
      <alignment horizontal="center" vertical="center" wrapText="1"/>
      <protection locked="0"/>
    </xf>
    <xf numFmtId="0" fontId="81" fillId="5" borderId="37" xfId="230" applyFont="1" applyFill="1" applyBorder="1" applyAlignment="1" applyProtection="1">
      <alignment horizontal="center" vertical="center" wrapText="1"/>
      <protection locked="0"/>
    </xf>
    <xf numFmtId="0" fontId="32" fillId="2" borderId="47" xfId="230" applyFont="1" applyFill="1" applyBorder="1" applyAlignment="1" applyProtection="1">
      <alignment horizontal="center" vertical="center" wrapText="1"/>
      <protection locked="0"/>
    </xf>
    <xf numFmtId="9" fontId="32" fillId="2" borderId="79" xfId="230" applyNumberFormat="1" applyFont="1" applyFill="1" applyBorder="1" applyAlignment="1" applyProtection="1">
      <alignment horizontal="center" vertical="center" wrapText="1"/>
      <protection locked="0"/>
    </xf>
    <xf numFmtId="0" fontId="32" fillId="2" borderId="78" xfId="230" applyFont="1" applyFill="1" applyBorder="1" applyAlignment="1" applyProtection="1">
      <alignment horizontal="center" vertical="center" wrapText="1"/>
      <protection locked="0"/>
    </xf>
    <xf numFmtId="9" fontId="32" fillId="2" borderId="36" xfId="232" applyFont="1" applyFill="1" applyBorder="1" applyAlignment="1" applyProtection="1">
      <alignment horizontal="center" vertical="center" wrapText="1"/>
      <protection locked="0"/>
    </xf>
    <xf numFmtId="9" fontId="32" fillId="2" borderId="37" xfId="230" applyNumberFormat="1" applyFont="1" applyFill="1" applyBorder="1" applyAlignment="1" applyProtection="1">
      <alignment horizontal="center" vertical="center" wrapText="1"/>
      <protection locked="0"/>
    </xf>
    <xf numFmtId="0" fontId="32" fillId="2" borderId="37" xfId="230" applyFont="1" applyFill="1" applyBorder="1" applyAlignment="1" applyProtection="1">
      <alignment horizontal="center" vertical="center" wrapText="1"/>
      <protection locked="0"/>
    </xf>
    <xf numFmtId="0" fontId="32" fillId="2" borderId="79" xfId="230" applyFont="1" applyFill="1" applyBorder="1" applyAlignment="1" applyProtection="1">
      <alignment horizontal="center" vertical="center" wrapText="1"/>
      <protection locked="0"/>
    </xf>
    <xf numFmtId="0" fontId="74" fillId="5" borderId="78" xfId="230" applyFont="1" applyFill="1" applyBorder="1" applyAlignment="1" applyProtection="1">
      <alignment horizontal="left" vertical="center" wrapText="1"/>
      <protection locked="0"/>
    </xf>
    <xf numFmtId="0" fontId="65" fillId="5" borderId="37" xfId="230" applyFont="1" applyFill="1" applyBorder="1" applyAlignment="1" applyProtection="1">
      <alignment horizontal="center" vertical="center" wrapText="1"/>
      <protection locked="0"/>
    </xf>
    <xf numFmtId="9" fontId="65" fillId="2" borderId="37" xfId="230" applyNumberFormat="1" applyFont="1" applyFill="1" applyBorder="1" applyAlignment="1" applyProtection="1">
      <alignment horizontal="center" vertical="center"/>
      <protection locked="0"/>
    </xf>
    <xf numFmtId="9" fontId="65" fillId="2" borderId="79" xfId="230" applyNumberFormat="1" applyFont="1" applyFill="1" applyBorder="1" applyAlignment="1" applyProtection="1">
      <alignment horizontal="center" vertical="center"/>
      <protection locked="0"/>
    </xf>
    <xf numFmtId="0" fontId="73" fillId="5" borderId="83" xfId="11" applyFont="1" applyFill="1" applyBorder="1" applyAlignment="1" applyProtection="1">
      <alignment horizontal="center" vertical="center" wrapText="1"/>
      <protection locked="0"/>
    </xf>
    <xf numFmtId="0" fontId="75" fillId="2" borderId="87" xfId="11" applyFont="1" applyFill="1" applyBorder="1" applyAlignment="1" applyProtection="1">
      <alignment horizontal="left" vertical="center" wrapText="1"/>
      <protection locked="0"/>
    </xf>
    <xf numFmtId="14" fontId="75" fillId="2" borderId="84" xfId="11" applyNumberFormat="1" applyFont="1" applyFill="1" applyBorder="1" applyAlignment="1">
      <alignment horizontal="center" vertical="center" wrapText="1"/>
    </xf>
    <xf numFmtId="14" fontId="75" fillId="2" borderId="83" xfId="11" applyNumberFormat="1" applyFont="1" applyFill="1" applyBorder="1" applyAlignment="1">
      <alignment horizontal="center" vertical="center" wrapText="1"/>
    </xf>
    <xf numFmtId="9" fontId="75" fillId="2" borderId="85" xfId="12" applyNumberFormat="1" applyFont="1" applyFill="1" applyBorder="1" applyAlignment="1" applyProtection="1">
      <alignment horizontal="center" vertical="center" wrapText="1"/>
      <protection locked="0"/>
    </xf>
    <xf numFmtId="3" fontId="65" fillId="5" borderId="112" xfId="11" applyNumberFormat="1" applyFont="1" applyFill="1" applyBorder="1" applyAlignment="1" applyProtection="1">
      <alignment horizontal="center" vertical="center" wrapText="1"/>
      <protection locked="0"/>
    </xf>
    <xf numFmtId="0" fontId="65" fillId="2" borderId="181" xfId="11" applyFont="1" applyFill="1" applyBorder="1" applyAlignment="1" applyProtection="1">
      <alignment horizontal="center" vertical="center" wrapText="1"/>
      <protection locked="0"/>
    </xf>
    <xf numFmtId="3" fontId="65" fillId="5" borderId="84" xfId="230" applyNumberFormat="1" applyFont="1" applyFill="1" applyBorder="1" applyAlignment="1" applyProtection="1">
      <alignment horizontal="center" vertical="center"/>
      <protection locked="0"/>
    </xf>
    <xf numFmtId="0" fontId="65" fillId="2" borderId="182" xfId="230" applyFont="1" applyFill="1" applyBorder="1" applyAlignment="1" applyProtection="1">
      <alignment horizontal="center" vertical="center" wrapText="1"/>
      <protection locked="0"/>
    </xf>
    <xf numFmtId="0" fontId="65" fillId="5" borderId="37" xfId="230" applyFont="1" applyFill="1" applyBorder="1" applyAlignment="1" applyProtection="1">
      <alignment horizontal="center" vertical="center" wrapText="1"/>
      <protection locked="0"/>
    </xf>
    <xf numFmtId="0" fontId="74" fillId="5" borderId="37" xfId="230" applyFont="1" applyFill="1" applyBorder="1" applyAlignment="1" applyProtection="1">
      <alignment horizontal="center" vertical="center" wrapText="1"/>
      <protection locked="0"/>
    </xf>
    <xf numFmtId="0" fontId="65" fillId="2" borderId="79" xfId="230" applyFont="1" applyFill="1" applyBorder="1" applyAlignment="1" applyProtection="1">
      <alignment horizontal="left" vertical="center" wrapText="1"/>
      <protection locked="0"/>
    </xf>
    <xf numFmtId="0" fontId="65" fillId="2" borderId="47" xfId="230" applyFont="1" applyFill="1" applyBorder="1" applyAlignment="1" applyProtection="1">
      <alignment horizontal="center" vertical="center" wrapText="1"/>
      <protection locked="0"/>
    </xf>
    <xf numFmtId="0" fontId="65" fillId="2" borderId="79" xfId="230" applyFont="1" applyFill="1" applyBorder="1" applyAlignment="1" applyProtection="1">
      <alignment horizontal="center" vertical="center" wrapText="1"/>
      <protection locked="0"/>
    </xf>
    <xf numFmtId="0" fontId="65" fillId="2" borderId="78" xfId="230" applyFont="1" applyFill="1" applyBorder="1" applyAlignment="1" applyProtection="1">
      <alignment horizontal="center" vertical="center" wrapText="1"/>
      <protection locked="0"/>
    </xf>
    <xf numFmtId="9" fontId="65" fillId="2" borderId="47" xfId="230" applyNumberFormat="1" applyFont="1" applyFill="1" applyBorder="1" applyAlignment="1" applyProtection="1">
      <alignment horizontal="center" vertical="center" wrapText="1"/>
      <protection locked="0"/>
    </xf>
    <xf numFmtId="0" fontId="65" fillId="2" borderId="37" xfId="230" applyFont="1" applyFill="1" applyBorder="1" applyAlignment="1" applyProtection="1">
      <alignment horizontal="center" vertical="center" wrapText="1"/>
      <protection locked="0"/>
    </xf>
    <xf numFmtId="9" fontId="65" fillId="2" borderId="37" xfId="230" applyNumberFormat="1" applyFont="1" applyFill="1" applyBorder="1" applyAlignment="1" applyProtection="1">
      <alignment horizontal="center" vertical="center" wrapText="1"/>
      <protection locked="0"/>
    </xf>
    <xf numFmtId="9" fontId="65" fillId="2" borderId="79" xfId="230" applyNumberFormat="1" applyFont="1" applyFill="1" applyBorder="1" applyAlignment="1" applyProtection="1">
      <alignment horizontal="center" vertical="center" wrapText="1"/>
      <protection locked="0"/>
    </xf>
    <xf numFmtId="9" fontId="65" fillId="2" borderId="36" xfId="230" applyNumberFormat="1" applyFont="1" applyFill="1" applyBorder="1" applyAlignment="1" applyProtection="1">
      <alignment horizontal="center" vertical="center" wrapText="1"/>
      <protection locked="0"/>
    </xf>
    <xf numFmtId="9" fontId="65" fillId="2" borderId="37" xfId="230" applyNumberFormat="1" applyFont="1" applyFill="1" applyBorder="1" applyAlignment="1" applyProtection="1">
      <alignment horizontal="center" vertical="center" wrapText="1"/>
      <protection locked="0"/>
    </xf>
    <xf numFmtId="9" fontId="65" fillId="2" borderId="79" xfId="230" applyNumberFormat="1" applyFont="1" applyFill="1" applyBorder="1" applyAlignment="1" applyProtection="1">
      <alignment horizontal="center" vertical="center" wrapText="1"/>
      <protection locked="0"/>
    </xf>
    <xf numFmtId="0" fontId="65" fillId="2" borderId="82" xfId="230" applyFont="1" applyFill="1" applyBorder="1" applyAlignment="1" applyProtection="1">
      <alignment horizontal="center" vertical="center" wrapText="1"/>
      <protection locked="0"/>
    </xf>
    <xf numFmtId="0" fontId="65" fillId="2" borderId="84" xfId="230" applyFont="1" applyFill="1" applyBorder="1" applyAlignment="1" applyProtection="1">
      <alignment horizontal="center" vertical="center" wrapText="1"/>
      <protection locked="0"/>
    </xf>
    <xf numFmtId="0" fontId="65" fillId="2" borderId="83" xfId="230" applyFont="1" applyFill="1" applyBorder="1" applyAlignment="1" applyProtection="1">
      <alignment horizontal="center" vertical="center" wrapText="1"/>
      <protection locked="0"/>
    </xf>
    <xf numFmtId="0" fontId="65" fillId="2" borderId="87" xfId="230" applyFont="1" applyFill="1" applyBorder="1" applyAlignment="1" applyProtection="1">
      <alignment horizontal="center" vertical="center" wrapText="1"/>
      <protection locked="0"/>
    </xf>
    <xf numFmtId="0" fontId="65" fillId="5" borderId="83" xfId="230" applyFont="1" applyFill="1" applyBorder="1" applyAlignment="1" applyProtection="1">
      <alignment horizontal="center" vertical="center" wrapText="1"/>
      <protection locked="0"/>
    </xf>
    <xf numFmtId="0" fontId="74" fillId="5" borderId="83" xfId="230" applyFont="1" applyFill="1" applyBorder="1" applyAlignment="1" applyProtection="1">
      <alignment horizontal="center" vertical="center" wrapText="1"/>
      <protection locked="0"/>
    </xf>
    <xf numFmtId="0" fontId="65" fillId="2" borderId="87" xfId="230" applyFont="1" applyFill="1" applyBorder="1" applyAlignment="1" applyProtection="1">
      <alignment horizontal="left" vertical="center" wrapText="1"/>
      <protection locked="0"/>
    </xf>
    <xf numFmtId="0" fontId="65" fillId="2" borderId="85" xfId="230" applyFont="1" applyFill="1" applyBorder="1" applyAlignment="1" applyProtection="1">
      <alignment horizontal="center" vertical="center" wrapText="1"/>
      <protection locked="0"/>
    </xf>
    <xf numFmtId="14" fontId="65" fillId="2" borderId="84" xfId="230" applyNumberFormat="1" applyFont="1" applyFill="1" applyBorder="1" applyAlignment="1" applyProtection="1">
      <alignment horizontal="center" vertical="center" wrapText="1"/>
      <protection locked="0"/>
    </xf>
    <xf numFmtId="14" fontId="65" fillId="2" borderId="83" xfId="230" applyNumberFormat="1" applyFont="1" applyFill="1" applyBorder="1" applyAlignment="1" applyProtection="1">
      <alignment horizontal="center" vertical="center" wrapText="1"/>
      <protection locked="0"/>
    </xf>
    <xf numFmtId="9" fontId="65" fillId="2" borderId="86" xfId="230" applyNumberFormat="1" applyFont="1" applyFill="1" applyBorder="1" applyAlignment="1" applyProtection="1">
      <alignment horizontal="center" vertical="center"/>
      <protection locked="0"/>
    </xf>
    <xf numFmtId="9" fontId="65" fillId="2" borderId="83" xfId="230" applyNumberFormat="1" applyFont="1" applyFill="1" applyBorder="1" applyAlignment="1" applyProtection="1">
      <alignment horizontal="center" vertical="center"/>
      <protection locked="0"/>
    </xf>
    <xf numFmtId="9" fontId="65" fillId="2" borderId="87" xfId="230" applyNumberFormat="1" applyFont="1" applyFill="1" applyBorder="1" applyAlignment="1" applyProtection="1">
      <alignment horizontal="center" vertical="center"/>
      <protection locked="0"/>
    </xf>
    <xf numFmtId="0" fontId="65" fillId="2" borderId="115" xfId="230" applyFont="1" applyFill="1" applyBorder="1" applyAlignment="1" applyProtection="1">
      <alignment horizontal="center" vertical="center" wrapText="1"/>
      <protection locked="0"/>
    </xf>
    <xf numFmtId="0" fontId="65" fillId="2" borderId="37" xfId="230" applyFont="1" applyFill="1" applyBorder="1" applyAlignment="1" applyProtection="1">
      <alignment horizontal="center" vertical="center" wrapText="1"/>
      <protection locked="0"/>
    </xf>
    <xf numFmtId="0" fontId="75" fillId="0" borderId="87" xfId="230" applyFont="1" applyFill="1" applyBorder="1" applyAlignment="1" applyProtection="1">
      <alignment horizontal="left" vertical="center" wrapText="1"/>
      <protection locked="0"/>
    </xf>
    <xf numFmtId="0" fontId="75" fillId="0" borderId="68" xfId="230" applyFont="1" applyFill="1" applyBorder="1" applyAlignment="1" applyProtection="1">
      <alignment horizontal="center" vertical="center" wrapText="1"/>
      <protection locked="0"/>
    </xf>
    <xf numFmtId="3" fontId="75" fillId="0" borderId="84" xfId="230" applyNumberFormat="1" applyFont="1" applyFill="1" applyBorder="1" applyAlignment="1" applyProtection="1">
      <alignment horizontal="center" vertical="center" wrapText="1"/>
      <protection locked="0"/>
    </xf>
    <xf numFmtId="9" fontId="75" fillId="0" borderId="85" xfId="230" applyNumberFormat="1" applyFont="1" applyFill="1" applyBorder="1" applyAlignment="1" applyProtection="1">
      <alignment horizontal="center" vertical="center" wrapText="1"/>
      <protection locked="0"/>
    </xf>
    <xf numFmtId="9" fontId="75" fillId="0" borderId="86" xfId="230" applyNumberFormat="1" applyFont="1" applyFill="1" applyBorder="1" applyAlignment="1" applyProtection="1">
      <alignment horizontal="center" vertical="center" wrapText="1"/>
      <protection locked="0"/>
    </xf>
    <xf numFmtId="9" fontId="75" fillId="0" borderId="83" xfId="230" applyNumberFormat="1" applyFont="1" applyFill="1" applyBorder="1" applyAlignment="1" applyProtection="1">
      <alignment horizontal="center" vertical="center" wrapText="1"/>
      <protection locked="0"/>
    </xf>
    <xf numFmtId="9" fontId="75" fillId="0" borderId="87" xfId="230" applyNumberFormat="1" applyFont="1" applyFill="1" applyBorder="1" applyAlignment="1" applyProtection="1">
      <alignment horizontal="center" vertical="center" wrapText="1"/>
      <protection locked="0"/>
    </xf>
    <xf numFmtId="0" fontId="73" fillId="5" borderId="83" xfId="230" applyFont="1" applyFill="1" applyBorder="1" applyAlignment="1" applyProtection="1">
      <alignment horizontal="center" vertical="center" wrapText="1"/>
      <protection locked="0"/>
    </xf>
    <xf numFmtId="14" fontId="32" fillId="2" borderId="37" xfId="230" applyNumberFormat="1" applyFont="1" applyFill="1" applyBorder="1" applyAlignment="1" applyProtection="1">
      <alignment horizontal="center" vertical="center" wrapText="1"/>
      <protection locked="0"/>
    </xf>
    <xf numFmtId="0" fontId="75" fillId="5" borderId="83" xfId="230" applyFont="1" applyFill="1" applyBorder="1" applyAlignment="1" applyProtection="1">
      <alignment horizontal="center" vertical="center" wrapText="1"/>
      <protection locked="0"/>
    </xf>
    <xf numFmtId="0" fontId="94" fillId="2" borderId="0" xfId="230" applyFont="1" applyFill="1" applyAlignment="1">
      <alignment wrapText="1"/>
    </xf>
    <xf numFmtId="14" fontId="32" fillId="2" borderId="78" xfId="230" applyNumberFormat="1" applyFont="1" applyFill="1" applyBorder="1" applyAlignment="1" applyProtection="1">
      <alignment horizontal="center" vertical="center" wrapText="1"/>
      <protection locked="0"/>
    </xf>
    <xf numFmtId="9" fontId="32" fillId="2" borderId="47" xfId="230" applyNumberFormat="1" applyFont="1" applyFill="1" applyBorder="1" applyAlignment="1" applyProtection="1">
      <alignment horizontal="center" vertical="center" wrapText="1"/>
      <protection locked="0"/>
    </xf>
    <xf numFmtId="0" fontId="65" fillId="16" borderId="37" xfId="11" applyFont="1" applyFill="1" applyBorder="1" applyAlignment="1" applyProtection="1">
      <alignment horizontal="center" vertical="center" wrapText="1"/>
      <protection locked="0"/>
    </xf>
    <xf numFmtId="9" fontId="65" fillId="16" borderId="47" xfId="11" applyNumberFormat="1" applyFont="1" applyFill="1" applyBorder="1" applyAlignment="1" applyProtection="1">
      <alignment horizontal="center" vertical="center" wrapText="1"/>
      <protection locked="0"/>
    </xf>
    <xf numFmtId="0" fontId="65" fillId="16" borderId="78" xfId="11" applyFont="1" applyFill="1" applyBorder="1" applyAlignment="1" applyProtection="1">
      <alignment horizontal="center" vertical="center" wrapText="1"/>
      <protection locked="0"/>
    </xf>
    <xf numFmtId="9" fontId="65" fillId="16" borderId="36" xfId="11" applyNumberFormat="1" applyFont="1" applyFill="1" applyBorder="1" applyAlignment="1" applyProtection="1">
      <alignment horizontal="center" vertical="center" wrapText="1"/>
      <protection locked="0"/>
    </xf>
    <xf numFmtId="9" fontId="65" fillId="16" borderId="37" xfId="11" applyNumberFormat="1" applyFont="1" applyFill="1" applyBorder="1" applyAlignment="1" applyProtection="1">
      <alignment horizontal="center" vertical="center" wrapText="1"/>
      <protection locked="0"/>
    </xf>
    <xf numFmtId="9" fontId="65" fillId="16" borderId="79" xfId="11" applyNumberFormat="1" applyFont="1" applyFill="1" applyBorder="1" applyAlignment="1" applyProtection="1">
      <alignment horizontal="center" vertical="center" wrapText="1"/>
      <protection locked="0"/>
    </xf>
    <xf numFmtId="0" fontId="65" fillId="16" borderId="79" xfId="11" applyFont="1" applyFill="1" applyBorder="1" applyAlignment="1" applyProtection="1">
      <alignment horizontal="center" vertical="center" wrapText="1"/>
      <protection locked="0"/>
    </xf>
    <xf numFmtId="14" fontId="65" fillId="2" borderId="84" xfId="247" applyNumberFormat="1" applyFont="1" applyFill="1" applyBorder="1" applyAlignment="1">
      <alignment horizontal="center" vertical="center" wrapText="1"/>
    </xf>
    <xf numFmtId="14" fontId="75" fillId="2" borderId="37" xfId="247" applyNumberFormat="1" applyFont="1" applyFill="1" applyBorder="1" applyAlignment="1">
      <alignment horizontal="center" vertical="center" wrapText="1"/>
    </xf>
    <xf numFmtId="0" fontId="65" fillId="2" borderId="78" xfId="247" applyFont="1" applyFill="1" applyBorder="1" applyAlignment="1" applyProtection="1">
      <alignment horizontal="center" vertical="center" wrapText="1"/>
      <protection locked="0"/>
    </xf>
    <xf numFmtId="0" fontId="65" fillId="2" borderId="37" xfId="247" applyFont="1" applyFill="1" applyBorder="1" applyAlignment="1" applyProtection="1">
      <alignment horizontal="center" vertical="center" wrapText="1"/>
      <protection locked="0"/>
    </xf>
    <xf numFmtId="0" fontId="65" fillId="2" borderId="79" xfId="247" applyFont="1" applyFill="1" applyBorder="1" applyAlignment="1" applyProtection="1">
      <alignment horizontal="center" vertical="center" wrapText="1"/>
      <protection locked="0"/>
    </xf>
    <xf numFmtId="3" fontId="75" fillId="5" borderId="84" xfId="247" applyNumberFormat="1" applyFont="1" applyFill="1" applyBorder="1" applyAlignment="1" applyProtection="1">
      <alignment horizontal="center" vertical="center" wrapText="1"/>
      <protection locked="0"/>
    </xf>
    <xf numFmtId="9" fontId="65" fillId="2" borderId="85" xfId="230" applyNumberFormat="1" applyFont="1" applyFill="1" applyBorder="1" applyAlignment="1" applyProtection="1">
      <alignment horizontal="center" vertical="center"/>
      <protection locked="0"/>
    </xf>
    <xf numFmtId="14" fontId="75" fillId="2" borderId="83" xfId="230" applyNumberFormat="1" applyFont="1" applyFill="1" applyBorder="1" applyAlignment="1" applyProtection="1">
      <alignment horizontal="center" vertical="center" wrapText="1"/>
      <protection locked="0"/>
    </xf>
    <xf numFmtId="14" fontId="75" fillId="2" borderId="84" xfId="230" applyNumberFormat="1" applyFont="1" applyFill="1" applyBorder="1" applyAlignment="1" applyProtection="1">
      <alignment horizontal="center" vertical="center" wrapText="1"/>
      <protection locked="0"/>
    </xf>
    <xf numFmtId="0" fontId="74" fillId="5" borderId="78" xfId="247" applyFont="1" applyFill="1" applyBorder="1" applyAlignment="1" applyProtection="1">
      <alignment horizontal="left" vertical="center" wrapText="1"/>
      <protection locked="0"/>
    </xf>
    <xf numFmtId="0" fontId="75" fillId="2" borderId="120" xfId="247" applyFont="1" applyFill="1" applyBorder="1" applyAlignment="1" applyProtection="1">
      <alignment horizontal="center" vertical="center" wrapText="1"/>
      <protection locked="0"/>
    </xf>
    <xf numFmtId="0" fontId="75" fillId="2" borderId="78" xfId="247" applyFont="1" applyFill="1" applyBorder="1" applyAlignment="1" applyProtection="1">
      <alignment horizontal="center" vertical="center" wrapText="1"/>
      <protection locked="0"/>
    </xf>
    <xf numFmtId="0" fontId="75" fillId="2" borderId="79" xfId="247" applyFont="1" applyFill="1" applyBorder="1" applyAlignment="1" applyProtection="1">
      <alignment horizontal="center" vertical="center" wrapText="1"/>
      <protection locked="0"/>
    </xf>
    <xf numFmtId="0" fontId="75" fillId="2" borderId="84" xfId="247" applyFont="1" applyFill="1" applyBorder="1" applyAlignment="1" applyProtection="1">
      <alignment horizontal="center" vertical="center" wrapText="1"/>
      <protection locked="0"/>
    </xf>
    <xf numFmtId="0" fontId="75" fillId="2" borderId="87" xfId="247" applyFont="1" applyFill="1" applyBorder="1" applyAlignment="1" applyProtection="1">
      <alignment horizontal="center" vertical="center" wrapText="1"/>
      <protection locked="0"/>
    </xf>
    <xf numFmtId="0" fontId="75" fillId="2" borderId="83" xfId="247" applyFont="1" applyFill="1" applyBorder="1" applyAlignment="1" applyProtection="1">
      <alignment horizontal="center" vertical="center" wrapText="1"/>
      <protection locked="0"/>
    </xf>
    <xf numFmtId="3" fontId="75" fillId="5" borderId="84" xfId="247" applyNumberFormat="1" applyFont="1" applyFill="1" applyBorder="1" applyAlignment="1" applyProtection="1">
      <alignment horizontal="center" vertical="center" wrapText="1"/>
      <protection locked="0"/>
    </xf>
    <xf numFmtId="0" fontId="65" fillId="2" borderId="82" xfId="247" applyFont="1" applyFill="1" applyBorder="1" applyAlignment="1" applyProtection="1">
      <alignment horizontal="center" vertical="center" wrapText="1"/>
      <protection locked="0"/>
    </xf>
    <xf numFmtId="0" fontId="65" fillId="2" borderId="88" xfId="247" applyFont="1" applyFill="1" applyBorder="1" applyAlignment="1" applyProtection="1">
      <alignment horizontal="center" vertical="center" wrapText="1"/>
      <protection locked="0"/>
    </xf>
    <xf numFmtId="9" fontId="65" fillId="2" borderId="83" xfId="247" applyNumberFormat="1" applyFont="1" applyFill="1" applyBorder="1" applyAlignment="1" applyProtection="1">
      <alignment horizontal="center" vertical="center"/>
      <protection locked="0"/>
    </xf>
    <xf numFmtId="9" fontId="65" fillId="2" borderId="87" xfId="247" applyNumberFormat="1" applyFont="1" applyFill="1" applyBorder="1" applyAlignment="1" applyProtection="1">
      <alignment horizontal="center" vertical="center"/>
      <protection locked="0"/>
    </xf>
    <xf numFmtId="14" fontId="65" fillId="2" borderId="78" xfId="247" applyNumberFormat="1" applyFont="1" applyFill="1" applyBorder="1" applyAlignment="1" applyProtection="1">
      <alignment horizontal="center" vertical="center" wrapText="1"/>
      <protection locked="0"/>
    </xf>
    <xf numFmtId="14" fontId="65" fillId="2" borderId="37" xfId="247" applyNumberFormat="1" applyFont="1" applyFill="1" applyBorder="1" applyAlignment="1" applyProtection="1">
      <alignment horizontal="center" vertical="center" wrapText="1"/>
      <protection locked="0"/>
    </xf>
    <xf numFmtId="9" fontId="32" fillId="2" borderId="47" xfId="247" applyNumberFormat="1" applyFont="1" applyFill="1" applyBorder="1" applyAlignment="1" applyProtection="1">
      <alignment horizontal="center" vertical="center" wrapText="1"/>
      <protection locked="0"/>
    </xf>
    <xf numFmtId="0" fontId="32" fillId="2" borderId="82" xfId="247" applyFont="1" applyFill="1" applyBorder="1" applyAlignment="1" applyProtection="1">
      <alignment horizontal="center" vertical="center" wrapText="1"/>
      <protection locked="0"/>
    </xf>
    <xf numFmtId="9" fontId="65" fillId="2" borderId="47" xfId="247" applyNumberFormat="1" applyFont="1" applyFill="1" applyBorder="1" applyAlignment="1" applyProtection="1">
      <alignment horizontal="center" vertical="center"/>
      <protection locked="0"/>
    </xf>
    <xf numFmtId="3" fontId="65" fillId="5" borderId="78" xfId="247" applyNumberFormat="1" applyFont="1" applyFill="1" applyBorder="1" applyAlignment="1" applyProtection="1">
      <alignment horizontal="center" vertical="center"/>
      <protection locked="0"/>
    </xf>
    <xf numFmtId="0" fontId="32" fillId="2" borderId="78" xfId="247" applyFont="1" applyFill="1" applyBorder="1" applyAlignment="1" applyProtection="1">
      <alignment horizontal="center" vertical="center" wrapText="1"/>
      <protection locked="0"/>
    </xf>
    <xf numFmtId="9" fontId="32" fillId="2" borderId="36" xfId="248" applyFont="1" applyFill="1" applyBorder="1" applyAlignment="1" applyProtection="1">
      <alignment horizontal="center" vertical="center" wrapText="1"/>
      <protection locked="0"/>
    </xf>
    <xf numFmtId="9" fontId="32" fillId="2" borderId="37" xfId="247" applyNumberFormat="1" applyFont="1" applyFill="1" applyBorder="1" applyAlignment="1" applyProtection="1">
      <alignment horizontal="center" vertical="center" wrapText="1"/>
      <protection locked="0"/>
    </xf>
    <xf numFmtId="9" fontId="32" fillId="2" borderId="79" xfId="247" applyNumberFormat="1" applyFont="1" applyFill="1" applyBorder="1" applyAlignment="1" applyProtection="1">
      <alignment horizontal="center" vertical="center" wrapText="1"/>
      <protection locked="0"/>
    </xf>
    <xf numFmtId="0" fontId="32" fillId="2" borderId="37" xfId="247" applyFont="1" applyFill="1" applyBorder="1" applyAlignment="1" applyProtection="1">
      <alignment horizontal="center" vertical="center" wrapText="1"/>
      <protection locked="0"/>
    </xf>
    <xf numFmtId="0" fontId="32" fillId="2" borderId="79" xfId="247" applyFont="1" applyFill="1" applyBorder="1" applyAlignment="1" applyProtection="1">
      <alignment horizontal="center" vertical="center" wrapText="1"/>
      <protection locked="0"/>
    </xf>
    <xf numFmtId="3" fontId="32" fillId="5" borderId="78" xfId="247" applyNumberFormat="1" applyFont="1" applyFill="1" applyBorder="1" applyAlignment="1" applyProtection="1">
      <alignment horizontal="center" vertical="center" wrapText="1"/>
      <protection locked="0"/>
    </xf>
    <xf numFmtId="0" fontId="65" fillId="2" borderId="79" xfId="247" applyFont="1" applyFill="1" applyBorder="1" applyAlignment="1" applyProtection="1">
      <alignment horizontal="left" vertical="center" wrapText="1"/>
      <protection locked="0"/>
    </xf>
    <xf numFmtId="0" fontId="65" fillId="2" borderId="47" xfId="247" applyFont="1" applyFill="1" applyBorder="1" applyAlignment="1" applyProtection="1">
      <alignment horizontal="center" vertical="center" wrapText="1"/>
      <protection locked="0"/>
    </xf>
    <xf numFmtId="0" fontId="65" fillId="2" borderId="78" xfId="247" applyFont="1" applyFill="1" applyBorder="1" applyAlignment="1" applyProtection="1">
      <alignment horizontal="center" vertical="center" wrapText="1"/>
      <protection locked="0"/>
    </xf>
    <xf numFmtId="9" fontId="65" fillId="2" borderId="36" xfId="247" applyNumberFormat="1" applyFont="1" applyFill="1" applyBorder="1" applyAlignment="1" applyProtection="1">
      <alignment horizontal="center" vertical="center"/>
      <protection locked="0"/>
    </xf>
    <xf numFmtId="9" fontId="65" fillId="2" borderId="37" xfId="247" applyNumberFormat="1" applyFont="1" applyFill="1" applyBorder="1" applyAlignment="1" applyProtection="1">
      <alignment horizontal="center" vertical="center"/>
      <protection locked="0"/>
    </xf>
    <xf numFmtId="9" fontId="65" fillId="2" borderId="79" xfId="247" applyNumberFormat="1" applyFont="1" applyFill="1" applyBorder="1" applyAlignment="1" applyProtection="1">
      <alignment horizontal="center" vertical="center"/>
      <protection locked="0"/>
    </xf>
    <xf numFmtId="0" fontId="65" fillId="2" borderId="37" xfId="247" applyFont="1" applyFill="1" applyBorder="1" applyAlignment="1" applyProtection="1">
      <alignment horizontal="center" vertical="center" wrapText="1"/>
      <protection locked="0"/>
    </xf>
    <xf numFmtId="0" fontId="65" fillId="2" borderId="79" xfId="247" applyFont="1" applyFill="1" applyBorder="1" applyAlignment="1" applyProtection="1">
      <alignment horizontal="center" vertical="center" wrapText="1"/>
      <protection locked="0"/>
    </xf>
    <xf numFmtId="1" fontId="65" fillId="2" borderId="37" xfId="247" applyNumberFormat="1" applyFont="1" applyFill="1" applyBorder="1" applyAlignment="1" applyProtection="1">
      <alignment horizontal="center" vertical="center" wrapText="1"/>
      <protection locked="0"/>
    </xf>
    <xf numFmtId="0" fontId="74" fillId="5" borderId="90" xfId="247" applyFont="1" applyFill="1" applyBorder="1" applyAlignment="1" applyProtection="1">
      <alignment horizontal="left" vertical="center" wrapText="1"/>
      <protection locked="0"/>
    </xf>
    <xf numFmtId="0" fontId="75" fillId="5" borderId="91" xfId="247" applyFont="1" applyFill="1" applyBorder="1" applyAlignment="1" applyProtection="1">
      <alignment horizontal="center" vertical="center" wrapText="1"/>
      <protection locked="0"/>
    </xf>
    <xf numFmtId="0" fontId="73" fillId="5" borderId="91" xfId="247" applyFont="1" applyFill="1" applyBorder="1" applyAlignment="1" applyProtection="1">
      <alignment horizontal="center" vertical="center" wrapText="1"/>
      <protection locked="0"/>
    </xf>
    <xf numFmtId="0" fontId="65" fillId="5" borderId="91" xfId="247" applyFont="1" applyFill="1" applyBorder="1" applyAlignment="1" applyProtection="1">
      <alignment horizontal="center" vertical="center" wrapText="1"/>
      <protection locked="0"/>
    </xf>
    <xf numFmtId="0" fontId="75" fillId="2" borderId="92" xfId="247" applyFont="1" applyFill="1" applyBorder="1" applyAlignment="1" applyProtection="1">
      <alignment horizontal="left" vertical="center" wrapText="1"/>
      <protection locked="0"/>
    </xf>
    <xf numFmtId="14" fontId="75" fillId="2" borderId="90" xfId="247" applyNumberFormat="1" applyFont="1" applyFill="1" applyBorder="1" applyAlignment="1">
      <alignment horizontal="center" vertical="center" wrapText="1"/>
    </xf>
    <xf numFmtId="14" fontId="75" fillId="2" borderId="91" xfId="247" applyNumberFormat="1" applyFont="1" applyFill="1" applyBorder="1" applyAlignment="1">
      <alignment horizontal="center" vertical="center" wrapText="1"/>
    </xf>
    <xf numFmtId="0" fontId="75" fillId="2" borderId="93" xfId="247" applyFont="1" applyFill="1" applyBorder="1" applyAlignment="1" applyProtection="1">
      <alignment horizontal="center" vertical="center" wrapText="1"/>
      <protection locked="0"/>
    </xf>
    <xf numFmtId="0" fontId="75" fillId="2" borderId="90" xfId="247" applyFont="1" applyFill="1" applyBorder="1" applyAlignment="1" applyProtection="1">
      <alignment horizontal="center" vertical="center" wrapText="1"/>
      <protection locked="0"/>
    </xf>
    <xf numFmtId="9" fontId="75" fillId="2" borderId="93" xfId="248" applyNumberFormat="1" applyFont="1" applyFill="1" applyBorder="1" applyAlignment="1" applyProtection="1">
      <alignment horizontal="center" vertical="center" wrapText="1"/>
      <protection locked="0"/>
    </xf>
    <xf numFmtId="9" fontId="75" fillId="2" borderId="94" xfId="247" applyNumberFormat="1" applyFont="1" applyFill="1" applyBorder="1" applyAlignment="1" applyProtection="1">
      <alignment horizontal="center" vertical="center" wrapText="1"/>
      <protection locked="0"/>
    </xf>
    <xf numFmtId="9" fontId="75" fillId="2" borderId="91" xfId="247" applyNumberFormat="1" applyFont="1" applyFill="1" applyBorder="1" applyAlignment="1" applyProtection="1">
      <alignment horizontal="center" vertical="center" wrapText="1"/>
      <protection locked="0"/>
    </xf>
    <xf numFmtId="9" fontId="75" fillId="2" borderId="92" xfId="247" applyNumberFormat="1" applyFont="1" applyFill="1" applyBorder="1" applyAlignment="1" applyProtection="1">
      <alignment horizontal="center" vertical="center" wrapText="1"/>
      <protection locked="0"/>
    </xf>
    <xf numFmtId="0" fontId="75" fillId="2" borderId="91" xfId="247" applyFont="1" applyFill="1" applyBorder="1" applyAlignment="1" applyProtection="1">
      <alignment horizontal="center" vertical="center" wrapText="1"/>
      <protection locked="0"/>
    </xf>
    <xf numFmtId="0" fontId="75" fillId="2" borderId="92" xfId="247" applyFont="1" applyFill="1" applyBorder="1" applyAlignment="1" applyProtection="1">
      <alignment horizontal="center" vertical="center" wrapText="1"/>
      <protection locked="0"/>
    </xf>
    <xf numFmtId="3" fontId="75" fillId="5" borderId="90" xfId="247" applyNumberFormat="1" applyFont="1" applyFill="1" applyBorder="1" applyAlignment="1" applyProtection="1">
      <alignment horizontal="center" vertical="center" wrapText="1"/>
      <protection locked="0"/>
    </xf>
    <xf numFmtId="0" fontId="75" fillId="2" borderId="96" xfId="247"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0" fontId="65" fillId="2" borderId="82" xfId="250" applyFont="1" applyFill="1" applyBorder="1" applyAlignment="1" applyProtection="1">
      <alignment horizontal="center" vertical="center" wrapText="1"/>
      <protection locked="0"/>
    </xf>
    <xf numFmtId="9" fontId="65" fillId="2" borderId="36"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37" xfId="250" applyNumberFormat="1" applyFont="1" applyFill="1" applyBorder="1" applyAlignment="1" applyProtection="1">
      <alignment horizontal="center" vertical="center" wrapText="1"/>
      <protection locked="0"/>
    </xf>
    <xf numFmtId="9" fontId="65" fillId="2" borderId="47" xfId="252"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0" fontId="65" fillId="2" borderId="82" xfId="250" applyFont="1" applyFill="1" applyBorder="1" applyAlignment="1" applyProtection="1">
      <alignment horizontal="center" vertical="center" wrapText="1"/>
      <protection locked="0"/>
    </xf>
    <xf numFmtId="9" fontId="65" fillId="2" borderId="36"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37" xfId="250" applyNumberFormat="1" applyFont="1" applyFill="1" applyBorder="1" applyAlignment="1" applyProtection="1">
      <alignment horizontal="center" vertical="center" wrapText="1"/>
      <protection locked="0"/>
    </xf>
    <xf numFmtId="9" fontId="65" fillId="2" borderId="47" xfId="252" applyNumberFormat="1" applyFont="1" applyFill="1" applyBorder="1" applyAlignment="1" applyProtection="1">
      <alignment horizontal="center" vertical="center" wrapText="1"/>
      <protection locked="0"/>
    </xf>
    <xf numFmtId="0" fontId="65" fillId="2" borderId="84" xfId="250" applyFont="1" applyFill="1" applyBorder="1" applyAlignment="1" applyProtection="1">
      <alignment horizontal="center" vertical="center" wrapText="1"/>
      <protection locked="0"/>
    </xf>
    <xf numFmtId="0" fontId="65" fillId="2" borderId="83" xfId="250" applyFont="1" applyFill="1" applyBorder="1" applyAlignment="1" applyProtection="1">
      <alignment horizontal="center" vertical="center" wrapText="1"/>
      <protection locked="0"/>
    </xf>
    <xf numFmtId="0" fontId="65" fillId="2" borderId="87" xfId="250" applyFont="1" applyFill="1" applyBorder="1" applyAlignment="1" applyProtection="1">
      <alignment horizontal="center" vertical="center" wrapText="1"/>
      <protection locked="0"/>
    </xf>
    <xf numFmtId="0" fontId="74" fillId="5" borderId="84" xfId="250" applyFont="1" applyFill="1" applyBorder="1" applyAlignment="1" applyProtection="1">
      <alignment horizontal="left" vertical="center" wrapText="1"/>
      <protection locked="0"/>
    </xf>
    <xf numFmtId="0" fontId="65" fillId="5" borderId="83" xfId="250" applyFont="1" applyFill="1" applyBorder="1" applyAlignment="1" applyProtection="1">
      <alignment horizontal="center" vertical="center" wrapText="1"/>
      <protection locked="0"/>
    </xf>
    <xf numFmtId="0" fontId="74" fillId="5" borderId="83" xfId="250" applyFont="1" applyFill="1" applyBorder="1" applyAlignment="1" applyProtection="1">
      <alignment horizontal="center" vertical="center" wrapText="1"/>
      <protection locked="0"/>
    </xf>
    <xf numFmtId="0" fontId="65" fillId="2" borderId="87" xfId="250" applyFont="1" applyFill="1" applyBorder="1" applyAlignment="1" applyProtection="1">
      <alignment horizontal="left" vertical="center" wrapText="1"/>
      <protection locked="0"/>
    </xf>
    <xf numFmtId="14" fontId="65" fillId="2" borderId="84" xfId="250" applyNumberFormat="1" applyFont="1" applyFill="1" applyBorder="1" applyAlignment="1">
      <alignment horizontal="center" vertical="center" wrapText="1"/>
    </xf>
    <xf numFmtId="14" fontId="65" fillId="2" borderId="83" xfId="250" applyNumberFormat="1" applyFont="1" applyFill="1" applyBorder="1" applyAlignment="1">
      <alignment horizontal="center" vertical="center" wrapText="1"/>
    </xf>
    <xf numFmtId="0" fontId="65" fillId="2" borderId="88" xfId="250" applyFont="1" applyFill="1" applyBorder="1" applyAlignment="1" applyProtection="1">
      <alignment horizontal="center" vertical="center" wrapText="1"/>
      <protection locked="0"/>
    </xf>
    <xf numFmtId="0" fontId="75" fillId="2" borderId="85" xfId="250" applyFont="1" applyFill="1" applyBorder="1" applyAlignment="1" applyProtection="1">
      <alignment horizontal="center" vertical="center" wrapText="1"/>
      <protection locked="0"/>
    </xf>
    <xf numFmtId="9" fontId="65" fillId="2" borderId="85" xfId="250" applyNumberFormat="1" applyFont="1" applyFill="1" applyBorder="1" applyAlignment="1" applyProtection="1">
      <alignment horizontal="center" vertical="center" wrapText="1"/>
      <protection locked="0"/>
    </xf>
    <xf numFmtId="9" fontId="65" fillId="2" borderId="86" xfId="250" applyNumberFormat="1" applyFont="1" applyFill="1" applyBorder="1" applyAlignment="1" applyProtection="1">
      <alignment horizontal="center" vertical="center" wrapText="1"/>
      <protection locked="0"/>
    </xf>
    <xf numFmtId="9" fontId="65" fillId="2" borderId="83" xfId="250" applyNumberFormat="1" applyFont="1" applyFill="1" applyBorder="1" applyAlignment="1" applyProtection="1">
      <alignment horizontal="center" vertical="center" wrapText="1"/>
      <protection locked="0"/>
    </xf>
    <xf numFmtId="9" fontId="65" fillId="2" borderId="87" xfId="250" applyNumberFormat="1" applyFont="1" applyFill="1" applyBorder="1" applyAlignment="1" applyProtection="1">
      <alignment horizontal="center" vertical="center" wrapText="1"/>
      <protection locked="0"/>
    </xf>
    <xf numFmtId="3" fontId="65" fillId="5" borderId="84" xfId="250"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47" xfId="250" applyNumberFormat="1"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0" fontId="65" fillId="2" borderId="82" xfId="250" applyFont="1" applyFill="1" applyBorder="1" applyAlignment="1" applyProtection="1">
      <alignment horizontal="center" vertical="center" wrapText="1"/>
      <protection locked="0"/>
    </xf>
    <xf numFmtId="9" fontId="65" fillId="2" borderId="36"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47" xfId="250"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37" xfId="250" applyNumberFormat="1" applyFont="1" applyFill="1" applyBorder="1" applyAlignment="1" applyProtection="1">
      <alignment horizontal="center" vertical="center" wrapText="1"/>
      <protection locked="0"/>
    </xf>
    <xf numFmtId="9" fontId="65" fillId="2" borderId="47" xfId="254" applyNumberFormat="1" applyFont="1" applyFill="1" applyBorder="1" applyAlignment="1">
      <alignment horizontal="center" vertical="center"/>
    </xf>
    <xf numFmtId="9" fontId="65" fillId="2" borderId="36" xfId="254" applyNumberFormat="1" applyFont="1" applyFill="1" applyBorder="1" applyAlignment="1">
      <alignment horizontal="center" vertical="center"/>
    </xf>
    <xf numFmtId="9" fontId="65" fillId="2" borderId="37" xfId="254" applyNumberFormat="1" applyFont="1" applyFill="1" applyBorder="1" applyAlignment="1">
      <alignment horizontal="center" vertical="center"/>
    </xf>
    <xf numFmtId="9" fontId="65" fillId="2" borderId="79" xfId="254" applyNumberFormat="1" applyFont="1" applyFill="1" applyBorder="1" applyAlignment="1">
      <alignment horizontal="center" vertical="center"/>
    </xf>
    <xf numFmtId="0" fontId="65" fillId="0" borderId="0" xfId="11" applyFont="1" applyFill="1" applyAlignment="1">
      <alignment wrapText="1"/>
    </xf>
    <xf numFmtId="0" fontId="65" fillId="0" borderId="0" xfId="11" applyFont="1" applyFill="1"/>
    <xf numFmtId="14" fontId="65" fillId="16" borderId="78" xfId="11" applyNumberFormat="1" applyFont="1" applyFill="1" applyBorder="1" applyAlignment="1" applyProtection="1">
      <alignment horizontal="center" vertical="center" wrapText="1"/>
      <protection locked="0"/>
    </xf>
    <xf numFmtId="3" fontId="65" fillId="5" borderId="91" xfId="11" applyNumberFormat="1" applyFont="1" applyFill="1" applyBorder="1" applyAlignment="1" applyProtection="1">
      <alignment horizontal="center" vertical="center" wrapText="1"/>
      <protection locked="0"/>
    </xf>
    <xf numFmtId="9" fontId="0" fillId="2" borderId="91" xfId="0" applyNumberFormat="1" applyFill="1" applyBorder="1" applyAlignment="1">
      <alignment horizontal="center" vertical="center" wrapText="1"/>
    </xf>
    <xf numFmtId="166" fontId="95" fillId="2" borderId="152" xfId="0" applyFont="1" applyFill="1" applyBorder="1" applyAlignment="1">
      <alignment vertical="center" wrapText="1"/>
    </xf>
    <xf numFmtId="166" fontId="0" fillId="0" borderId="104" xfId="0" applyBorder="1" applyAlignment="1">
      <alignment horizontal="left"/>
    </xf>
    <xf numFmtId="166" fontId="0" fillId="0" borderId="109" xfId="0" applyBorder="1" applyAlignment="1">
      <alignment horizontal="center"/>
    </xf>
    <xf numFmtId="3" fontId="0" fillId="0" borderId="37" xfId="0" applyNumberFormat="1" applyFill="1" applyBorder="1" applyAlignment="1">
      <alignment horizontal="center" vertical="center" wrapText="1"/>
    </xf>
    <xf numFmtId="166" fontId="41" fillId="2" borderId="161" xfId="0" applyFont="1" applyFill="1" applyBorder="1" applyAlignment="1" applyProtection="1">
      <alignment horizontal="center" vertical="center" wrapText="1"/>
    </xf>
    <xf numFmtId="166" fontId="41" fillId="2" borderId="173" xfId="0" applyFont="1" applyFill="1" applyBorder="1" applyAlignment="1" applyProtection="1">
      <alignment horizontal="center" vertical="center" wrapText="1"/>
    </xf>
    <xf numFmtId="166" fontId="35" fillId="2" borderId="161" xfId="0" applyFont="1" applyFill="1" applyBorder="1" applyAlignment="1" applyProtection="1">
      <alignment horizontal="center" vertical="center" wrapText="1"/>
    </xf>
    <xf numFmtId="166" fontId="41" fillId="2" borderId="143" xfId="0" applyFont="1" applyFill="1" applyBorder="1" applyAlignment="1" applyProtection="1">
      <alignment horizontal="center" vertical="center" wrapText="1"/>
    </xf>
    <xf numFmtId="3" fontId="0" fillId="2" borderId="112" xfId="0" applyNumberFormat="1" applyFill="1" applyBorder="1" applyAlignment="1">
      <alignment horizontal="center" vertical="center" wrapText="1"/>
    </xf>
    <xf numFmtId="166" fontId="31" fillId="3" borderId="121" xfId="0" applyFont="1" applyFill="1" applyBorder="1" applyAlignment="1">
      <alignment horizontal="center" vertical="center" wrapText="1"/>
    </xf>
    <xf numFmtId="166" fontId="43" fillId="3" borderId="184" xfId="0" applyFont="1" applyFill="1" applyBorder="1" applyAlignment="1">
      <alignment horizontal="center" vertical="center" wrapText="1"/>
    </xf>
    <xf numFmtId="166" fontId="31" fillId="3" borderId="149" xfId="0" applyFont="1" applyFill="1" applyBorder="1" applyAlignment="1">
      <alignment horizontal="center" vertical="center" wrapText="1"/>
    </xf>
    <xf numFmtId="166" fontId="0" fillId="2" borderId="79" xfId="0" applyFill="1" applyBorder="1" applyAlignment="1">
      <alignment vertical="center" wrapText="1"/>
    </xf>
    <xf numFmtId="166" fontId="82" fillId="2" borderId="92" xfId="0" applyFont="1" applyFill="1" applyBorder="1" applyAlignment="1">
      <alignment vertical="center" wrapText="1"/>
    </xf>
    <xf numFmtId="9" fontId="0" fillId="2" borderId="112" xfId="3" applyFont="1" applyFill="1" applyBorder="1" applyAlignment="1">
      <alignment horizontal="center" vertical="center" wrapText="1"/>
    </xf>
    <xf numFmtId="166" fontId="0" fillId="2" borderId="112" xfId="0" applyFill="1" applyBorder="1" applyAlignment="1">
      <alignment horizontal="center" vertical="center" wrapText="1"/>
    </xf>
    <xf numFmtId="166" fontId="0" fillId="2" borderId="113" xfId="0" applyFill="1" applyBorder="1" applyAlignment="1">
      <alignment vertical="center" wrapText="1"/>
    </xf>
    <xf numFmtId="166" fontId="23" fillId="2" borderId="187" xfId="0" applyFont="1" applyFill="1" applyBorder="1" applyAlignment="1">
      <alignment vertical="center" wrapText="1"/>
    </xf>
    <xf numFmtId="3" fontId="0" fillId="2" borderId="170" xfId="0" applyNumberFormat="1" applyFill="1" applyBorder="1" applyAlignment="1">
      <alignment horizontal="center" vertical="center" wrapText="1"/>
    </xf>
    <xf numFmtId="9" fontId="0" fillId="2" borderId="170" xfId="3" applyFont="1" applyFill="1" applyBorder="1" applyAlignment="1">
      <alignment horizontal="center" vertical="center" wrapText="1"/>
    </xf>
    <xf numFmtId="166" fontId="0" fillId="2" borderId="170" xfId="0" applyFill="1" applyBorder="1" applyAlignment="1">
      <alignment horizontal="center" vertical="center" wrapText="1"/>
    </xf>
    <xf numFmtId="166" fontId="0" fillId="2" borderId="171" xfId="0" applyFill="1" applyBorder="1" applyAlignment="1">
      <alignment vertical="center" wrapText="1"/>
    </xf>
    <xf numFmtId="166" fontId="82" fillId="2" borderId="188" xfId="0" applyFont="1" applyFill="1" applyBorder="1" applyAlignment="1">
      <alignment horizontal="right" vertical="center" wrapText="1"/>
    </xf>
    <xf numFmtId="3" fontId="0" fillId="2" borderId="188" xfId="0" applyNumberFormat="1" applyFill="1" applyBorder="1" applyAlignment="1">
      <alignment horizontal="center" vertical="center" wrapText="1"/>
    </xf>
    <xf numFmtId="9" fontId="0" fillId="2" borderId="188" xfId="3" applyFont="1" applyFill="1" applyBorder="1" applyAlignment="1">
      <alignment horizontal="center" vertical="center" wrapText="1"/>
    </xf>
    <xf numFmtId="9" fontId="82" fillId="2" borderId="188" xfId="0" applyNumberFormat="1" applyFont="1" applyFill="1" applyBorder="1" applyAlignment="1">
      <alignment horizontal="center" vertical="center" wrapText="1"/>
    </xf>
    <xf numFmtId="166" fontId="82" fillId="2" borderId="188" xfId="0" applyFont="1" applyFill="1" applyBorder="1" applyAlignment="1">
      <alignment horizontal="center" vertical="center" wrapText="1"/>
    </xf>
    <xf numFmtId="166" fontId="82" fillId="2" borderId="188" xfId="0" applyFont="1" applyFill="1" applyBorder="1" applyAlignment="1">
      <alignment vertical="center" wrapText="1"/>
    </xf>
    <xf numFmtId="166" fontId="82" fillId="2" borderId="0" xfId="0" applyFont="1" applyFill="1" applyBorder="1" applyAlignment="1">
      <alignment horizontal="right" vertical="center" wrapText="1"/>
    </xf>
    <xf numFmtId="3" fontId="0" fillId="2" borderId="0" xfId="0" applyNumberFormat="1" applyFill="1" applyBorder="1" applyAlignment="1">
      <alignment horizontal="center" vertical="center" wrapText="1"/>
    </xf>
    <xf numFmtId="9" fontId="0" fillId="2" borderId="0" xfId="3" applyFont="1" applyFill="1" applyBorder="1" applyAlignment="1">
      <alignment horizontal="center" vertical="center" wrapText="1"/>
    </xf>
    <xf numFmtId="9" fontId="82" fillId="2" borderId="0" xfId="0" applyNumberFormat="1" applyFont="1" applyFill="1" applyBorder="1" applyAlignment="1">
      <alignment horizontal="center" vertical="center" wrapText="1"/>
    </xf>
    <xf numFmtId="166" fontId="82" fillId="2" borderId="0" xfId="0" applyFont="1" applyFill="1" applyBorder="1" applyAlignment="1">
      <alignment horizontal="center" vertical="center" wrapText="1"/>
    </xf>
    <xf numFmtId="166" fontId="82" fillId="2" borderId="0" xfId="0" applyFont="1" applyFill="1" applyBorder="1" applyAlignment="1">
      <alignment vertical="center" wrapText="1"/>
    </xf>
    <xf numFmtId="166" fontId="43" fillId="3" borderId="189" xfId="0" applyFont="1" applyFill="1" applyBorder="1" applyAlignment="1">
      <alignment horizontal="center" vertical="center" wrapText="1"/>
    </xf>
    <xf numFmtId="166" fontId="31" fillId="3" borderId="190" xfId="0" applyFont="1" applyFill="1" applyBorder="1" applyAlignment="1">
      <alignment horizontal="center" vertical="center" wrapText="1"/>
    </xf>
    <xf numFmtId="166" fontId="31" fillId="3" borderId="191" xfId="0" applyFont="1" applyFill="1" applyBorder="1" applyAlignment="1">
      <alignment horizontal="center" vertical="center" wrapText="1"/>
    </xf>
    <xf numFmtId="3" fontId="0" fillId="0" borderId="112" xfId="0" applyNumberFormat="1" applyFill="1" applyBorder="1" applyAlignment="1">
      <alignment horizontal="center" vertical="center" wrapText="1"/>
    </xf>
    <xf numFmtId="166" fontId="55" fillId="9" borderId="0" xfId="0" applyFont="1" applyFill="1" applyBorder="1" applyAlignment="1">
      <alignment vertical="center"/>
    </xf>
    <xf numFmtId="166" fontId="56" fillId="9" borderId="0" xfId="0" applyFont="1" applyFill="1" applyBorder="1" applyAlignment="1">
      <alignment vertical="center" wrapText="1"/>
    </xf>
    <xf numFmtId="166" fontId="55" fillId="9" borderId="0" xfId="0" applyFont="1" applyFill="1" applyBorder="1" applyAlignment="1">
      <alignment vertical="center" wrapText="1"/>
    </xf>
    <xf numFmtId="166" fontId="55" fillId="2" borderId="0" xfId="0" applyFont="1" applyFill="1" applyBorder="1" applyAlignment="1">
      <alignment vertical="center"/>
    </xf>
    <xf numFmtId="166" fontId="55" fillId="2" borderId="0" xfId="0" applyFont="1" applyFill="1" applyAlignment="1">
      <alignment wrapText="1"/>
    </xf>
    <xf numFmtId="3" fontId="0" fillId="2" borderId="169" xfId="0" applyNumberFormat="1" applyFill="1" applyBorder="1" applyAlignment="1">
      <alignment horizontal="center" vertical="center" wrapText="1"/>
    </xf>
    <xf numFmtId="166" fontId="31" fillId="3" borderId="183" xfId="0" applyFont="1" applyFill="1" applyBorder="1" applyAlignment="1">
      <alignment horizontal="center" vertical="center" wrapText="1"/>
    </xf>
    <xf numFmtId="3" fontId="0" fillId="2" borderId="172" xfId="0" applyNumberFormat="1" applyFill="1" applyBorder="1" applyAlignment="1">
      <alignment horizontal="center" vertical="center" wrapText="1"/>
    </xf>
    <xf numFmtId="3" fontId="0" fillId="2" borderId="111" xfId="0" applyNumberFormat="1" applyFill="1" applyBorder="1" applyAlignment="1">
      <alignment horizontal="center" vertical="center" wrapText="1"/>
    </xf>
    <xf numFmtId="3" fontId="0" fillId="2" borderId="81" xfId="0" applyNumberFormat="1" applyFill="1" applyBorder="1" applyAlignment="1">
      <alignment horizontal="center" vertical="center" wrapText="1"/>
    </xf>
    <xf numFmtId="3" fontId="0" fillId="2" borderId="192" xfId="0" applyNumberFormat="1" applyFill="1" applyBorder="1" applyAlignment="1">
      <alignment horizontal="center" vertical="center" wrapText="1"/>
    </xf>
    <xf numFmtId="1" fontId="0" fillId="2" borderId="170" xfId="3" applyNumberFormat="1" applyFont="1" applyFill="1" applyBorder="1" applyAlignment="1">
      <alignment horizontal="center" vertical="center" wrapText="1"/>
    </xf>
    <xf numFmtId="1" fontId="0" fillId="2" borderId="112" xfId="3" applyNumberFormat="1" applyFont="1" applyFill="1" applyBorder="1" applyAlignment="1">
      <alignment horizontal="center" vertical="center" wrapText="1"/>
    </xf>
    <xf numFmtId="1" fontId="0" fillId="2" borderId="37" xfId="3" applyNumberFormat="1" applyFont="1" applyFill="1" applyBorder="1" applyAlignment="1">
      <alignment horizontal="center" vertical="center" wrapText="1"/>
    </xf>
    <xf numFmtId="1" fontId="0" fillId="2" borderId="91" xfId="3" applyNumberFormat="1" applyFont="1" applyFill="1" applyBorder="1" applyAlignment="1">
      <alignment horizontal="center" vertical="center" wrapText="1"/>
    </xf>
    <xf numFmtId="166" fontId="0" fillId="2" borderId="104" xfId="0" applyFill="1" applyBorder="1" applyAlignment="1">
      <alignment horizontal="left" vertical="center" wrapText="1"/>
    </xf>
    <xf numFmtId="9" fontId="0" fillId="2" borderId="0" xfId="0" applyNumberFormat="1" applyFill="1" applyBorder="1" applyAlignment="1">
      <alignment horizontal="center" vertical="center" wrapText="1"/>
    </xf>
    <xf numFmtId="166" fontId="31" fillId="2" borderId="196" xfId="0" applyFont="1" applyFill="1" applyBorder="1" applyAlignment="1">
      <alignment vertical="center" wrapText="1"/>
    </xf>
    <xf numFmtId="3" fontId="96" fillId="2" borderId="70" xfId="0" applyNumberFormat="1" applyFont="1" applyFill="1" applyBorder="1" applyAlignment="1">
      <alignment horizontal="center" vertical="center" wrapText="1"/>
    </xf>
    <xf numFmtId="9" fontId="96" fillId="2" borderId="70" xfId="3" applyFont="1" applyFill="1" applyBorder="1" applyAlignment="1">
      <alignment horizontal="center" vertical="center" wrapText="1"/>
    </xf>
    <xf numFmtId="166" fontId="96" fillId="2" borderId="70" xfId="0" applyFont="1" applyFill="1" applyBorder="1" applyAlignment="1">
      <alignment horizontal="center" vertical="center" wrapText="1"/>
    </xf>
    <xf numFmtId="3" fontId="96" fillId="2" borderId="37" xfId="0" applyNumberFormat="1" applyFont="1" applyFill="1" applyBorder="1" applyAlignment="1">
      <alignment horizontal="center" vertical="center" wrapText="1"/>
    </xf>
    <xf numFmtId="9" fontId="96" fillId="2" borderId="37" xfId="3" applyFont="1" applyFill="1" applyBorder="1" applyAlignment="1">
      <alignment horizontal="center" vertical="center" wrapText="1"/>
    </xf>
    <xf numFmtId="166" fontId="96" fillId="2" borderId="37" xfId="0" applyFont="1" applyFill="1" applyBorder="1" applyAlignment="1">
      <alignment horizontal="center" vertical="center" wrapText="1"/>
    </xf>
    <xf numFmtId="3" fontId="96" fillId="2" borderId="91" xfId="0" applyNumberFormat="1" applyFont="1" applyFill="1" applyBorder="1" applyAlignment="1">
      <alignment horizontal="center" vertical="center" wrapText="1"/>
    </xf>
    <xf numFmtId="9" fontId="96" fillId="2" borderId="91" xfId="3" applyFont="1" applyFill="1" applyBorder="1" applyAlignment="1">
      <alignment horizontal="center" vertical="center" wrapText="1"/>
    </xf>
    <xf numFmtId="3" fontId="0" fillId="2" borderId="112" xfId="0" applyNumberFormat="1" applyFill="1" applyBorder="1" applyAlignment="1">
      <alignment horizontal="center" vertical="center" wrapText="1"/>
    </xf>
    <xf numFmtId="9" fontId="0" fillId="2" borderId="170" xfId="0" applyNumberFormat="1" applyFill="1" applyBorder="1" applyAlignment="1">
      <alignment horizontal="center" vertical="center" wrapText="1"/>
    </xf>
    <xf numFmtId="0" fontId="31" fillId="3" borderId="190" xfId="4" applyFont="1" applyFill="1" applyBorder="1" applyAlignment="1">
      <alignment horizontal="center" vertical="center"/>
    </xf>
    <xf numFmtId="3" fontId="92" fillId="2" borderId="91" xfId="0" applyNumberFormat="1" applyFont="1" applyFill="1" applyBorder="1" applyAlignment="1">
      <alignment horizontal="center" vertical="center" wrapText="1"/>
    </xf>
    <xf numFmtId="9" fontId="0" fillId="2" borderId="112" xfId="0" applyNumberFormat="1" applyFill="1" applyBorder="1" applyAlignment="1">
      <alignment horizontal="center" vertical="center" wrapText="1"/>
    </xf>
    <xf numFmtId="9" fontId="0" fillId="2" borderId="37" xfId="0" applyNumberFormat="1" applyFill="1" applyBorder="1" applyAlignment="1">
      <alignment horizontal="center" vertical="center" wrapText="1"/>
    </xf>
    <xf numFmtId="166" fontId="92" fillId="2" borderId="91" xfId="0" applyFont="1" applyFill="1" applyBorder="1" applyAlignment="1">
      <alignment horizontal="center" vertical="center" wrapText="1"/>
    </xf>
    <xf numFmtId="3" fontId="0" fillId="2" borderId="95" xfId="0" applyNumberFormat="1" applyFill="1" applyBorder="1" applyAlignment="1">
      <alignment horizontal="center" vertical="center" wrapText="1"/>
    </xf>
    <xf numFmtId="0" fontId="74" fillId="5" borderId="78" xfId="258" applyFont="1" applyFill="1" applyBorder="1" applyAlignment="1" applyProtection="1">
      <alignment horizontal="left" vertical="center" wrapText="1"/>
      <protection locked="0"/>
    </xf>
    <xf numFmtId="0" fontId="65" fillId="5" borderId="37" xfId="258" applyFont="1" applyFill="1" applyBorder="1" applyAlignment="1" applyProtection="1">
      <alignment horizontal="center" vertical="center" wrapText="1"/>
      <protection locked="0"/>
    </xf>
    <xf numFmtId="0" fontId="74" fillId="5" borderId="37" xfId="258" applyFont="1" applyFill="1" applyBorder="1" applyAlignment="1" applyProtection="1">
      <alignment horizontal="center" vertical="center" wrapText="1"/>
      <protection locked="0"/>
    </xf>
    <xf numFmtId="0" fontId="65" fillId="2" borderId="79" xfId="258" applyFont="1" applyFill="1" applyBorder="1" applyAlignment="1" applyProtection="1">
      <alignment horizontal="left" vertical="center" wrapText="1"/>
      <protection locked="0"/>
    </xf>
    <xf numFmtId="0" fontId="65" fillId="2" borderId="47" xfId="258" applyFont="1" applyFill="1" applyBorder="1" applyAlignment="1" applyProtection="1">
      <alignment horizontal="center" vertical="center" wrapText="1"/>
      <protection locked="0"/>
    </xf>
    <xf numFmtId="0" fontId="65" fillId="2" borderId="78" xfId="258" applyFont="1" applyFill="1" applyBorder="1" applyAlignment="1" applyProtection="1">
      <alignment horizontal="center" vertical="center" wrapText="1"/>
      <protection locked="0"/>
    </xf>
    <xf numFmtId="9" fontId="65" fillId="2" borderId="47" xfId="258" applyNumberFormat="1" applyFont="1" applyFill="1" applyBorder="1" applyAlignment="1" applyProtection="1">
      <alignment horizontal="center" vertical="center" wrapText="1"/>
      <protection locked="0"/>
    </xf>
    <xf numFmtId="3" fontId="65" fillId="5" borderId="78" xfId="258" applyNumberFormat="1" applyFont="1" applyFill="1" applyBorder="1" applyAlignment="1" applyProtection="1">
      <alignment horizontal="center" vertical="center" wrapText="1"/>
      <protection locked="0"/>
    </xf>
    <xf numFmtId="9" fontId="65" fillId="2" borderId="37" xfId="258" applyNumberFormat="1" applyFont="1" applyFill="1" applyBorder="1" applyAlignment="1" applyProtection="1">
      <alignment horizontal="center" vertical="center" wrapText="1"/>
      <protection locked="0"/>
    </xf>
    <xf numFmtId="9" fontId="65" fillId="2" borderId="79" xfId="258" applyNumberFormat="1" applyFont="1" applyFill="1" applyBorder="1" applyAlignment="1" applyProtection="1">
      <alignment horizontal="center" vertical="center" wrapText="1"/>
      <protection locked="0"/>
    </xf>
    <xf numFmtId="9" fontId="65" fillId="2" borderId="36" xfId="258" applyNumberFormat="1" applyFont="1" applyFill="1" applyBorder="1" applyAlignment="1" applyProtection="1">
      <alignment horizontal="center" vertical="center" wrapText="1"/>
      <protection locked="0"/>
    </xf>
    <xf numFmtId="3" fontId="65" fillId="2" borderId="78" xfId="258" applyNumberFormat="1" applyFont="1" applyFill="1" applyBorder="1" applyAlignment="1" applyProtection="1">
      <alignment horizontal="center" vertical="center" wrapText="1"/>
      <protection locked="0"/>
    </xf>
    <xf numFmtId="3" fontId="65" fillId="2" borderId="37" xfId="258" applyNumberFormat="1" applyFont="1" applyFill="1" applyBorder="1" applyAlignment="1" applyProtection="1">
      <alignment horizontal="center" vertical="center" wrapText="1"/>
      <protection locked="0"/>
    </xf>
    <xf numFmtId="3" fontId="65" fillId="2" borderId="79" xfId="258" applyNumberFormat="1" applyFont="1" applyFill="1" applyBorder="1" applyAlignment="1" applyProtection="1">
      <alignment horizontal="center" vertical="center" wrapText="1"/>
      <protection locked="0"/>
    </xf>
    <xf numFmtId="0" fontId="97" fillId="7" borderId="3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protection locked="0"/>
    </xf>
    <xf numFmtId="0" fontId="100" fillId="2" borderId="0" xfId="0" applyNumberFormat="1" applyFont="1" applyFill="1" applyBorder="1" applyAlignment="1" applyProtection="1">
      <alignment horizontal="center" vertical="center"/>
      <protection locked="0"/>
    </xf>
    <xf numFmtId="0" fontId="35" fillId="2" borderId="0" xfId="0" applyNumberFormat="1" applyFont="1" applyFill="1" applyBorder="1" applyAlignment="1" applyProtection="1">
      <alignment horizontal="center" vertical="center"/>
      <protection locked="0"/>
    </xf>
    <xf numFmtId="0" fontId="35" fillId="3" borderId="145" xfId="0" applyNumberFormat="1" applyFont="1" applyFill="1" applyBorder="1" applyAlignment="1" applyProtection="1">
      <alignment horizontal="center" vertical="center"/>
      <protection locked="0"/>
    </xf>
    <xf numFmtId="0" fontId="98" fillId="3" borderId="61" xfId="0" applyNumberFormat="1" applyFont="1" applyFill="1" applyBorder="1" applyAlignment="1" applyProtection="1">
      <alignment horizontal="center" vertical="center" wrapText="1"/>
      <protection locked="0"/>
    </xf>
    <xf numFmtId="0" fontId="64" fillId="3" borderId="61" xfId="10" applyNumberFormat="1" applyFont="1" applyFill="1" applyBorder="1" applyAlignment="1">
      <alignment horizontal="center" vertical="center"/>
    </xf>
    <xf numFmtId="0" fontId="64" fillId="3" borderId="61" xfId="0" applyNumberFormat="1" applyFont="1" applyFill="1" applyBorder="1" applyAlignment="1" applyProtection="1">
      <alignment horizontal="center" vertical="center" wrapText="1"/>
      <protection locked="0"/>
    </xf>
    <xf numFmtId="49" fontId="98" fillId="3" borderId="61" xfId="0" applyNumberFormat="1" applyFont="1" applyFill="1" applyBorder="1" applyAlignment="1" applyProtection="1">
      <alignment horizontal="center" vertical="center" wrapText="1"/>
      <protection locked="0"/>
    </xf>
    <xf numFmtId="0" fontId="99" fillId="3" borderId="61" xfId="57" applyNumberFormat="1" applyFont="1" applyFill="1" applyBorder="1" applyAlignment="1">
      <alignment horizontal="center" vertical="center"/>
    </xf>
    <xf numFmtId="0" fontId="64" fillId="3" borderId="61" xfId="57" applyNumberFormat="1" applyFont="1" applyFill="1" applyBorder="1" applyAlignment="1">
      <alignment horizontal="center" vertical="center"/>
    </xf>
    <xf numFmtId="0" fontId="64" fillId="3" borderId="61" xfId="0" applyNumberFormat="1" applyFont="1" applyFill="1" applyBorder="1" applyAlignment="1" applyProtection="1">
      <alignment horizontal="center"/>
      <protection locked="0"/>
    </xf>
    <xf numFmtId="166" fontId="0" fillId="0" borderId="104" xfId="0" pivotButton="1" applyBorder="1" applyAlignment="1">
      <alignment wrapText="1"/>
    </xf>
    <xf numFmtId="166" fontId="0" fillId="0" borderId="104" xfId="0" applyBorder="1" applyAlignment="1">
      <alignment horizontal="center" vertical="center"/>
    </xf>
    <xf numFmtId="166" fontId="38" fillId="7" borderId="166" xfId="0" applyFont="1" applyFill="1" applyBorder="1" applyAlignment="1" applyProtection="1">
      <alignment horizontal="center" vertical="center" wrapText="1"/>
    </xf>
    <xf numFmtId="166" fontId="40" fillId="4" borderId="123" xfId="0" applyFont="1" applyFill="1" applyBorder="1" applyAlignment="1" applyProtection="1">
      <alignment horizontal="center" vertical="center" wrapText="1"/>
    </xf>
    <xf numFmtId="166" fontId="40" fillId="4" borderId="167" xfId="0" applyFont="1" applyFill="1" applyBorder="1" applyAlignment="1" applyProtection="1">
      <alignment horizontal="center" vertical="center" wrapText="1"/>
    </xf>
    <xf numFmtId="166" fontId="32" fillId="2" borderId="0" xfId="0" applyFont="1" applyFill="1" applyBorder="1" applyAlignment="1" applyProtection="1">
      <alignment horizontal="left" vertical="center" wrapText="1"/>
      <protection locked="0"/>
    </xf>
    <xf numFmtId="166" fontId="81" fillId="2" borderId="0"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left" vertical="center" wrapText="1"/>
      <protection locked="0"/>
    </xf>
    <xf numFmtId="166" fontId="32" fillId="2" borderId="0" xfId="0" applyFont="1" applyFill="1" applyBorder="1" applyAlignment="1" applyProtection="1">
      <alignment horizontal="center" vertical="center" wrapText="1"/>
      <protection locked="0"/>
    </xf>
    <xf numFmtId="166" fontId="81" fillId="2" borderId="0" xfId="0" applyFont="1" applyFill="1" applyBorder="1" applyAlignment="1" applyProtection="1">
      <alignment horizontal="center" vertical="center" wrapText="1"/>
    </xf>
    <xf numFmtId="9" fontId="32" fillId="2" borderId="0" xfId="0" applyNumberFormat="1" applyFont="1" applyFill="1" applyBorder="1" applyAlignment="1" applyProtection="1">
      <alignment horizontal="center" vertical="center" wrapText="1"/>
      <protection locked="0"/>
    </xf>
    <xf numFmtId="166" fontId="40" fillId="5" borderId="166" xfId="0" applyFont="1" applyFill="1" applyBorder="1" applyAlignment="1" applyProtection="1">
      <alignment horizontal="center" vertical="center" wrapText="1"/>
    </xf>
    <xf numFmtId="0" fontId="0" fillId="0" borderId="0" xfId="0" applyNumberFormat="1" applyAlignment="1">
      <alignment horizontal="center"/>
    </xf>
    <xf numFmtId="0" fontId="0" fillId="13" borderId="0" xfId="0" applyNumberFormat="1" applyFill="1" applyAlignment="1">
      <alignment horizontal="center"/>
    </xf>
    <xf numFmtId="0" fontId="0" fillId="0" borderId="0" xfId="0" applyNumberFormat="1" applyFill="1" applyAlignment="1">
      <alignment horizontal="center"/>
    </xf>
    <xf numFmtId="166" fontId="41" fillId="3" borderId="170" xfId="0" applyFont="1" applyFill="1" applyBorder="1" applyAlignment="1" applyProtection="1">
      <alignment horizontal="left" vertical="center" wrapText="1"/>
      <protection locked="0"/>
    </xf>
    <xf numFmtId="166" fontId="32" fillId="3" borderId="145" xfId="0" applyFont="1" applyFill="1" applyBorder="1" applyAlignment="1" applyProtection="1">
      <alignment horizontal="left" vertical="top"/>
      <protection locked="0"/>
    </xf>
    <xf numFmtId="0" fontId="41" fillId="0" borderId="61" xfId="0" applyNumberFormat="1" applyFont="1" applyFill="1" applyBorder="1" applyAlignment="1" applyProtection="1">
      <alignment horizontal="center" vertical="center" wrapText="1"/>
      <protection locked="0"/>
    </xf>
    <xf numFmtId="0" fontId="0" fillId="0" borderId="145" xfId="0" applyNumberFormat="1" applyBorder="1" applyAlignment="1">
      <alignment horizontal="center"/>
    </xf>
    <xf numFmtId="1" fontId="41" fillId="0" borderId="187" xfId="0" applyNumberFormat="1" applyFont="1" applyFill="1" applyBorder="1" applyAlignment="1" applyProtection="1">
      <alignment horizontal="center" vertical="center" wrapText="1"/>
      <protection locked="0"/>
    </xf>
    <xf numFmtId="1" fontId="35" fillId="0" borderId="179" xfId="0" applyNumberFormat="1" applyFont="1" applyFill="1" applyBorder="1" applyAlignment="1" applyProtection="1">
      <alignment horizontal="center" vertical="center" wrapText="1"/>
      <protection locked="0"/>
    </xf>
    <xf numFmtId="1" fontId="41" fillId="0" borderId="179" xfId="0" quotePrefix="1" applyNumberFormat="1" applyFont="1" applyFill="1" applyBorder="1" applyAlignment="1" applyProtection="1">
      <alignment horizontal="center" vertical="center" wrapText="1"/>
      <protection locked="0"/>
    </xf>
    <xf numFmtId="1" fontId="41" fillId="0" borderId="197" xfId="0" applyNumberFormat="1" applyFont="1" applyFill="1" applyBorder="1" applyAlignment="1" applyProtection="1">
      <alignment horizontal="center" vertical="center" wrapText="1"/>
      <protection locked="0"/>
    </xf>
    <xf numFmtId="1" fontId="32" fillId="2" borderId="0" xfId="0" applyNumberFormat="1" applyFont="1" applyFill="1" applyBorder="1" applyAlignment="1" applyProtection="1">
      <alignment horizontal="center" vertical="center"/>
      <protection locked="0"/>
    </xf>
    <xf numFmtId="0" fontId="41" fillId="3" borderId="59" xfId="0" applyNumberFormat="1" applyFont="1" applyFill="1" applyBorder="1" applyAlignment="1">
      <alignment vertical="center"/>
    </xf>
    <xf numFmtId="0" fontId="41" fillId="3" borderId="59" xfId="0" applyNumberFormat="1" applyFont="1" applyFill="1" applyBorder="1" applyAlignment="1">
      <alignment horizontal="left" vertical="center"/>
    </xf>
    <xf numFmtId="0" fontId="41" fillId="3" borderId="59" xfId="0" applyNumberFormat="1" applyFont="1" applyFill="1" applyBorder="1" applyAlignment="1">
      <alignment vertical="center" wrapText="1"/>
    </xf>
    <xf numFmtId="0" fontId="35" fillId="3" borderId="59" xfId="0" applyNumberFormat="1" applyFont="1" applyFill="1" applyBorder="1" applyAlignment="1">
      <alignment horizontal="left"/>
    </xf>
    <xf numFmtId="0" fontId="35" fillId="3" borderId="59" xfId="0" applyNumberFormat="1" applyFont="1" applyFill="1" applyBorder="1" applyAlignment="1">
      <alignment horizontal="left" wrapText="1"/>
    </xf>
    <xf numFmtId="9" fontId="0" fillId="0" borderId="99" xfId="0" applyNumberFormat="1" applyBorder="1" applyAlignment="1">
      <alignment horizontal="center" vertical="center"/>
    </xf>
    <xf numFmtId="9" fontId="0" fillId="0" borderId="109" xfId="0" applyNumberFormat="1" applyBorder="1" applyAlignment="1">
      <alignment horizontal="center" vertical="center"/>
    </xf>
    <xf numFmtId="9" fontId="0" fillId="0" borderId="101" xfId="0" applyNumberFormat="1" applyBorder="1" applyAlignment="1">
      <alignment horizontal="center" vertical="center"/>
    </xf>
    <xf numFmtId="9" fontId="0" fillId="0" borderId="0" xfId="0" applyNumberFormat="1" applyAlignment="1">
      <alignment horizontal="center" vertical="center"/>
    </xf>
    <xf numFmtId="166" fontId="0" fillId="0" borderId="155" xfId="0" applyBorder="1"/>
    <xf numFmtId="166" fontId="0" fillId="0" borderId="103" xfId="0" applyBorder="1"/>
    <xf numFmtId="9" fontId="0" fillId="0" borderId="103" xfId="0" applyNumberFormat="1" applyBorder="1" applyAlignment="1">
      <alignment horizontal="center" vertical="center"/>
    </xf>
    <xf numFmtId="9" fontId="0" fillId="0" borderId="154" xfId="0" applyNumberFormat="1" applyBorder="1" applyAlignment="1">
      <alignment horizontal="center" vertical="center"/>
    </xf>
    <xf numFmtId="9" fontId="0" fillId="0" borderId="157" xfId="0" applyNumberFormat="1" applyBorder="1" applyAlignment="1">
      <alignment horizontal="center" vertical="center"/>
    </xf>
    <xf numFmtId="9" fontId="0" fillId="0" borderId="155" xfId="0" applyNumberFormat="1" applyBorder="1" applyAlignment="1">
      <alignment horizontal="center" vertical="center"/>
    </xf>
    <xf numFmtId="9" fontId="0" fillId="0" borderId="156" xfId="0" applyNumberFormat="1" applyBorder="1" applyAlignment="1">
      <alignment horizontal="center" vertical="center"/>
    </xf>
    <xf numFmtId="0" fontId="74" fillId="5" borderId="78" xfId="278" applyFont="1" applyFill="1" applyBorder="1" applyAlignment="1" applyProtection="1">
      <alignment horizontal="left" vertical="center" wrapText="1"/>
      <protection locked="0"/>
    </xf>
    <xf numFmtId="0" fontId="65" fillId="5" borderId="37" xfId="278" applyFont="1" applyFill="1" applyBorder="1" applyAlignment="1" applyProtection="1">
      <alignment horizontal="center" vertical="center" wrapText="1"/>
      <protection locked="0"/>
    </xf>
    <xf numFmtId="0" fontId="74" fillId="5" borderId="37" xfId="278" applyFont="1" applyFill="1" applyBorder="1" applyAlignment="1" applyProtection="1">
      <alignment horizontal="center" vertical="center" wrapText="1"/>
      <protection locked="0"/>
    </xf>
    <xf numFmtId="0" fontId="65" fillId="2" borderId="79" xfId="278" applyFont="1" applyFill="1" applyBorder="1" applyAlignment="1" applyProtection="1">
      <alignment horizontal="left" vertical="center" wrapText="1"/>
      <protection locked="0"/>
    </xf>
    <xf numFmtId="14" fontId="65" fillId="2" borderId="37" xfId="278" applyNumberFormat="1" applyFont="1" applyFill="1" applyBorder="1" applyAlignment="1" applyProtection="1">
      <alignment horizontal="center" vertical="center" wrapText="1"/>
      <protection locked="0"/>
    </xf>
    <xf numFmtId="0" fontId="65" fillId="2" borderId="47" xfId="278" applyFont="1" applyFill="1" applyBorder="1" applyAlignment="1" applyProtection="1">
      <alignment horizontal="center" vertical="center" wrapText="1"/>
      <protection locked="0"/>
    </xf>
    <xf numFmtId="0" fontId="65" fillId="2" borderId="79" xfId="278" applyFont="1" applyFill="1" applyBorder="1" applyAlignment="1" applyProtection="1">
      <alignment horizontal="center" vertical="center" wrapText="1"/>
      <protection locked="0"/>
    </xf>
    <xf numFmtId="0" fontId="65" fillId="2" borderId="78" xfId="278" applyFont="1" applyFill="1" applyBorder="1" applyAlignment="1" applyProtection="1">
      <alignment horizontal="center" vertical="center" wrapText="1"/>
      <protection locked="0"/>
    </xf>
    <xf numFmtId="9" fontId="65" fillId="2" borderId="47" xfId="279" applyNumberFormat="1" applyFont="1" applyFill="1" applyBorder="1" applyAlignment="1">
      <alignment horizontal="center" vertical="center"/>
    </xf>
    <xf numFmtId="9" fontId="65" fillId="2" borderId="36" xfId="279" applyNumberFormat="1" applyFont="1" applyFill="1" applyBorder="1" applyAlignment="1">
      <alignment horizontal="center" vertical="center"/>
    </xf>
    <xf numFmtId="0" fontId="65" fillId="2" borderId="37" xfId="278" applyFont="1" applyFill="1" applyBorder="1" applyAlignment="1" applyProtection="1">
      <alignment horizontal="center" vertical="center" wrapText="1"/>
      <protection locked="0"/>
    </xf>
    <xf numFmtId="3" fontId="65" fillId="5" borderId="78" xfId="278" applyNumberFormat="1" applyFont="1" applyFill="1" applyBorder="1" applyAlignment="1" applyProtection="1">
      <alignment horizontal="center" vertical="center" wrapText="1"/>
      <protection locked="0"/>
    </xf>
    <xf numFmtId="14" fontId="65" fillId="0" borderId="78" xfId="278" applyNumberFormat="1" applyFont="1" applyFill="1" applyBorder="1" applyAlignment="1" applyProtection="1">
      <alignment horizontal="center" vertical="center" wrapText="1"/>
      <protection locked="0"/>
    </xf>
    <xf numFmtId="9" fontId="65" fillId="0" borderId="37" xfId="285" applyFont="1" applyFill="1" applyBorder="1" applyAlignment="1">
      <alignment horizontal="center" vertical="center"/>
    </xf>
    <xf numFmtId="9" fontId="65" fillId="0" borderId="79" xfId="279" applyNumberFormat="1" applyFont="1" applyFill="1" applyBorder="1" applyAlignment="1">
      <alignment horizontal="center" vertical="center"/>
    </xf>
    <xf numFmtId="0" fontId="65" fillId="2" borderId="198" xfId="278" applyFont="1" applyFill="1" applyBorder="1" applyAlignment="1" applyProtection="1">
      <alignment horizontal="center" vertical="center" wrapText="1"/>
      <protection locked="0"/>
    </xf>
    <xf numFmtId="0" fontId="65" fillId="2" borderId="198" xfId="11" applyFont="1" applyFill="1" applyBorder="1" applyAlignment="1" applyProtection="1">
      <alignment horizontal="center" vertical="center" wrapText="1"/>
      <protection locked="0"/>
    </xf>
    <xf numFmtId="0" fontId="65" fillId="2" borderId="198" xfId="250" applyFont="1" applyFill="1" applyBorder="1" applyAlignment="1" applyProtection="1">
      <alignment horizontal="center" vertical="center" wrapText="1"/>
      <protection locked="0"/>
    </xf>
    <xf numFmtId="9" fontId="65" fillId="2" borderId="47" xfId="279" applyNumberFormat="1" applyFont="1" applyFill="1" applyBorder="1" applyAlignment="1">
      <alignment horizontal="center" vertical="center"/>
    </xf>
    <xf numFmtId="9" fontId="65" fillId="2" borderId="37" xfId="279" applyNumberFormat="1" applyFont="1" applyFill="1" applyBorder="1" applyAlignment="1">
      <alignment horizontal="center" vertical="center"/>
    </xf>
    <xf numFmtId="1" fontId="41" fillId="13" borderId="61" xfId="0" applyNumberFormat="1" applyFont="1" applyFill="1" applyBorder="1" applyAlignment="1" applyProtection="1">
      <alignment horizontal="center" vertical="center" wrapText="1"/>
      <protection locked="0"/>
    </xf>
    <xf numFmtId="0" fontId="41" fillId="3" borderId="145" xfId="4" applyFont="1" applyFill="1" applyBorder="1" applyAlignment="1">
      <alignment horizontal="center" vertical="center"/>
    </xf>
    <xf numFmtId="166" fontId="38" fillId="7" borderId="42" xfId="0" applyFont="1" applyFill="1" applyBorder="1" applyAlignment="1" applyProtection="1">
      <alignment horizontal="center" vertical="center" wrapText="1"/>
    </xf>
    <xf numFmtId="9" fontId="35" fillId="0" borderId="145" xfId="0" applyNumberFormat="1" applyFont="1" applyFill="1" applyBorder="1" applyAlignment="1" applyProtection="1">
      <alignment horizontal="center" vertical="center" wrapText="1"/>
      <protection locked="0"/>
    </xf>
    <xf numFmtId="9" fontId="32" fillId="0" borderId="61" xfId="0" applyNumberFormat="1" applyFont="1" applyFill="1" applyBorder="1" applyAlignment="1" applyProtection="1">
      <alignment horizontal="center"/>
      <protection locked="0"/>
    </xf>
    <xf numFmtId="9" fontId="41" fillId="0" borderId="175" xfId="0" applyNumberFormat="1" applyFont="1" applyFill="1" applyBorder="1" applyAlignment="1" applyProtection="1">
      <alignment horizontal="center" vertical="center" wrapText="1"/>
      <protection locked="0"/>
    </xf>
    <xf numFmtId="166" fontId="39" fillId="5" borderId="18" xfId="0" applyFont="1" applyFill="1" applyBorder="1" applyAlignment="1" applyProtection="1">
      <alignment horizontal="center" vertical="center" wrapText="1"/>
      <protection locked="0"/>
    </xf>
    <xf numFmtId="166" fontId="0" fillId="2" borderId="53" xfId="0" applyNumberFormat="1" applyFill="1" applyBorder="1" applyAlignment="1">
      <alignment vertical="center" wrapText="1"/>
    </xf>
    <xf numFmtId="2" fontId="49" fillId="2" borderId="0" xfId="0" applyNumberFormat="1" applyFont="1" applyFill="1" applyBorder="1" applyAlignment="1" applyProtection="1">
      <alignment horizontal="center" vertical="center"/>
      <protection locked="0"/>
    </xf>
    <xf numFmtId="166" fontId="39" fillId="6" borderId="45" xfId="0" applyFont="1" applyFill="1" applyBorder="1" applyAlignment="1" applyProtection="1">
      <alignment horizontal="center" vertical="center" wrapText="1"/>
      <protection locked="0"/>
    </xf>
    <xf numFmtId="166" fontId="41" fillId="2" borderId="163" xfId="0" applyFont="1" applyFill="1" applyBorder="1" applyAlignment="1" applyProtection="1">
      <alignment horizontal="center" vertical="center" wrapText="1"/>
      <protection locked="0"/>
    </xf>
    <xf numFmtId="166" fontId="41" fillId="2" borderId="163" xfId="0" applyNumberFormat="1" applyFont="1" applyFill="1" applyBorder="1" applyAlignment="1" applyProtection="1">
      <alignment horizontal="center" vertical="center" wrapText="1"/>
      <protection locked="0"/>
    </xf>
    <xf numFmtId="168" fontId="0" fillId="0" borderId="0" xfId="0" applyNumberFormat="1"/>
    <xf numFmtId="0" fontId="64" fillId="3" borderId="171" xfId="0" applyNumberFormat="1" applyFont="1" applyFill="1" applyBorder="1" applyAlignment="1" applyProtection="1">
      <alignment horizontal="center"/>
      <protection locked="0"/>
    </xf>
    <xf numFmtId="0" fontId="35" fillId="3" borderId="170" xfId="0" applyNumberFormat="1" applyFont="1" applyFill="1" applyBorder="1" applyAlignment="1" applyProtection="1">
      <alignment horizontal="center" vertical="center"/>
      <protection locked="0"/>
    </xf>
    <xf numFmtId="166" fontId="35" fillId="7" borderId="144" xfId="0" applyFont="1" applyFill="1" applyBorder="1" applyAlignment="1" applyProtection="1">
      <alignment horizontal="center" vertical="center" wrapText="1"/>
    </xf>
    <xf numFmtId="166" fontId="35" fillId="2" borderId="143" xfId="0" applyFont="1" applyFill="1" applyBorder="1" applyAlignment="1" applyProtection="1">
      <alignment horizontal="center" vertical="center" wrapText="1"/>
    </xf>
    <xf numFmtId="166" fontId="32" fillId="3" borderId="171" xfId="0" applyFont="1" applyFill="1" applyBorder="1" applyAlignment="1" applyProtection="1">
      <alignment horizontal="left"/>
      <protection locked="0"/>
    </xf>
    <xf numFmtId="166" fontId="35" fillId="3" borderId="61" xfId="0" applyFont="1" applyFill="1" applyBorder="1" applyAlignment="1" applyProtection="1">
      <alignment horizontal="center" vertical="center" wrapText="1"/>
      <protection locked="0"/>
    </xf>
    <xf numFmtId="166" fontId="32" fillId="3" borderId="34" xfId="0" applyFont="1" applyFill="1" applyBorder="1" applyAlignment="1" applyProtection="1">
      <alignment horizontal="left"/>
      <protection locked="0"/>
    </xf>
    <xf numFmtId="166" fontId="32" fillId="3" borderId="43" xfId="0" applyFont="1" applyFill="1" applyBorder="1" applyAlignment="1" applyProtection="1">
      <alignment horizontal="center"/>
      <protection locked="0"/>
    </xf>
    <xf numFmtId="166" fontId="41" fillId="3" borderId="176" xfId="0" applyFont="1" applyFill="1" applyBorder="1" applyAlignment="1" applyProtection="1">
      <alignment horizontal="center" vertical="center" wrapText="1"/>
      <protection locked="0"/>
    </xf>
    <xf numFmtId="166" fontId="32" fillId="3" borderId="165" xfId="0" applyFont="1" applyFill="1" applyBorder="1" applyAlignment="1" applyProtection="1">
      <alignment horizontal="center"/>
      <protection locked="0"/>
    </xf>
    <xf numFmtId="1" fontId="35" fillId="3" borderId="175" xfId="0" applyNumberFormat="1" applyFont="1" applyFill="1" applyBorder="1" applyAlignment="1" applyProtection="1">
      <alignment horizontal="center" vertical="center" wrapText="1"/>
      <protection locked="0"/>
    </xf>
    <xf numFmtId="166" fontId="32" fillId="3" borderId="164" xfId="0" applyFont="1" applyFill="1" applyBorder="1" applyAlignment="1" applyProtection="1">
      <alignment horizontal="center"/>
      <protection locked="0"/>
    </xf>
    <xf numFmtId="166" fontId="41" fillId="3" borderId="175" xfId="0" applyNumberFormat="1" applyFont="1" applyFill="1" applyBorder="1" applyAlignment="1" applyProtection="1">
      <alignment horizontal="center" vertical="center" wrapText="1"/>
      <protection locked="0"/>
    </xf>
    <xf numFmtId="166" fontId="35" fillId="3" borderId="61" xfId="0" applyNumberFormat="1" applyFont="1" applyFill="1" applyBorder="1" applyAlignment="1" applyProtection="1">
      <alignment horizontal="center" vertical="center" wrapText="1"/>
      <protection locked="0"/>
    </xf>
    <xf numFmtId="1" fontId="41" fillId="2" borderId="169" xfId="0" applyNumberFormat="1" applyFont="1" applyFill="1" applyBorder="1" applyAlignment="1" applyProtection="1">
      <alignment horizontal="center" vertical="center" wrapText="1"/>
      <protection locked="0"/>
    </xf>
    <xf numFmtId="1" fontId="41" fillId="2" borderId="33" xfId="0" applyNumberFormat="1" applyFont="1" applyFill="1" applyBorder="1" applyAlignment="1" applyProtection="1">
      <alignment horizontal="center" vertical="center" wrapText="1"/>
      <protection locked="0"/>
    </xf>
    <xf numFmtId="1" fontId="41" fillId="2" borderId="32" xfId="0" applyNumberFormat="1" applyFont="1" applyFill="1" applyBorder="1" applyAlignment="1" applyProtection="1">
      <alignment horizontal="center" vertical="center" wrapText="1"/>
      <protection locked="0"/>
    </xf>
    <xf numFmtId="1" fontId="41" fillId="2" borderId="171" xfId="0" applyNumberFormat="1" applyFont="1" applyFill="1" applyBorder="1" applyAlignment="1" applyProtection="1">
      <alignment horizontal="center" vertical="center" wrapText="1"/>
      <protection locked="0"/>
    </xf>
    <xf numFmtId="1" fontId="41" fillId="2" borderId="34" xfId="0" applyNumberFormat="1" applyFont="1" applyFill="1" applyBorder="1" applyAlignment="1" applyProtection="1">
      <alignment horizontal="center" vertical="center" wrapText="1"/>
      <protection locked="0"/>
    </xf>
    <xf numFmtId="9" fontId="41" fillId="0" borderId="177" xfId="0" applyNumberFormat="1" applyFont="1" applyFill="1" applyBorder="1" applyAlignment="1" applyProtection="1">
      <alignment horizontal="center" vertical="center" wrapText="1"/>
      <protection locked="0"/>
    </xf>
    <xf numFmtId="9" fontId="35" fillId="0" borderId="175" xfId="0" applyNumberFormat="1" applyFont="1" applyFill="1" applyBorder="1" applyAlignment="1" applyProtection="1">
      <alignment horizontal="center" vertical="center" wrapText="1"/>
      <protection locked="0"/>
    </xf>
    <xf numFmtId="9" fontId="35" fillId="2" borderId="175" xfId="0" applyNumberFormat="1" applyFont="1" applyFill="1" applyBorder="1" applyAlignment="1" applyProtection="1">
      <alignment horizontal="center" vertical="center" wrapText="1"/>
      <protection locked="0"/>
    </xf>
    <xf numFmtId="9" fontId="35" fillId="0" borderId="175" xfId="3" applyNumberFormat="1" applyFont="1" applyFill="1" applyBorder="1" applyAlignment="1" applyProtection="1">
      <alignment horizontal="center" vertical="center" wrapText="1"/>
      <protection locked="0"/>
    </xf>
    <xf numFmtId="166" fontId="93" fillId="2" borderId="60" xfId="0" applyFont="1" applyFill="1" applyBorder="1" applyAlignment="1" applyProtection="1">
      <alignment horizontal="left"/>
      <protection locked="0"/>
    </xf>
    <xf numFmtId="9" fontId="41" fillId="2" borderId="178" xfId="0" applyNumberFormat="1" applyFont="1" applyFill="1" applyBorder="1" applyAlignment="1" applyProtection="1">
      <alignment horizontal="center" vertical="center" wrapText="1"/>
      <protection locked="0"/>
    </xf>
    <xf numFmtId="166" fontId="32" fillId="2" borderId="61" xfId="0" applyFont="1" applyFill="1" applyBorder="1" applyAlignment="1" applyProtection="1">
      <alignment horizontal="center"/>
      <protection locked="0"/>
    </xf>
    <xf numFmtId="9" fontId="41" fillId="0" borderId="60" xfId="0" applyNumberFormat="1" applyFont="1" applyFill="1" applyBorder="1" applyAlignment="1" applyProtection="1">
      <alignment horizontal="center" vertical="center" wrapText="1"/>
      <protection locked="0"/>
    </xf>
    <xf numFmtId="9" fontId="35" fillId="0" borderId="170" xfId="3" applyFont="1" applyBorder="1" applyAlignment="1">
      <alignment horizontal="center" vertical="center"/>
    </xf>
    <xf numFmtId="9" fontId="41" fillId="0" borderId="147" xfId="3" applyFont="1" applyFill="1" applyBorder="1" applyAlignment="1" applyProtection="1">
      <alignment horizontal="center" vertical="center" wrapText="1"/>
      <protection locked="0"/>
    </xf>
    <xf numFmtId="1" fontId="35" fillId="0" borderId="163" xfId="0" applyNumberFormat="1" applyFont="1" applyFill="1" applyBorder="1" applyAlignment="1" applyProtection="1">
      <alignment horizontal="center" vertical="center" wrapText="1"/>
      <protection locked="0"/>
    </xf>
    <xf numFmtId="9" fontId="35" fillId="0" borderId="163" xfId="3" applyFont="1" applyFill="1" applyBorder="1" applyAlignment="1" applyProtection="1">
      <alignment horizontal="center" vertical="center" wrapText="1"/>
      <protection locked="0"/>
    </xf>
    <xf numFmtId="9" fontId="41" fillId="0" borderId="163" xfId="3" applyFont="1" applyFill="1" applyBorder="1" applyAlignment="1" applyProtection="1">
      <alignment horizontal="center" vertical="center" wrapText="1"/>
      <protection locked="0"/>
    </xf>
    <xf numFmtId="9" fontId="41" fillId="0" borderId="175" xfId="3" applyFont="1" applyFill="1" applyBorder="1" applyAlignment="1" applyProtection="1">
      <alignment horizontal="center" vertical="center" wrapText="1"/>
      <protection locked="0"/>
    </xf>
    <xf numFmtId="0" fontId="41" fillId="0" borderId="61" xfId="0" applyNumberFormat="1" applyFont="1" applyFill="1" applyBorder="1" applyAlignment="1">
      <alignment horizontal="center" vertical="center" wrapText="1"/>
    </xf>
    <xf numFmtId="171" fontId="41" fillId="2" borderId="169" xfId="0" applyNumberFormat="1" applyFont="1" applyFill="1" applyBorder="1" applyAlignment="1" applyProtection="1">
      <alignment horizontal="center" vertical="center" wrapText="1"/>
      <protection locked="0"/>
    </xf>
    <xf numFmtId="1" fontId="41" fillId="0" borderId="163" xfId="0" applyNumberFormat="1" applyFont="1" applyFill="1" applyBorder="1" applyAlignment="1" applyProtection="1">
      <alignment horizontal="center" vertical="center" wrapText="1"/>
      <protection locked="0"/>
    </xf>
    <xf numFmtId="166" fontId="35" fillId="2" borderId="60" xfId="0" applyFont="1" applyFill="1" applyBorder="1" applyAlignment="1" applyProtection="1">
      <alignment horizontal="left" vertical="center" wrapText="1"/>
      <protection locked="0"/>
    </xf>
    <xf numFmtId="166" fontId="35" fillId="2" borderId="60" xfId="0" applyNumberFormat="1" applyFont="1" applyFill="1" applyBorder="1" applyAlignment="1" applyProtection="1">
      <alignment horizontal="left" vertical="center" wrapText="1"/>
      <protection locked="0"/>
    </xf>
    <xf numFmtId="166" fontId="41" fillId="2" borderId="60" xfId="0" applyNumberFormat="1" applyFont="1" applyFill="1" applyBorder="1" applyAlignment="1" applyProtection="1">
      <alignment horizontal="left" vertical="center" wrapText="1"/>
      <protection locked="0"/>
    </xf>
    <xf numFmtId="166" fontId="41" fillId="2" borderId="60" xfId="0" applyFont="1" applyFill="1" applyBorder="1" applyAlignment="1" applyProtection="1">
      <alignment horizontal="left" vertical="center" wrapText="1"/>
      <protection locked="0"/>
    </xf>
    <xf numFmtId="166" fontId="32" fillId="2" borderId="162" xfId="0" applyFont="1" applyFill="1" applyBorder="1" applyAlignment="1" applyProtection="1">
      <alignment horizontal="left"/>
      <protection locked="0"/>
    </xf>
    <xf numFmtId="166" fontId="41" fillId="2" borderId="180" xfId="0" applyFont="1" applyFill="1" applyBorder="1" applyAlignment="1" applyProtection="1">
      <alignment horizontal="left" vertical="center" wrapText="1"/>
      <protection locked="0"/>
    </xf>
    <xf numFmtId="166" fontId="41" fillId="0" borderId="60" xfId="0" applyFont="1" applyFill="1" applyBorder="1" applyAlignment="1" applyProtection="1">
      <alignment horizontal="left" vertical="center" wrapText="1"/>
      <protection locked="0"/>
    </xf>
    <xf numFmtId="0" fontId="41" fillId="3" borderId="169" xfId="0" applyNumberFormat="1" applyFont="1" applyFill="1" applyBorder="1" applyAlignment="1">
      <alignment vertical="center"/>
    </xf>
    <xf numFmtId="0" fontId="92" fillId="0" borderId="171" xfId="0" applyNumberFormat="1" applyFont="1" applyFill="1" applyBorder="1" applyAlignment="1">
      <alignment horizontal="center" vertical="center"/>
    </xf>
    <xf numFmtId="1" fontId="35" fillId="3" borderId="61" xfId="0" applyNumberFormat="1" applyFont="1" applyFill="1" applyBorder="1" applyAlignment="1" applyProtection="1">
      <alignment horizontal="center" vertical="center" wrapText="1"/>
      <protection locked="0"/>
    </xf>
    <xf numFmtId="0" fontId="0" fillId="0" borderId="170" xfId="0" applyNumberFormat="1" applyFill="1" applyBorder="1" applyAlignment="1">
      <alignment horizontal="center" vertical="center"/>
    </xf>
    <xf numFmtId="166" fontId="93" fillId="2" borderId="174" xfId="0" applyFont="1" applyFill="1" applyBorder="1" applyAlignment="1" applyProtection="1">
      <alignment horizontal="left"/>
      <protection locked="0"/>
    </xf>
    <xf numFmtId="0" fontId="41" fillId="0" borderId="171" xfId="0" applyNumberFormat="1" applyFont="1" applyFill="1" applyBorder="1" applyAlignment="1">
      <alignment horizontal="center" vertical="center" wrapText="1"/>
    </xf>
    <xf numFmtId="166" fontId="32" fillId="2" borderId="169" xfId="0" applyFont="1" applyFill="1" applyBorder="1" applyAlignment="1" applyProtection="1">
      <alignment horizontal="center"/>
      <protection locked="0"/>
    </xf>
    <xf numFmtId="166" fontId="41" fillId="2" borderId="61" xfId="0" applyNumberFormat="1" applyFont="1" applyFill="1" applyBorder="1" applyAlignment="1" applyProtection="1">
      <alignment horizontal="left" vertical="center" wrapText="1"/>
      <protection locked="0"/>
    </xf>
    <xf numFmtId="166" fontId="41" fillId="7" borderId="145" xfId="0" applyFont="1" applyFill="1" applyBorder="1" applyAlignment="1" applyProtection="1">
      <alignment horizontal="center" vertical="center" wrapText="1"/>
    </xf>
    <xf numFmtId="166" fontId="41" fillId="2" borderId="145" xfId="0" applyFont="1" applyFill="1" applyBorder="1" applyAlignment="1" applyProtection="1">
      <alignment horizontal="center" vertical="center" wrapText="1"/>
    </xf>
    <xf numFmtId="166" fontId="41" fillId="3" borderId="59" xfId="0" applyFont="1" applyFill="1" applyBorder="1" applyAlignment="1" applyProtection="1">
      <alignment horizontal="center" vertical="center" wrapText="1"/>
      <protection locked="0"/>
    </xf>
    <xf numFmtId="3" fontId="41" fillId="5" borderId="143" xfId="0" applyNumberFormat="1" applyFont="1" applyFill="1" applyBorder="1" applyAlignment="1" applyProtection="1">
      <alignment horizontal="center" vertical="center" wrapText="1"/>
    </xf>
    <xf numFmtId="166" fontId="0" fillId="0" borderId="0" xfId="0"/>
    <xf numFmtId="171" fontId="41" fillId="2" borderId="172" xfId="0" applyNumberFormat="1" applyFont="1" applyFill="1" applyBorder="1" applyAlignment="1" applyProtection="1">
      <alignment horizontal="center" vertical="center" wrapText="1"/>
      <protection locked="0"/>
    </xf>
    <xf numFmtId="171" fontId="41" fillId="2" borderId="144" xfId="0" applyNumberFormat="1" applyFont="1" applyFill="1" applyBorder="1" applyAlignment="1" applyProtection="1">
      <alignment horizontal="center" vertical="center" wrapText="1"/>
      <protection locked="0"/>
    </xf>
    <xf numFmtId="168" fontId="41" fillId="0" borderId="144" xfId="0" applyNumberFormat="1" applyFont="1" applyFill="1" applyBorder="1" applyAlignment="1" applyProtection="1">
      <alignment horizontal="center" vertical="center" wrapText="1"/>
      <protection locked="0"/>
    </xf>
    <xf numFmtId="168" fontId="35" fillId="0" borderId="144" xfId="0" applyNumberFormat="1" applyFont="1" applyFill="1" applyBorder="1" applyAlignment="1" applyProtection="1">
      <alignment horizontal="center" vertical="center" wrapText="1"/>
      <protection locked="0"/>
    </xf>
    <xf numFmtId="168" fontId="41" fillId="2" borderId="144" xfId="0" applyNumberFormat="1" applyFont="1" applyFill="1" applyBorder="1" applyAlignment="1" applyProtection="1">
      <alignment horizontal="center" vertical="center" wrapText="1"/>
      <protection locked="0"/>
    </xf>
    <xf numFmtId="168" fontId="35" fillId="2" borderId="144" xfId="0" applyNumberFormat="1" applyFont="1" applyFill="1" applyBorder="1" applyAlignment="1" applyProtection="1">
      <alignment horizontal="center" vertical="center" wrapText="1"/>
      <protection locked="0"/>
    </xf>
    <xf numFmtId="168" fontId="40" fillId="6" borderId="167" xfId="0" applyNumberFormat="1" applyFont="1" applyFill="1" applyBorder="1" applyAlignment="1" applyProtection="1">
      <alignment horizontal="center" vertical="center" wrapText="1"/>
    </xf>
    <xf numFmtId="166" fontId="48" fillId="5" borderId="19" xfId="0" applyFont="1" applyFill="1" applyBorder="1" applyAlignment="1">
      <alignment horizontal="center" vertical="center"/>
    </xf>
    <xf numFmtId="166" fontId="48" fillId="5" borderId="20" xfId="0" applyFont="1" applyFill="1" applyBorder="1" applyAlignment="1">
      <alignment horizontal="center" vertical="center"/>
    </xf>
    <xf numFmtId="166" fontId="48" fillId="5" borderId="21" xfId="0" applyFont="1" applyFill="1" applyBorder="1" applyAlignment="1">
      <alignment horizontal="center" vertical="center"/>
    </xf>
    <xf numFmtId="166" fontId="31" fillId="6" borderId="26" xfId="0" applyFont="1" applyFill="1" applyBorder="1" applyAlignment="1">
      <alignment horizontal="center" vertical="center" wrapText="1"/>
    </xf>
    <xf numFmtId="166" fontId="31" fillId="6" borderId="25" xfId="0" applyFont="1" applyFill="1" applyBorder="1" applyAlignment="1">
      <alignment horizontal="center" vertical="center" wrapText="1"/>
    </xf>
    <xf numFmtId="166" fontId="31" fillId="6" borderId="3" xfId="0" applyFont="1" applyFill="1" applyBorder="1" applyAlignment="1">
      <alignment horizontal="center" vertical="center" wrapText="1"/>
    </xf>
    <xf numFmtId="166" fontId="31" fillId="6" borderId="4" xfId="0" applyFont="1" applyFill="1" applyBorder="1" applyAlignment="1">
      <alignment horizontal="center" vertical="center" wrapText="1"/>
    </xf>
    <xf numFmtId="166" fontId="31" fillId="6" borderId="124" xfId="0" applyFont="1" applyFill="1" applyBorder="1" applyAlignment="1">
      <alignment horizontal="center" vertical="center" wrapText="1"/>
    </xf>
    <xf numFmtId="166" fontId="31" fillId="6" borderId="125" xfId="0" applyFont="1" applyFill="1" applyBorder="1" applyAlignment="1">
      <alignment horizontal="center" vertical="center" wrapText="1"/>
    </xf>
    <xf numFmtId="166" fontId="31" fillId="6" borderId="130" xfId="0" applyFont="1" applyFill="1" applyBorder="1" applyAlignment="1">
      <alignment horizontal="center" vertical="center" wrapText="1"/>
    </xf>
    <xf numFmtId="166" fontId="31" fillId="6" borderId="131" xfId="0" applyFont="1" applyFill="1" applyBorder="1" applyAlignment="1">
      <alignment horizontal="center" vertical="center" wrapText="1"/>
    </xf>
    <xf numFmtId="166" fontId="31" fillId="6" borderId="128" xfId="0" applyFont="1" applyFill="1" applyBorder="1" applyAlignment="1">
      <alignment horizontal="center" vertical="center" wrapText="1"/>
    </xf>
    <xf numFmtId="166" fontId="31" fillId="6" borderId="129" xfId="0" applyFont="1" applyFill="1" applyBorder="1" applyAlignment="1">
      <alignment horizontal="center" vertical="center" wrapText="1"/>
    </xf>
    <xf numFmtId="166" fontId="49" fillId="3" borderId="10" xfId="0" applyFont="1" applyFill="1" applyBorder="1" applyAlignment="1">
      <alignment horizontal="left" vertical="center"/>
    </xf>
    <xf numFmtId="166" fontId="49" fillId="3" borderId="5" xfId="0" applyFont="1" applyFill="1" applyBorder="1" applyAlignment="1">
      <alignment horizontal="left" vertical="center"/>
    </xf>
    <xf numFmtId="166" fontId="49" fillId="3" borderId="9" xfId="0" applyFont="1" applyFill="1" applyBorder="1" applyAlignment="1">
      <alignment horizontal="left" vertical="center"/>
    </xf>
    <xf numFmtId="166" fontId="47" fillId="0" borderId="0" xfId="0" applyFont="1" applyFill="1" applyBorder="1" applyAlignment="1">
      <alignment horizontal="left" vertical="center"/>
    </xf>
    <xf numFmtId="166" fontId="47" fillId="3" borderId="10" xfId="0" applyFont="1" applyFill="1" applyBorder="1" applyAlignment="1">
      <alignment horizontal="left" vertical="center"/>
    </xf>
    <xf numFmtId="166" fontId="47" fillId="3" borderId="5" xfId="0" applyFont="1" applyFill="1" applyBorder="1" applyAlignment="1">
      <alignment horizontal="left" vertical="center"/>
    </xf>
    <xf numFmtId="166" fontId="47" fillId="3" borderId="9" xfId="0" applyFont="1" applyFill="1" applyBorder="1" applyAlignment="1">
      <alignment horizontal="left" vertical="center"/>
    </xf>
    <xf numFmtId="9" fontId="31" fillId="6" borderId="124" xfId="3" applyFont="1" applyFill="1" applyBorder="1" applyAlignment="1">
      <alignment horizontal="center" vertical="center" wrapText="1"/>
    </xf>
    <xf numFmtId="9" fontId="31" fillId="6" borderId="125" xfId="3" applyFont="1" applyFill="1" applyBorder="1" applyAlignment="1">
      <alignment horizontal="center" vertical="center" wrapText="1"/>
    </xf>
    <xf numFmtId="9" fontId="31" fillId="6" borderId="126" xfId="3" applyFont="1" applyFill="1" applyBorder="1" applyAlignment="1">
      <alignment horizontal="center" vertical="center" wrapText="1"/>
    </xf>
    <xf numFmtId="9" fontId="31" fillId="6" borderId="127" xfId="3" applyFont="1" applyFill="1" applyBorder="1" applyAlignment="1">
      <alignment horizontal="center" vertical="center" wrapText="1"/>
    </xf>
    <xf numFmtId="9" fontId="31" fillId="6" borderId="124" xfId="3" applyFont="1" applyFill="1" applyBorder="1" applyAlignment="1">
      <alignment horizontal="center" wrapText="1"/>
    </xf>
    <xf numFmtId="9" fontId="31" fillId="6" borderId="125" xfId="3" applyFont="1" applyFill="1" applyBorder="1" applyAlignment="1">
      <alignment horizontal="center" wrapText="1"/>
    </xf>
    <xf numFmtId="9" fontId="31" fillId="6" borderId="126" xfId="3" applyFont="1" applyFill="1" applyBorder="1" applyAlignment="1">
      <alignment horizontal="center" wrapText="1"/>
    </xf>
    <xf numFmtId="9" fontId="31" fillId="6" borderId="127" xfId="3" applyFont="1" applyFill="1" applyBorder="1" applyAlignment="1">
      <alignment horizontal="center" wrapText="1"/>
    </xf>
    <xf numFmtId="166" fontId="46" fillId="5" borderId="22" xfId="0" applyFont="1" applyFill="1" applyBorder="1" applyAlignment="1">
      <alignment horizontal="center" vertical="center" wrapText="1"/>
    </xf>
    <xf numFmtId="166" fontId="46" fillId="5" borderId="24" xfId="0" applyFont="1" applyFill="1" applyBorder="1" applyAlignment="1">
      <alignment horizontal="center" vertical="center" wrapText="1"/>
    </xf>
    <xf numFmtId="166" fontId="46" fillId="5" borderId="23" xfId="0" applyFont="1" applyFill="1" applyBorder="1" applyAlignment="1">
      <alignment horizontal="center" vertical="center" wrapText="1"/>
    </xf>
    <xf numFmtId="9" fontId="31" fillId="6" borderId="122" xfId="3" applyFont="1" applyFill="1" applyBorder="1" applyAlignment="1">
      <alignment horizontal="center" vertical="center" wrapText="1"/>
    </xf>
    <xf numFmtId="9" fontId="31" fillId="6" borderId="123" xfId="3" applyFont="1" applyFill="1" applyBorder="1" applyAlignment="1">
      <alignment horizontal="center" vertical="center" wrapText="1"/>
    </xf>
    <xf numFmtId="0" fontId="64" fillId="2" borderId="0" xfId="7" applyFont="1" applyFill="1" applyAlignment="1">
      <alignment horizontal="left" vertical="center" wrapText="1"/>
    </xf>
    <xf numFmtId="0" fontId="39" fillId="6" borderId="97" xfId="7" applyFont="1" applyFill="1" applyBorder="1" applyAlignment="1">
      <alignment horizontal="center" wrapText="1"/>
    </xf>
    <xf numFmtId="0" fontId="39" fillId="6" borderId="98" xfId="7" applyFont="1" applyFill="1" applyBorder="1" applyAlignment="1">
      <alignment horizontal="center" wrapText="1"/>
    </xf>
    <xf numFmtId="0" fontId="62" fillId="2" borderId="0" xfId="7" applyFont="1" applyFill="1" applyAlignment="1">
      <alignment horizontal="left" vertical="center" wrapText="1"/>
    </xf>
    <xf numFmtId="0" fontId="48" fillId="5" borderId="54" xfId="7" applyFont="1" applyFill="1" applyBorder="1" applyAlignment="1">
      <alignment horizontal="center" vertical="center"/>
    </xf>
    <xf numFmtId="0" fontId="48" fillId="5" borderId="5" xfId="7" applyFont="1" applyFill="1" applyBorder="1" applyAlignment="1">
      <alignment horizontal="center" vertical="center"/>
    </xf>
    <xf numFmtId="0" fontId="48" fillId="5" borderId="55" xfId="7" applyFont="1" applyFill="1" applyBorder="1" applyAlignment="1">
      <alignment horizontal="center" vertical="center"/>
    </xf>
    <xf numFmtId="166" fontId="0" fillId="0" borderId="0" xfId="0"/>
    <xf numFmtId="3" fontId="0" fillId="2" borderId="83" xfId="0" applyNumberFormat="1" applyFill="1" applyBorder="1" applyAlignment="1">
      <alignment horizontal="center" vertical="center" wrapText="1"/>
    </xf>
    <xf numFmtId="3" fontId="0" fillId="2" borderId="112" xfId="0" applyNumberFormat="1" applyFill="1" applyBorder="1" applyAlignment="1">
      <alignment horizontal="center" vertical="center" wrapText="1"/>
    </xf>
    <xf numFmtId="166" fontId="57" fillId="2" borderId="0" xfId="0" applyFont="1" applyFill="1" applyAlignment="1">
      <alignment horizontal="center" vertical="center" wrapText="1"/>
    </xf>
    <xf numFmtId="166" fontId="58" fillId="10" borderId="0" xfId="0" applyFont="1" applyFill="1" applyAlignment="1">
      <alignment horizontal="center" vertical="center" wrapText="1"/>
    </xf>
    <xf numFmtId="166" fontId="39" fillId="4" borderId="122" xfId="0" applyFont="1" applyFill="1" applyBorder="1" applyAlignment="1" applyProtection="1">
      <alignment horizontal="center" vertical="center" wrapText="1"/>
      <protection locked="0"/>
    </xf>
    <xf numFmtId="166" fontId="39" fillId="4" borderId="153" xfId="0" applyFont="1" applyFill="1" applyBorder="1" applyAlignment="1" applyProtection="1">
      <alignment horizontal="center" vertical="center" wrapText="1"/>
      <protection locked="0"/>
    </xf>
    <xf numFmtId="166" fontId="39" fillId="4" borderId="123" xfId="0" applyFont="1" applyFill="1" applyBorder="1" applyAlignment="1" applyProtection="1">
      <alignment horizontal="center" vertical="center" wrapText="1"/>
      <protection locked="0"/>
    </xf>
    <xf numFmtId="166" fontId="39" fillId="6" borderId="122" xfId="0" applyFont="1" applyFill="1" applyBorder="1" applyAlignment="1" applyProtection="1">
      <alignment horizontal="center" vertical="center" wrapText="1"/>
      <protection locked="0"/>
    </xf>
    <xf numFmtId="1" fontId="39" fillId="6" borderId="123" xfId="0" applyNumberFormat="1" applyFont="1" applyFill="1" applyBorder="1" applyAlignment="1" applyProtection="1">
      <alignment horizontal="center" vertical="center" wrapText="1"/>
      <protection locked="0"/>
    </xf>
    <xf numFmtId="166" fontId="39" fillId="6" borderId="153" xfId="0" applyFont="1" applyFill="1" applyBorder="1" applyAlignment="1" applyProtection="1">
      <alignment horizontal="center" vertical="center" wrapText="1"/>
      <protection locked="0"/>
    </xf>
    <xf numFmtId="166" fontId="39" fillId="6" borderId="123" xfId="0" applyFont="1" applyFill="1" applyBorder="1" applyAlignment="1" applyProtection="1">
      <alignment horizontal="center" vertical="center" wrapText="1"/>
      <protection locked="0"/>
    </xf>
    <xf numFmtId="166" fontId="33" fillId="3" borderId="122" xfId="0" applyFont="1" applyFill="1" applyBorder="1" applyAlignment="1" applyProtection="1">
      <alignment horizontal="center" vertical="center"/>
      <protection locked="0"/>
    </xf>
    <xf numFmtId="166" fontId="33" fillId="3" borderId="153" xfId="0" applyFont="1" applyFill="1" applyBorder="1" applyAlignment="1" applyProtection="1">
      <alignment horizontal="center" vertical="center"/>
      <protection locked="0"/>
    </xf>
    <xf numFmtId="0" fontId="33" fillId="3" borderId="50" xfId="0" applyNumberFormat="1" applyFont="1" applyFill="1" applyBorder="1" applyAlignment="1" applyProtection="1">
      <alignment horizontal="center" vertical="center"/>
      <protection locked="0"/>
    </xf>
    <xf numFmtId="0" fontId="33" fillId="3" borderId="24" xfId="0" applyNumberFormat="1" applyFont="1" applyFill="1" applyBorder="1" applyAlignment="1" applyProtection="1">
      <alignment horizontal="center" vertical="center"/>
      <protection locked="0"/>
    </xf>
    <xf numFmtId="166" fontId="39" fillId="5" borderId="122" xfId="0" applyFont="1" applyFill="1" applyBorder="1" applyAlignment="1" applyProtection="1">
      <alignment horizontal="center" vertical="center" wrapText="1"/>
      <protection locked="0"/>
    </xf>
    <xf numFmtId="166" fontId="39" fillId="5" borderId="153" xfId="0" applyFont="1" applyFill="1" applyBorder="1" applyAlignment="1" applyProtection="1">
      <alignment horizontal="center" vertical="center" wrapText="1"/>
      <protection locked="0"/>
    </xf>
    <xf numFmtId="0" fontId="49" fillId="5" borderId="22" xfId="0" applyNumberFormat="1" applyFont="1" applyFill="1" applyBorder="1" applyAlignment="1" applyProtection="1">
      <alignment horizontal="center" vertical="center"/>
      <protection locked="0"/>
    </xf>
    <xf numFmtId="0" fontId="49" fillId="5" borderId="24" xfId="0" applyNumberFormat="1" applyFont="1" applyFill="1" applyBorder="1" applyAlignment="1" applyProtection="1">
      <alignment horizontal="center" vertical="center"/>
      <protection locked="0"/>
    </xf>
    <xf numFmtId="2" fontId="49" fillId="5" borderId="24" xfId="0" applyNumberFormat="1" applyFont="1" applyFill="1" applyBorder="1" applyAlignment="1" applyProtection="1">
      <alignment horizontal="center" vertical="center"/>
      <protection locked="0"/>
    </xf>
    <xf numFmtId="2" fontId="49" fillId="5" borderId="23" xfId="0" applyNumberFormat="1" applyFont="1" applyFill="1" applyBorder="1" applyAlignment="1" applyProtection="1">
      <alignment horizontal="center" vertical="center"/>
      <protection locked="0"/>
    </xf>
    <xf numFmtId="166" fontId="37" fillId="4" borderId="22" xfId="0" applyFont="1" applyFill="1" applyBorder="1" applyAlignment="1" applyProtection="1">
      <alignment horizontal="center" vertical="center"/>
      <protection locked="0"/>
    </xf>
    <xf numFmtId="166" fontId="37" fillId="4" borderId="24" xfId="0" applyFont="1" applyFill="1" applyBorder="1" applyAlignment="1" applyProtection="1">
      <alignment horizontal="center" vertical="center"/>
      <protection locked="0"/>
    </xf>
    <xf numFmtId="166" fontId="37" fillId="4" borderId="153" xfId="0" applyFont="1" applyFill="1" applyBorder="1" applyAlignment="1" applyProtection="1">
      <alignment horizontal="center" vertical="center"/>
      <protection locked="0"/>
    </xf>
    <xf numFmtId="166" fontId="37" fillId="4" borderId="23" xfId="0" applyFont="1" applyFill="1" applyBorder="1" applyAlignment="1" applyProtection="1">
      <alignment horizontal="center" vertical="center"/>
      <protection locked="0"/>
    </xf>
    <xf numFmtId="166" fontId="37" fillId="5" borderId="122" xfId="0" applyFont="1" applyFill="1" applyBorder="1" applyAlignment="1" applyProtection="1">
      <alignment horizontal="center" vertical="center"/>
      <protection locked="0"/>
    </xf>
    <xf numFmtId="166" fontId="37" fillId="5" borderId="153" xfId="0" applyFont="1" applyFill="1" applyBorder="1" applyAlignment="1" applyProtection="1">
      <alignment horizontal="center" vertical="center"/>
      <protection locked="0"/>
    </xf>
    <xf numFmtId="166" fontId="37" fillId="5" borderId="123" xfId="0" applyFont="1" applyFill="1" applyBorder="1" applyAlignment="1" applyProtection="1">
      <alignment horizontal="center" vertical="center"/>
      <protection locked="0"/>
    </xf>
    <xf numFmtId="0" fontId="33" fillId="3" borderId="27" xfId="0" applyNumberFormat="1" applyFont="1" applyFill="1" applyBorder="1" applyAlignment="1" applyProtection="1">
      <alignment horizontal="center" vertical="center"/>
      <protection locked="0"/>
    </xf>
    <xf numFmtId="0" fontId="33" fillId="3" borderId="18" xfId="0" applyNumberFormat="1" applyFont="1" applyFill="1" applyBorder="1" applyAlignment="1" applyProtection="1">
      <alignment horizontal="center" vertical="center"/>
      <protection locked="0"/>
    </xf>
    <xf numFmtId="166" fontId="33" fillId="3" borderId="18" xfId="0" applyFont="1" applyFill="1" applyBorder="1" applyAlignment="1" applyProtection="1">
      <alignment horizontal="center" vertical="center"/>
      <protection locked="0"/>
    </xf>
    <xf numFmtId="166" fontId="33" fillId="3" borderId="28" xfId="0" applyFont="1" applyFill="1" applyBorder="1" applyAlignment="1" applyProtection="1">
      <alignment horizontal="center" vertical="center"/>
      <protection locked="0"/>
    </xf>
    <xf numFmtId="166" fontId="39" fillId="3" borderId="26" xfId="0" applyFont="1" applyFill="1" applyBorder="1" applyAlignment="1" applyProtection="1">
      <alignment horizontal="center" vertical="center" wrapText="1"/>
      <protection locked="0"/>
    </xf>
    <xf numFmtId="166" fontId="39" fillId="3" borderId="18" xfId="0" applyFont="1" applyFill="1" applyBorder="1" applyAlignment="1" applyProtection="1">
      <alignment horizontal="center" vertical="center" wrapText="1"/>
      <protection locked="0"/>
    </xf>
    <xf numFmtId="166" fontId="39" fillId="3" borderId="25" xfId="0" applyFont="1" applyFill="1" applyBorder="1" applyAlignment="1" applyProtection="1">
      <alignment horizontal="center" vertical="center" wrapText="1"/>
      <protection locked="0"/>
    </xf>
    <xf numFmtId="166" fontId="39" fillId="4" borderId="26" xfId="0" applyFont="1" applyFill="1" applyBorder="1" applyAlignment="1" applyProtection="1">
      <alignment horizontal="center" vertical="center" wrapText="1"/>
      <protection locked="0"/>
    </xf>
    <xf numFmtId="166" fontId="39" fillId="4" borderId="18" xfId="0" applyFont="1" applyFill="1" applyBorder="1" applyAlignment="1" applyProtection="1">
      <alignment horizontal="center" vertical="center" wrapText="1"/>
      <protection locked="0"/>
    </xf>
    <xf numFmtId="166" fontId="39" fillId="4" borderId="25" xfId="0" applyFont="1" applyFill="1" applyBorder="1" applyAlignment="1" applyProtection="1">
      <alignment horizontal="center" vertical="center" wrapText="1"/>
      <protection locked="0"/>
    </xf>
    <xf numFmtId="166" fontId="39" fillId="4" borderId="196" xfId="0" applyFont="1" applyFill="1" applyBorder="1" applyAlignment="1" applyProtection="1">
      <alignment horizontal="center" vertical="center" wrapText="1"/>
      <protection locked="0"/>
    </xf>
    <xf numFmtId="166" fontId="37" fillId="6" borderId="22" xfId="0" applyFont="1" applyFill="1" applyBorder="1" applyAlignment="1" applyProtection="1">
      <alignment horizontal="center" vertical="center"/>
      <protection locked="0"/>
    </xf>
    <xf numFmtId="166" fontId="37" fillId="6" borderId="153" xfId="0" applyFont="1" applyFill="1" applyBorder="1" applyAlignment="1" applyProtection="1">
      <alignment horizontal="center" vertical="center"/>
      <protection locked="0"/>
    </xf>
    <xf numFmtId="166" fontId="37" fillId="6" borderId="24" xfId="0" applyFont="1" applyFill="1" applyBorder="1" applyAlignment="1" applyProtection="1">
      <alignment horizontal="center" vertical="center"/>
      <protection locked="0"/>
    </xf>
    <xf numFmtId="1" fontId="37" fillId="6" borderId="24" xfId="0" applyNumberFormat="1" applyFont="1" applyFill="1" applyBorder="1" applyAlignment="1" applyProtection="1">
      <alignment horizontal="center" vertical="center"/>
      <protection locked="0"/>
    </xf>
    <xf numFmtId="166" fontId="37" fillId="6" borderId="23" xfId="0" applyFont="1" applyFill="1" applyBorder="1" applyAlignment="1" applyProtection="1">
      <alignment horizontal="center" vertical="center"/>
      <protection locked="0"/>
    </xf>
    <xf numFmtId="166" fontId="39" fillId="6" borderId="26" xfId="0" applyFont="1" applyFill="1" applyBorder="1" applyAlignment="1" applyProtection="1">
      <alignment horizontal="center" vertical="center" wrapText="1"/>
      <protection locked="0"/>
    </xf>
    <xf numFmtId="166" fontId="39" fillId="6" borderId="18" xfId="0" applyFont="1" applyFill="1" applyBorder="1" applyAlignment="1" applyProtection="1">
      <alignment horizontal="center" vertical="center" wrapText="1"/>
      <protection locked="0"/>
    </xf>
    <xf numFmtId="3" fontId="68" fillId="11" borderId="42" xfId="11" applyNumberFormat="1" applyFont="1" applyFill="1" applyBorder="1" applyAlignment="1" applyProtection="1">
      <alignment horizontal="center" vertical="center"/>
      <protection locked="0"/>
    </xf>
    <xf numFmtId="0" fontId="65" fillId="11" borderId="45" xfId="11" applyFont="1" applyFill="1" applyBorder="1" applyAlignment="1">
      <alignment horizontal="center" vertical="center" textRotation="90" wrapText="1"/>
    </xf>
    <xf numFmtId="0" fontId="65" fillId="11" borderId="89" xfId="11" applyFont="1" applyFill="1" applyBorder="1" applyAlignment="1">
      <alignment horizontal="center" vertical="center" textRotation="90" wrapText="1"/>
    </xf>
    <xf numFmtId="0" fontId="65" fillId="11" borderId="46" xfId="11" applyFont="1" applyFill="1" applyBorder="1" applyAlignment="1">
      <alignment horizontal="center" vertical="center" textRotation="90" wrapText="1"/>
    </xf>
    <xf numFmtId="0" fontId="79" fillId="2" borderId="18" xfId="11" applyFont="1" applyFill="1" applyBorder="1" applyAlignment="1" applyProtection="1">
      <alignment horizontal="right" vertical="center" wrapText="1"/>
      <protection locked="0"/>
    </xf>
    <xf numFmtId="0" fontId="70" fillId="6" borderId="22" xfId="11" applyFont="1" applyFill="1" applyBorder="1" applyAlignment="1" applyProtection="1">
      <alignment horizontal="center" vertical="center"/>
      <protection locked="0"/>
    </xf>
    <xf numFmtId="0" fontId="70" fillId="6" borderId="24" xfId="11" applyFont="1" applyFill="1" applyBorder="1" applyAlignment="1" applyProtection="1">
      <alignment horizontal="center" vertical="center"/>
      <protection locked="0"/>
    </xf>
    <xf numFmtId="0" fontId="70" fillId="6" borderId="23" xfId="11" applyFont="1" applyFill="1" applyBorder="1" applyAlignment="1" applyProtection="1">
      <alignment horizontal="center" vertical="center"/>
      <protection locked="0"/>
    </xf>
    <xf numFmtId="0" fontId="68" fillId="11" borderId="22" xfId="11" applyFont="1" applyFill="1" applyBorder="1" applyAlignment="1" applyProtection="1">
      <alignment horizontal="center" vertical="center"/>
      <protection locked="0"/>
    </xf>
    <xf numFmtId="0" fontId="68" fillId="11" borderId="24" xfId="11" applyFont="1" applyFill="1" applyBorder="1" applyAlignment="1" applyProtection="1">
      <alignment horizontal="center" vertical="center"/>
      <protection locked="0"/>
    </xf>
    <xf numFmtId="0" fontId="68" fillId="11" borderId="23" xfId="11" applyFont="1" applyFill="1" applyBorder="1" applyAlignment="1" applyProtection="1">
      <alignment horizontal="center" vertical="center"/>
      <protection locked="0"/>
    </xf>
    <xf numFmtId="0" fontId="68" fillId="11" borderId="22" xfId="11" applyFont="1" applyFill="1" applyBorder="1" applyAlignment="1" applyProtection="1">
      <alignment horizontal="left" vertical="center"/>
      <protection locked="0"/>
    </xf>
    <xf numFmtId="0" fontId="68" fillId="11" borderId="24" xfId="11" applyFont="1" applyFill="1" applyBorder="1" applyAlignment="1" applyProtection="1">
      <alignment horizontal="left" vertical="center"/>
      <protection locked="0"/>
    </xf>
    <xf numFmtId="0" fontId="68" fillId="11" borderId="23" xfId="11" applyFont="1" applyFill="1" applyBorder="1" applyAlignment="1" applyProtection="1">
      <alignment horizontal="left" vertical="center"/>
      <protection locked="0"/>
    </xf>
    <xf numFmtId="0" fontId="68" fillId="11" borderId="26" xfId="11" applyFont="1" applyFill="1" applyBorder="1" applyAlignment="1" applyProtection="1">
      <alignment horizontal="center" vertical="center"/>
      <protection locked="0"/>
    </xf>
    <xf numFmtId="0" fontId="68" fillId="11" borderId="18" xfId="11" applyFont="1" applyFill="1" applyBorder="1" applyAlignment="1" applyProtection="1">
      <alignment horizontal="center" vertical="center"/>
      <protection locked="0"/>
    </xf>
    <xf numFmtId="0" fontId="68" fillId="11" borderId="25" xfId="11" applyFont="1" applyFill="1" applyBorder="1" applyAlignment="1" applyProtection="1">
      <alignment horizontal="center" vertical="center"/>
      <protection locked="0"/>
    </xf>
    <xf numFmtId="0" fontId="68" fillId="11" borderId="42" xfId="11" applyFont="1" applyFill="1" applyBorder="1" applyAlignment="1" applyProtection="1">
      <alignment horizontal="center" vertical="center"/>
      <protection locked="0"/>
    </xf>
    <xf numFmtId="0" fontId="68" fillId="11" borderId="24" xfId="11" applyFont="1" applyFill="1" applyBorder="1" applyAlignment="1" applyProtection="1">
      <alignment horizontal="center" vertical="center" wrapText="1"/>
      <protection locked="0"/>
    </xf>
    <xf numFmtId="0" fontId="68" fillId="11" borderId="23" xfId="11" applyFont="1" applyFill="1" applyBorder="1" applyAlignment="1" applyProtection="1">
      <alignment horizontal="center" vertical="center" wrapText="1"/>
      <protection locked="0"/>
    </xf>
    <xf numFmtId="166" fontId="82" fillId="2" borderId="185" xfId="0" applyFont="1" applyFill="1" applyBorder="1" applyAlignment="1">
      <alignment horizontal="right" vertical="center" wrapText="1"/>
    </xf>
    <xf numFmtId="166" fontId="82" fillId="2" borderId="95" xfId="0" applyFont="1" applyFill="1" applyBorder="1" applyAlignment="1">
      <alignment horizontal="right" vertical="center" wrapText="1"/>
    </xf>
    <xf numFmtId="166" fontId="82" fillId="2" borderId="119" xfId="0" applyFont="1" applyFill="1" applyBorder="1" applyAlignment="1">
      <alignment horizontal="right" vertical="center" wrapText="1"/>
    </xf>
    <xf numFmtId="166" fontId="82" fillId="2" borderId="81" xfId="0" applyFont="1" applyFill="1" applyBorder="1" applyAlignment="1">
      <alignment horizontal="right" vertical="center" wrapText="1"/>
    </xf>
    <xf numFmtId="166" fontId="82" fillId="2" borderId="186" xfId="0" applyFont="1" applyFill="1" applyBorder="1" applyAlignment="1">
      <alignment horizontal="right" vertical="center" wrapText="1"/>
    </xf>
    <xf numFmtId="166" fontId="82" fillId="2" borderId="111" xfId="0" applyFont="1" applyFill="1" applyBorder="1" applyAlignment="1">
      <alignment horizontal="right" vertical="center" wrapText="1"/>
    </xf>
    <xf numFmtId="166" fontId="58" fillId="10" borderId="22" xfId="0" applyFont="1" applyFill="1" applyBorder="1" applyAlignment="1">
      <alignment horizontal="center" vertical="center" wrapText="1"/>
    </xf>
    <xf numFmtId="166" fontId="58" fillId="10" borderId="153" xfId="0" applyFont="1" applyFill="1" applyBorder="1" applyAlignment="1">
      <alignment horizontal="center" vertical="center" wrapText="1"/>
    </xf>
    <xf numFmtId="166" fontId="58" fillId="10" borderId="123" xfId="0" applyFont="1" applyFill="1" applyBorder="1" applyAlignment="1">
      <alignment horizontal="center" vertical="center" wrapText="1"/>
    </xf>
    <xf numFmtId="166" fontId="82" fillId="2" borderId="193" xfId="0" applyFont="1" applyFill="1" applyBorder="1" applyAlignment="1">
      <alignment horizontal="right" vertical="center" wrapText="1"/>
    </xf>
    <xf numFmtId="166" fontId="82" fillId="2" borderId="194" xfId="0" applyFont="1" applyFill="1" applyBorder="1" applyAlignment="1">
      <alignment horizontal="right" vertical="center" wrapText="1"/>
    </xf>
    <xf numFmtId="166" fontId="82" fillId="2" borderId="195" xfId="0" applyFont="1" applyFill="1" applyBorder="1" applyAlignment="1">
      <alignment horizontal="right" vertical="center" wrapText="1"/>
    </xf>
    <xf numFmtId="166" fontId="43" fillId="3" borderId="22" xfId="0" applyFont="1" applyFill="1" applyBorder="1" applyAlignment="1">
      <alignment horizontal="center" vertical="center" wrapText="1"/>
    </xf>
    <xf numFmtId="166" fontId="43" fillId="3" borderId="166" xfId="0" applyFont="1" applyFill="1" applyBorder="1" applyAlignment="1">
      <alignment horizontal="center" vertical="center" wrapText="1"/>
    </xf>
  </cellXfs>
  <cellStyles count="289">
    <cellStyle name="Comma" xfId="1" builtinId="3"/>
    <cellStyle name="Comma 2" xfId="6"/>
    <cellStyle name="Comma 2 2" xfId="9"/>
    <cellStyle name="Comma 2 2 2" xfId="13"/>
    <cellStyle name="Comma 2 2 2 10" xfId="234"/>
    <cellStyle name="Comma 2 2 2 11" xfId="246"/>
    <cellStyle name="Comma 2 2 2 12" xfId="254"/>
    <cellStyle name="Comma 2 2 2 12 2" xfId="257"/>
    <cellStyle name="Comma 2 2 2 12 3" xfId="279"/>
    <cellStyle name="Comma 2 2 2 13" xfId="256"/>
    <cellStyle name="Comma 2 2 2 14" xfId="277"/>
    <cellStyle name="Comma 2 2 2 2" xfId="26"/>
    <cellStyle name="Comma 2 2 2 2 2" xfId="79"/>
    <cellStyle name="Comma 2 2 2 2 3" xfId="131"/>
    <cellStyle name="Comma 2 2 2 2 4" xfId="166"/>
    <cellStyle name="Comma 2 2 2 3" xfId="39"/>
    <cellStyle name="Comma 2 2 2 3 2" xfId="92"/>
    <cellStyle name="Comma 2 2 2 3 3" xfId="144"/>
    <cellStyle name="Comma 2 2 2 3 4" xfId="167"/>
    <cellStyle name="Comma 2 2 2 4" xfId="52"/>
    <cellStyle name="Comma 2 2 2 4 2" xfId="105"/>
    <cellStyle name="Comma 2 2 2 4 3" xfId="157"/>
    <cellStyle name="Comma 2 2 2 4 4" xfId="168"/>
    <cellStyle name="Comma 2 2 2 5" xfId="66"/>
    <cellStyle name="Comma 2 2 2 6" xfId="118"/>
    <cellStyle name="Comma 2 2 2 7" xfId="165"/>
    <cellStyle name="Comma 2 2 2 8" xfId="218"/>
    <cellStyle name="Comma 2 2 2 9" xfId="228"/>
    <cellStyle name="Comma 2 2 3" xfId="17"/>
    <cellStyle name="Comma 2 2 3 2" xfId="30"/>
    <cellStyle name="Comma 2 2 3 2 2" xfId="83"/>
    <cellStyle name="Comma 2 2 3 2 3" xfId="135"/>
    <cellStyle name="Comma 2 2 3 2 4" xfId="170"/>
    <cellStyle name="Comma 2 2 3 3" xfId="43"/>
    <cellStyle name="Comma 2 2 3 3 2" xfId="96"/>
    <cellStyle name="Comma 2 2 3 3 3" xfId="148"/>
    <cellStyle name="Comma 2 2 3 3 4" xfId="171"/>
    <cellStyle name="Comma 2 2 3 4" xfId="56"/>
    <cellStyle name="Comma 2 2 3 4 2" xfId="109"/>
    <cellStyle name="Comma 2 2 3 4 3" xfId="161"/>
    <cellStyle name="Comma 2 2 3 4 4" xfId="172"/>
    <cellStyle name="Comma 2 2 3 5" xfId="70"/>
    <cellStyle name="Comma 2 2 3 6" xfId="122"/>
    <cellStyle name="Comma 2 2 3 7" xfId="169"/>
    <cellStyle name="Comma 2 2 4" xfId="23"/>
    <cellStyle name="Comma 2 2 4 2" xfId="76"/>
    <cellStyle name="Comma 2 2 4 3" xfId="128"/>
    <cellStyle name="Comma 2 2 4 4" xfId="173"/>
    <cellStyle name="Comma 2 2 5" xfId="36"/>
    <cellStyle name="Comma 2 2 5 2" xfId="89"/>
    <cellStyle name="Comma 2 2 5 3" xfId="141"/>
    <cellStyle name="Comma 2 2 5 4" xfId="174"/>
    <cellStyle name="Comma 2 2 6" xfId="49"/>
    <cellStyle name="Comma 2 2 6 2" xfId="102"/>
    <cellStyle name="Comma 2 2 6 3" xfId="154"/>
    <cellStyle name="Comma 2 2 6 4" xfId="175"/>
    <cellStyle name="Comma 2 2 7" xfId="63"/>
    <cellStyle name="Comma 2 2 8" xfId="115"/>
    <cellStyle name="Comma 2 2 9" xfId="164"/>
    <cellStyle name="Comma 2 3" xfId="20"/>
    <cellStyle name="Comma 2 3 2" xfId="73"/>
    <cellStyle name="Comma 2 3 3" xfId="125"/>
    <cellStyle name="Comma 2 3 4" xfId="176"/>
    <cellStyle name="Comma 2 4" xfId="33"/>
    <cellStyle name="Comma 2 4 2" xfId="86"/>
    <cellStyle name="Comma 2 4 3" xfId="138"/>
    <cellStyle name="Comma 2 4 4" xfId="177"/>
    <cellStyle name="Comma 2 5" xfId="46"/>
    <cellStyle name="Comma 2 5 2" xfId="99"/>
    <cellStyle name="Comma 2 5 3" xfId="151"/>
    <cellStyle name="Comma 2 5 4" xfId="178"/>
    <cellStyle name="Comma 2 6" xfId="60"/>
    <cellStyle name="Comma 2 7" xfId="112"/>
    <cellStyle name="Comma 2 8" xfId="163"/>
    <cellStyle name="Comma 2 9" xfId="287"/>
    <cellStyle name="Comma 3" xfId="162"/>
    <cellStyle name="Comma 4" xfId="284"/>
    <cellStyle name="Normal" xfId="0" builtinId="0"/>
    <cellStyle name="Normal 10" xfId="249"/>
    <cellStyle name="Normal 11" xfId="255"/>
    <cellStyle name="Normal 12" xfId="269"/>
    <cellStyle name="Normal 12 3" xfId="288"/>
    <cellStyle name="Normal 2" xfId="2"/>
    <cellStyle name="Normal 2 2" xfId="286"/>
    <cellStyle name="Normal 3" xfId="4"/>
    <cellStyle name="Normal 3 2" xfId="7"/>
    <cellStyle name="Normal 3 2 2" xfId="11"/>
    <cellStyle name="Normal 3 2 2 10" xfId="230"/>
    <cellStyle name="Normal 3 2 2 10 2" xfId="247"/>
    <cellStyle name="Normal 3 2 2 10 2 2" xfId="259"/>
    <cellStyle name="Normal 3 2 2 10 2 3" xfId="282"/>
    <cellStyle name="Normal 3 2 2 11" xfId="239"/>
    <cellStyle name="Normal 3 2 2 12" xfId="250"/>
    <cellStyle name="Normal 3 2 2 12 2" xfId="260"/>
    <cellStyle name="Normal 3 2 2 12 3" xfId="278"/>
    <cellStyle name="Normal 3 2 2 13" xfId="258"/>
    <cellStyle name="Normal 3 2 2 13 2" xfId="280"/>
    <cellStyle name="Normal 3 2 2 14" xfId="270"/>
    <cellStyle name="Normal 3 2 2 2" xfId="24"/>
    <cellStyle name="Normal 3 2 2 2 2" xfId="77"/>
    <cellStyle name="Normal 3 2 2 2 3" xfId="129"/>
    <cellStyle name="Normal 3 2 2 2 4" xfId="182"/>
    <cellStyle name="Normal 3 2 2 3" xfId="37"/>
    <cellStyle name="Normal 3 2 2 3 2" xfId="90"/>
    <cellStyle name="Normal 3 2 2 3 3" xfId="142"/>
    <cellStyle name="Normal 3 2 2 3 4" xfId="183"/>
    <cellStyle name="Normal 3 2 2 4" xfId="50"/>
    <cellStyle name="Normal 3 2 2 4 2" xfId="103"/>
    <cellStyle name="Normal 3 2 2 4 3" xfId="155"/>
    <cellStyle name="Normal 3 2 2 4 4" xfId="184"/>
    <cellStyle name="Normal 3 2 2 5" xfId="64"/>
    <cellStyle name="Normal 3 2 2 6" xfId="116"/>
    <cellStyle name="Normal 3 2 2 7" xfId="181"/>
    <cellStyle name="Normal 3 2 2 8" xfId="219"/>
    <cellStyle name="Normal 3 2 2 8 2" xfId="237"/>
    <cellStyle name="Normal 3 2 2 8 3" xfId="245"/>
    <cellStyle name="Normal 3 2 2 8 4" xfId="261"/>
    <cellStyle name="Normal 3 2 2 8 5" xfId="276"/>
    <cellStyle name="Normal 3 2 2 9" xfId="224"/>
    <cellStyle name="Normal 3 2 2 9 2" xfId="235"/>
    <cellStyle name="Normal 3 2 2 9 3" xfId="241"/>
    <cellStyle name="Normal 3 2 2 9 4" xfId="262"/>
    <cellStyle name="Normal 3 2 2 9 5" xfId="272"/>
    <cellStyle name="Normal 3 2 3" xfId="15"/>
    <cellStyle name="Normal 3 2 3 10" xfId="233"/>
    <cellStyle name="Normal 3 2 3 11" xfId="243"/>
    <cellStyle name="Normal 3 2 3 12" xfId="253"/>
    <cellStyle name="Normal 3 2 3 13" xfId="263"/>
    <cellStyle name="Normal 3 2 3 14" xfId="274"/>
    <cellStyle name="Normal 3 2 3 2" xfId="28"/>
    <cellStyle name="Normal 3 2 3 2 2" xfId="81"/>
    <cellStyle name="Normal 3 2 3 2 3" xfId="133"/>
    <cellStyle name="Normal 3 2 3 2 4" xfId="186"/>
    <cellStyle name="Normal 3 2 3 3" xfId="41"/>
    <cellStyle name="Normal 3 2 3 3 2" xfId="94"/>
    <cellStyle name="Normal 3 2 3 3 3" xfId="146"/>
    <cellStyle name="Normal 3 2 3 3 4" xfId="187"/>
    <cellStyle name="Normal 3 2 3 4" xfId="54"/>
    <cellStyle name="Normal 3 2 3 4 2" xfId="107"/>
    <cellStyle name="Normal 3 2 3 4 3" xfId="159"/>
    <cellStyle name="Normal 3 2 3 4 4" xfId="188"/>
    <cellStyle name="Normal 3 2 3 5" xfId="68"/>
    <cellStyle name="Normal 3 2 3 6" xfId="120"/>
    <cellStyle name="Normal 3 2 3 7" xfId="185"/>
    <cellStyle name="Normal 3 2 3 8" xfId="220"/>
    <cellStyle name="Normal 3 2 3 8 2" xfId="236"/>
    <cellStyle name="Normal 3 2 3 8 3" xfId="244"/>
    <cellStyle name="Normal 3 2 3 8 4" xfId="264"/>
    <cellStyle name="Normal 3 2 3 8 5" xfId="275"/>
    <cellStyle name="Normal 3 2 3 9" xfId="227"/>
    <cellStyle name="Normal 3 2 4" xfId="21"/>
    <cellStyle name="Normal 3 2 4 2" xfId="74"/>
    <cellStyle name="Normal 3 2 4 3" xfId="126"/>
    <cellStyle name="Normal 3 2 4 4" xfId="189"/>
    <cellStyle name="Normal 3 2 5" xfId="34"/>
    <cellStyle name="Normal 3 2 5 2" xfId="87"/>
    <cellStyle name="Normal 3 2 5 3" xfId="139"/>
    <cellStyle name="Normal 3 2 5 4" xfId="190"/>
    <cellStyle name="Normal 3 2 6" xfId="47"/>
    <cellStyle name="Normal 3 2 6 2" xfId="100"/>
    <cellStyle name="Normal 3 2 6 3" xfId="152"/>
    <cellStyle name="Normal 3 2 6 4" xfId="191"/>
    <cellStyle name="Normal 3 2 7" xfId="61"/>
    <cellStyle name="Normal 3 2 8" xfId="113"/>
    <cellStyle name="Normal 3 2 9" xfId="180"/>
    <cellStyle name="Normal 3 3" xfId="18"/>
    <cellStyle name="Normal 3 3 2" xfId="71"/>
    <cellStyle name="Normal 3 3 3" xfId="123"/>
    <cellStyle name="Normal 3 3 4" xfId="192"/>
    <cellStyle name="Normal 3 4" xfId="31"/>
    <cellStyle name="Normal 3 4 2" xfId="84"/>
    <cellStyle name="Normal 3 4 3" xfId="136"/>
    <cellStyle name="Normal 3 4 4" xfId="193"/>
    <cellStyle name="Normal 3 5" xfId="44"/>
    <cellStyle name="Normal 3 5 2" xfId="97"/>
    <cellStyle name="Normal 3 5 3" xfId="149"/>
    <cellStyle name="Normal 3 5 4" xfId="194"/>
    <cellStyle name="Normal 3 6" xfId="58"/>
    <cellStyle name="Normal 3 7" xfId="110"/>
    <cellStyle name="Normal 3 8" xfId="179"/>
    <cellStyle name="Normal 4" xfId="10"/>
    <cellStyle name="Normal 4 2 2" xfId="216"/>
    <cellStyle name="Normal 4 2 2 2" xfId="221"/>
    <cellStyle name="Normal 4 2 2 3" xfId="225"/>
    <cellStyle name="Normal 4 2 2 4" xfId="231"/>
    <cellStyle name="Normal 4 2 2 5" xfId="240"/>
    <cellStyle name="Normal 4 2 2 6" xfId="251"/>
    <cellStyle name="Normal 4 2 2 7" xfId="265"/>
    <cellStyle name="Normal 4 2 2 8" xfId="271"/>
    <cellStyle name="Normal 5" xfId="14"/>
    <cellStyle name="Normal 5 2" xfId="27"/>
    <cellStyle name="Normal 5 2 2" xfId="80"/>
    <cellStyle name="Normal 5 2 3" xfId="132"/>
    <cellStyle name="Normal 5 2 4" xfId="196"/>
    <cellStyle name="Normal 5 3" xfId="40"/>
    <cellStyle name="Normal 5 3 2" xfId="93"/>
    <cellStyle name="Normal 5 3 3" xfId="145"/>
    <cellStyle name="Normal 5 3 4" xfId="197"/>
    <cellStyle name="Normal 5 4" xfId="53"/>
    <cellStyle name="Normal 5 4 2" xfId="106"/>
    <cellStyle name="Normal 5 4 3" xfId="158"/>
    <cellStyle name="Normal 5 4 4" xfId="198"/>
    <cellStyle name="Normal 5 5" xfId="67"/>
    <cellStyle name="Normal 5 6" xfId="119"/>
    <cellStyle name="Normal 5 7" xfId="195"/>
    <cellStyle name="Normal 6" xfId="217"/>
    <cellStyle name="Normal 7" xfId="223"/>
    <cellStyle name="Normal 8" xfId="229"/>
    <cellStyle name="Normal 9" xfId="238"/>
    <cellStyle name="Normal_5_Wards" xfId="57"/>
    <cellStyle name="Percent" xfId="3" builtinId="5"/>
    <cellStyle name="Percent 2" xfId="5"/>
    <cellStyle name="Percent 2 2" xfId="8"/>
    <cellStyle name="Percent 2 2 2" xfId="12"/>
    <cellStyle name="Percent 2 2 2 10" xfId="232"/>
    <cellStyle name="Percent 2 2 2 10 2" xfId="248"/>
    <cellStyle name="Percent 2 2 2 10 2 2" xfId="267"/>
    <cellStyle name="Percent 2 2 2 10 2 3" xfId="283"/>
    <cellStyle name="Percent 2 2 2 11" xfId="242"/>
    <cellStyle name="Percent 2 2 2 12" xfId="252"/>
    <cellStyle name="Percent 2 2 2 12 2" xfId="268"/>
    <cellStyle name="Percent 2 2 2 12 3" xfId="281"/>
    <cellStyle name="Percent 2 2 2 13" xfId="266"/>
    <cellStyle name="Percent 2 2 2 14" xfId="273"/>
    <cellStyle name="Percent 2 2 2 2" xfId="25"/>
    <cellStyle name="Percent 2 2 2 2 2" xfId="78"/>
    <cellStyle name="Percent 2 2 2 2 3" xfId="130"/>
    <cellStyle name="Percent 2 2 2 2 4" xfId="203"/>
    <cellStyle name="Percent 2 2 2 3" xfId="38"/>
    <cellStyle name="Percent 2 2 2 3 2" xfId="91"/>
    <cellStyle name="Percent 2 2 2 3 3" xfId="143"/>
    <cellStyle name="Percent 2 2 2 3 4" xfId="204"/>
    <cellStyle name="Percent 2 2 2 4" xfId="51"/>
    <cellStyle name="Percent 2 2 2 4 2" xfId="104"/>
    <cellStyle name="Percent 2 2 2 4 3" xfId="156"/>
    <cellStyle name="Percent 2 2 2 4 4" xfId="205"/>
    <cellStyle name="Percent 2 2 2 5" xfId="65"/>
    <cellStyle name="Percent 2 2 2 6" xfId="117"/>
    <cellStyle name="Percent 2 2 2 7" xfId="202"/>
    <cellStyle name="Percent 2 2 2 8" xfId="222"/>
    <cellStyle name="Percent 2 2 2 9" xfId="226"/>
    <cellStyle name="Percent 2 2 3" xfId="16"/>
    <cellStyle name="Percent 2 2 3 2" xfId="29"/>
    <cellStyle name="Percent 2 2 3 2 2" xfId="82"/>
    <cellStyle name="Percent 2 2 3 2 3" xfId="134"/>
    <cellStyle name="Percent 2 2 3 2 4" xfId="207"/>
    <cellStyle name="Percent 2 2 3 3" xfId="42"/>
    <cellStyle name="Percent 2 2 3 3 2" xfId="95"/>
    <cellStyle name="Percent 2 2 3 3 3" xfId="147"/>
    <cellStyle name="Percent 2 2 3 3 4" xfId="208"/>
    <cellStyle name="Percent 2 2 3 4" xfId="55"/>
    <cellStyle name="Percent 2 2 3 4 2" xfId="108"/>
    <cellStyle name="Percent 2 2 3 4 3" xfId="160"/>
    <cellStyle name="Percent 2 2 3 4 4" xfId="209"/>
    <cellStyle name="Percent 2 2 3 5" xfId="69"/>
    <cellStyle name="Percent 2 2 3 6" xfId="121"/>
    <cellStyle name="Percent 2 2 3 7" xfId="206"/>
    <cellStyle name="Percent 2 2 4" xfId="22"/>
    <cellStyle name="Percent 2 2 4 2" xfId="75"/>
    <cellStyle name="Percent 2 2 4 3" xfId="127"/>
    <cellStyle name="Percent 2 2 4 4" xfId="210"/>
    <cellStyle name="Percent 2 2 5" xfId="35"/>
    <cellStyle name="Percent 2 2 5 2" xfId="88"/>
    <cellStyle name="Percent 2 2 5 3" xfId="140"/>
    <cellStyle name="Percent 2 2 5 4" xfId="211"/>
    <cellStyle name="Percent 2 2 6" xfId="48"/>
    <cellStyle name="Percent 2 2 6 2" xfId="101"/>
    <cellStyle name="Percent 2 2 6 3" xfId="153"/>
    <cellStyle name="Percent 2 2 6 4" xfId="212"/>
    <cellStyle name="Percent 2 2 7" xfId="62"/>
    <cellStyle name="Percent 2 2 8" xfId="114"/>
    <cellStyle name="Percent 2 2 9" xfId="201"/>
    <cellStyle name="Percent 2 3" xfId="19"/>
    <cellStyle name="Percent 2 3 2" xfId="72"/>
    <cellStyle name="Percent 2 3 3" xfId="124"/>
    <cellStyle name="Percent 2 3 4" xfId="213"/>
    <cellStyle name="Percent 2 4" xfId="32"/>
    <cellStyle name="Percent 2 4 2" xfId="85"/>
    <cellStyle name="Percent 2 4 3" xfId="137"/>
    <cellStyle name="Percent 2 4 4" xfId="214"/>
    <cellStyle name="Percent 2 5" xfId="45"/>
    <cellStyle name="Percent 2 5 2" xfId="98"/>
    <cellStyle name="Percent 2 5 3" xfId="150"/>
    <cellStyle name="Percent 2 5 4" xfId="215"/>
    <cellStyle name="Percent 2 6" xfId="59"/>
    <cellStyle name="Percent 2 7" xfId="111"/>
    <cellStyle name="Percent 2 8" xfId="200"/>
    <cellStyle name="Percent 3" xfId="199"/>
    <cellStyle name="Percent 4" xfId="285"/>
  </cellStyles>
  <dxfs count="628">
    <dxf>
      <font>
        <color rgb="FF9C0006"/>
      </font>
      <fill>
        <patternFill>
          <bgColor rgb="FFFFC7CE"/>
        </patternFill>
      </fill>
    </dxf>
    <dxf>
      <font>
        <color rgb="FF9C0006"/>
      </font>
      <fill>
        <patternFill>
          <bgColor rgb="FFFFC7CE"/>
        </patternFill>
      </fill>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numFmt numFmtId="30" formatCode="@"/>
    </dxf>
    <dxf>
      <alignment horizontal="right" readingOrder="0"/>
    </dxf>
    <dxf>
      <alignment horizontal="center" readingOrder="0"/>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numFmt numFmtId="30" formatCode="@"/>
      <alignment horizontal="center"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numFmt numFmtId="30" formatCode="@"/>
    </dxf>
    <dxf>
      <alignment horizontal="right" readingOrder="0"/>
    </dxf>
    <dxf>
      <alignment horizontal="center" readingOrder="0"/>
    </dxf>
    <dxf>
      <numFmt numFmtId="30" formatCode="@"/>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alignment wrapText="1" readingOrder="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numFmt numFmtId="0" formatCode="General"/>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3" formatCode="#,##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center" readingOrder="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numFmt numFmtId="13" formatCode="0%"/>
    </dxf>
    <dxf>
      <numFmt numFmtId="13" formatCode="0%"/>
    </dxf>
    <dxf>
      <alignment horizontal="center" readingOrder="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alignment horizont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numFmt numFmtId="13" formatCode="0%"/>
    </dxf>
    <dxf>
      <numFmt numFmtId="13" formatCode="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right" readingOrder="0"/>
    </dxf>
    <dxf>
      <alignment horizontal="center"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right" readingOrder="0"/>
    </dxf>
    <dxf>
      <alignment horizontal="right" readingOrder="0"/>
    </dxf>
    <dxf>
      <alignment vertical="bottom" readingOrder="0"/>
    </dxf>
    <dxf>
      <alignment vertical="bottom" readingOrder="0"/>
    </dxf>
    <dxf>
      <alignment vertical="bottom" readingOrder="0"/>
    </dxf>
    <dxf>
      <alignment vertical="bottom" readingOrder="0"/>
    </dxf>
    <dxf>
      <alignment vertical="bottom"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alignment horizontal="center" readingOrder="0"/>
    </dxf>
    <dxf>
      <alignment horizont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fill>
        <patternFill>
          <bgColor rgb="FFCCFFCC"/>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 formatCode="0"/>
      <alignment horizontal="center" readingOrder="0"/>
    </dxf>
    <dxf>
      <fill>
        <patternFill patternType="solid">
          <fgColor indexed="64"/>
          <bgColor theme="0"/>
        </patternFill>
      </fill>
      <alignment vertical="center" wrapText="1" readingOrder="0"/>
    </dxf>
    <dxf>
      <border>
        <left style="thin">
          <color indexed="64"/>
        </left>
        <right style="thin">
          <color indexed="64"/>
        </right>
        <top style="thin">
          <color indexed="64"/>
        </top>
        <bottom style="thin">
          <color indexed="64"/>
        </bottom>
      </border>
    </dxf>
    <dxf>
      <numFmt numFmtId="1"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alignment horizontal="right"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fill>
        <patternFill patternType="none">
          <bgColor auto="1"/>
        </patternFill>
      </fill>
    </dxf>
    <dxf>
      <alignment horizontal="right" readingOrder="0"/>
    </dxf>
    <dxf>
      <alignment horizontal="right"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center"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3" formatCode="0%"/>
    </dxf>
    <dxf>
      <alignment horizontal="center" readingOrder="0"/>
    </dxf>
    <dxf>
      <numFmt numFmtId="1" formatCode="0"/>
    </dxf>
    <dxf>
      <numFmt numFmtId="1" formatCode="0"/>
    </dxf>
    <dxf>
      <numFmt numFmtId="13" formatCode="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3" formatCode="#,##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numFmt numFmtId="14" formatCode="0.0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s>
  <tableStyles count="0" defaultTableStyle="TableStyleMedium2" defaultPivotStyle="PivotStyleLight16"/>
  <colors>
    <mruColors>
      <color rgb="FFFFFFCC"/>
      <color rgb="FFCCFFCC"/>
      <color rgb="FFCCFF33"/>
      <color rgb="FFFF9900"/>
      <color rgb="FF66FF33"/>
      <color rgb="FF098A9B"/>
      <color rgb="FF07717F"/>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Analysis!PivotTable52</c:name>
    <c:fmtId val="1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 per site type</a:t>
            </a:r>
          </a:p>
        </c:rich>
      </c:tx>
      <c:layout>
        <c:manualLayout>
          <c:xMode val="edge"/>
          <c:yMode val="edge"/>
          <c:x val="0.24393727423866046"/>
          <c:y val="0.0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0209133091979227E-2"/>
          <c:y val="0.14657952873644722"/>
          <c:w val="0.9097908669080208"/>
          <c:h val="0.49025756542057042"/>
        </c:manualLayout>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Analysis'!$C$97:$C$102</c:f>
              <c:numCache>
                <c:formatCode>0%</c:formatCode>
                <c:ptCount val="5"/>
                <c:pt idx="0">
                  <c:v>0.92047826912127539</c:v>
                </c:pt>
                <c:pt idx="1">
                  <c:v>0.49171675655771435</c:v>
                </c:pt>
                <c:pt idx="2">
                  <c:v>4.617097824224773E-2</c:v>
                </c:pt>
                <c:pt idx="3">
                  <c:v>0.25637374247783545</c:v>
                </c:pt>
                <c:pt idx="4">
                  <c:v>0.76969407835887649</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Analysis'!$D$97:$D$102</c:f>
              <c:numCache>
                <c:formatCode>0%</c:formatCode>
                <c:ptCount val="5"/>
                <c:pt idx="0">
                  <c:v>0.78592588313928058</c:v>
                </c:pt>
                <c:pt idx="1">
                  <c:v>0.28510624472025475</c:v>
                </c:pt>
                <c:pt idx="2">
                  <c:v>0.10047969847524413</c:v>
                </c:pt>
                <c:pt idx="3">
                  <c:v>0.28186871238917727</c:v>
                </c:pt>
                <c:pt idx="4">
                  <c:v>0.19712962410797702</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Analysis'!$E$97:$E$102</c:f>
              <c:numCache>
                <c:formatCode>0%</c:formatCode>
                <c:ptCount val="5"/>
                <c:pt idx="0">
                  <c:v>0.32605378464686802</c:v>
                </c:pt>
                <c:pt idx="1">
                  <c:v>0</c:v>
                </c:pt>
                <c:pt idx="2">
                  <c:v>0</c:v>
                </c:pt>
                <c:pt idx="3">
                  <c:v>0</c:v>
                </c:pt>
                <c:pt idx="4">
                  <c:v>0</c:v>
                </c:pt>
              </c:numCache>
            </c:numRef>
          </c:val>
        </c:ser>
        <c:dLbls>
          <c:showLegendKey val="0"/>
          <c:showVal val="0"/>
          <c:showCatName val="0"/>
          <c:showSerName val="0"/>
          <c:showPercent val="0"/>
          <c:showBubbleSize val="0"/>
        </c:dLbls>
        <c:gapWidth val="150"/>
        <c:shape val="box"/>
        <c:axId val="208109368"/>
        <c:axId val="208141688"/>
        <c:axId val="0"/>
      </c:bar3DChart>
      <c:catAx>
        <c:axId val="208109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08141688"/>
        <c:crosses val="autoZero"/>
        <c:auto val="1"/>
        <c:lblAlgn val="ctr"/>
        <c:lblOffset val="100"/>
        <c:noMultiLvlLbl val="0"/>
      </c:catAx>
      <c:valAx>
        <c:axId val="208141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08109368"/>
        <c:crosses val="autoZero"/>
        <c:crossBetween val="between"/>
      </c:valAx>
      <c:spPr>
        <a:noFill/>
        <a:ln>
          <a:noFill/>
        </a:ln>
        <a:effectLst>
          <a:outerShdw blurRad="50800" dist="50800" dir="5400000" sx="61000" sy="61000" algn="ctr" rotWithShape="0">
            <a:srgbClr val="000000">
              <a:alpha val="43137"/>
            </a:srgbClr>
          </a:outerShdw>
        </a:effectLst>
      </c:spPr>
    </c:plotArea>
    <c:legend>
      <c:legendPos val="b"/>
      <c:layout>
        <c:manualLayout>
          <c:xMode val="edge"/>
          <c:yMode val="edge"/>
          <c:x val="5.9439461875508859E-2"/>
          <c:y val="0.8474826771653543"/>
          <c:w val="0.88112107624898228"/>
          <c:h val="0.1325173228346456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rad="12700">
        <a:schemeClr val="tx1">
          <a:alpha val="40000"/>
        </a:schemeClr>
      </a:glow>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Analysis!PivotTable14</c:name>
    <c:fmtId val="1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en-US" sz="800" b="1"/>
              <a:t>Latrine</a:t>
            </a:r>
            <a:r>
              <a:rPr lang="en-US" sz="800" b="1" baseline="0"/>
              <a:t> coverage in camps</a:t>
            </a:r>
            <a:endParaRPr lang="en-US" sz="800" b="1"/>
          </a:p>
        </c:rich>
      </c:tx>
      <c:layout>
        <c:manualLayout>
          <c:xMode val="edge"/>
          <c:yMode val="edge"/>
          <c:x val="0.31887633527345205"/>
          <c:y val="6.959331546434816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2"/>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3468937242640822"/>
          <c:y val="0.17730326488315984"/>
          <c:w val="0.86449948559541656"/>
          <c:h val="0.4422423499236347"/>
        </c:manualLayout>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Analysis'!$C$238:$C$244</c:f>
              <c:numCache>
                <c:formatCode>0%</c:formatCode>
                <c:ptCount val="6"/>
                <c:pt idx="0">
                  <c:v>0.89569019362898183</c:v>
                </c:pt>
                <c:pt idx="1">
                  <c:v>1</c:v>
                </c:pt>
                <c:pt idx="2">
                  <c:v>0.73327482965104274</c:v>
                </c:pt>
                <c:pt idx="3">
                  <c:v>1</c:v>
                </c:pt>
                <c:pt idx="4">
                  <c:v>0.72408759124087596</c:v>
                </c:pt>
                <c:pt idx="5">
                  <c:v>0.78917430605210082</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Analysis'!$D$238:$D$244</c:f>
              <c:numCache>
                <c:formatCode>0%</c:formatCode>
                <c:ptCount val="6"/>
                <c:pt idx="0">
                  <c:v>0</c:v>
                </c:pt>
                <c:pt idx="1">
                  <c:v>0</c:v>
                </c:pt>
                <c:pt idx="2">
                  <c:v>0</c:v>
                </c:pt>
                <c:pt idx="3">
                  <c:v>0</c:v>
                </c:pt>
                <c:pt idx="4">
                  <c:v>2.6569343065693422E-2</c:v>
                </c:pt>
                <c:pt idx="5">
                  <c:v>0</c:v>
                </c:pt>
              </c:numCache>
            </c:numRef>
          </c:val>
        </c:ser>
        <c:dLbls>
          <c:showLegendKey val="0"/>
          <c:showVal val="0"/>
          <c:showCatName val="0"/>
          <c:showSerName val="0"/>
          <c:showPercent val="0"/>
          <c:showBubbleSize val="0"/>
        </c:dLbls>
        <c:gapWidth val="150"/>
        <c:shape val="box"/>
        <c:axId val="149514016"/>
        <c:axId val="149513232"/>
        <c:axId val="0"/>
      </c:bar3DChart>
      <c:catAx>
        <c:axId val="14951401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49513232"/>
        <c:crossesAt val="0"/>
        <c:auto val="1"/>
        <c:lblAlgn val="ctr"/>
        <c:lblOffset val="100"/>
        <c:noMultiLvlLbl val="0"/>
      </c:catAx>
      <c:valAx>
        <c:axId val="14951323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49514016"/>
        <c:crosses val="autoZero"/>
        <c:crossBetween val="between"/>
      </c:valAx>
      <c:spPr>
        <a:noFill/>
        <a:ln>
          <a:noFill/>
        </a:ln>
        <a:effectLst/>
      </c:spPr>
    </c:plotArea>
    <c:legend>
      <c:legendPos val="b"/>
      <c:layout>
        <c:manualLayout>
          <c:xMode val="edge"/>
          <c:yMode val="edge"/>
          <c:x val="0.13091211982418061"/>
          <c:y val="0.86015752055975814"/>
          <c:w val="0.78178040153351003"/>
          <c:h val="0.1228501146315633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Analysis!PivotTable11</c:name>
    <c:fmtId val="16"/>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Water</a:t>
            </a:r>
            <a:r>
              <a:rPr lang="en-US" sz="800" b="1" baseline="0"/>
              <a:t> Facility type coverage</a:t>
            </a:r>
          </a:p>
        </c:rich>
      </c:tx>
      <c:layout>
        <c:manualLayout>
          <c:xMode val="edge"/>
          <c:yMode val="edge"/>
          <c:x val="0.33359635653298764"/>
          <c:y val="3.599541556940711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779546216271654"/>
          <c:y val="0.13129376872656928"/>
          <c:w val="0.83347327729332077"/>
          <c:h val="0.4890691971229098"/>
        </c:manualLayout>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Analysis'!$C$131:$C$139</c:f>
              <c:numCache>
                <c:formatCode>0%</c:formatCode>
                <c:ptCount val="8"/>
                <c:pt idx="0">
                  <c:v>0.98977115117891812</c:v>
                </c:pt>
                <c:pt idx="1">
                  <c:v>0</c:v>
                </c:pt>
                <c:pt idx="2">
                  <c:v>0.81168831168831168</c:v>
                </c:pt>
                <c:pt idx="3">
                  <c:v>1.0790990047145102E-2</c:v>
                </c:pt>
                <c:pt idx="4">
                  <c:v>0.29738492986536968</c:v>
                </c:pt>
                <c:pt idx="5">
                  <c:v>6.8283470827949513E-2</c:v>
                </c:pt>
                <c:pt idx="6">
                  <c:v>0.12986165492038632</c:v>
                </c:pt>
                <c:pt idx="7">
                  <c:v>0.99015877442875078</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Analysis'!$D$131:$D$139</c:f>
              <c:numCache>
                <c:formatCode>0%</c:formatCode>
                <c:ptCount val="8"/>
                <c:pt idx="0">
                  <c:v>0</c:v>
                </c:pt>
                <c:pt idx="1">
                  <c:v>0</c:v>
                </c:pt>
                <c:pt idx="2">
                  <c:v>0</c:v>
                </c:pt>
                <c:pt idx="3">
                  <c:v>0</c:v>
                </c:pt>
                <c:pt idx="4">
                  <c:v>0.16916895749629943</c:v>
                </c:pt>
                <c:pt idx="5">
                  <c:v>0</c:v>
                </c:pt>
                <c:pt idx="6">
                  <c:v>6.3730096580527265E-2</c:v>
                </c:pt>
                <c:pt idx="7">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Analysis'!$E$131:$E$139</c:f>
              <c:numCache>
                <c:formatCode>0%</c:formatCode>
                <c:ptCount val="8"/>
                <c:pt idx="0">
                  <c:v>0</c:v>
                </c:pt>
                <c:pt idx="1">
                  <c:v>0</c:v>
                </c:pt>
                <c:pt idx="2">
                  <c:v>0.18831168831168832</c:v>
                </c:pt>
                <c:pt idx="3">
                  <c:v>0.30371922472498691</c:v>
                </c:pt>
                <c:pt idx="4">
                  <c:v>0.16534855853950794</c:v>
                </c:pt>
                <c:pt idx="5">
                  <c:v>0</c:v>
                </c:pt>
                <c:pt idx="6">
                  <c:v>0.11547311406943353</c:v>
                </c:pt>
                <c:pt idx="7">
                  <c:v>9.8412255712492774E-3</c:v>
                </c:pt>
              </c:numCache>
            </c:numRef>
          </c:val>
        </c:ser>
        <c:dLbls>
          <c:showLegendKey val="0"/>
          <c:showVal val="0"/>
          <c:showCatName val="0"/>
          <c:showSerName val="0"/>
          <c:showPercent val="0"/>
          <c:showBubbleSize val="0"/>
        </c:dLbls>
        <c:gapWidth val="150"/>
        <c:shape val="box"/>
        <c:axId val="149512448"/>
        <c:axId val="149515192"/>
        <c:axId val="0"/>
      </c:bar3DChart>
      <c:catAx>
        <c:axId val="149512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49515192"/>
        <c:crosses val="autoZero"/>
        <c:auto val="1"/>
        <c:lblAlgn val="ctr"/>
        <c:lblOffset val="100"/>
        <c:noMultiLvlLbl val="0"/>
      </c:catAx>
      <c:valAx>
        <c:axId val="149515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49512448"/>
        <c:crosses val="autoZero"/>
        <c:crossBetween val="between"/>
        <c:minorUnit val="0.2"/>
      </c:valAx>
      <c:spPr>
        <a:noFill/>
        <a:ln>
          <a:noFill/>
        </a:ln>
        <a:effectLst>
          <a:outerShdw blurRad="50800" dist="38100" algn="l" rotWithShape="0">
            <a:prstClr val="black">
              <a:alpha val="40000"/>
            </a:prstClr>
          </a:outerShdw>
          <a:softEdge rad="127000"/>
        </a:effectLst>
      </c:spPr>
    </c:plotArea>
    <c:legend>
      <c:legendPos val="b"/>
      <c:layout>
        <c:manualLayout>
          <c:xMode val="edge"/>
          <c:yMode val="edge"/>
          <c:x val="8.8574437169302161E-2"/>
          <c:y val="0.86036575229917467"/>
          <c:w val="0.89999968825349563"/>
          <c:h val="0.1338559881142035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a:schemeClr val="tx1"/>
      </a:glow>
      <a:outerShdw blurRad="50800" dist="38100" algn="l" rotWithShape="0">
        <a:prstClr val="black">
          <a:alpha val="40000"/>
        </a:prstClr>
      </a:outerShdw>
      <a:softEdge rad="0"/>
    </a:effectLst>
    <a:scene3d>
      <a:camera prst="orthographicFront"/>
      <a:lightRig rig="threePt" dir="t"/>
    </a:scene3d>
    <a:sp3d/>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Analysis!PivotTable9</c:name>
    <c:fmtId val="51"/>
  </c:pivotSource>
  <c:chart>
    <c:title>
      <c:tx>
        <c:rich>
          <a:bodyPr rot="0" spcFirstLastPara="1" vertOverflow="ellipsis" vert="horz" wrap="square" anchor="ctr" anchorCtr="1"/>
          <a:lstStyle/>
          <a:p>
            <a:pPr algn="ctr" rtl="0">
              <a:defRPr lang="en-US"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latin typeface="+mn-lt"/>
                <a:ea typeface="+mn-ea"/>
                <a:cs typeface="+mn-cs"/>
              </a:rPr>
              <a:t>TLS coverage </a:t>
            </a:r>
          </a:p>
        </c:rich>
      </c:tx>
      <c:layout>
        <c:manualLayout>
          <c:xMode val="edge"/>
          <c:yMode val="edge"/>
          <c:x val="0.38528163361023171"/>
          <c:y val="0.10648098092216085"/>
        </c:manualLayout>
      </c:layout>
      <c:overlay val="0"/>
      <c:spPr>
        <a:noFill/>
        <a:ln>
          <a:noFill/>
        </a:ln>
        <a:effectLst/>
      </c:spPr>
      <c:txPr>
        <a:bodyPr rot="0" spcFirstLastPara="1" vertOverflow="ellipsis" vert="horz" wrap="square" anchor="ctr" anchorCtr="1"/>
        <a:lstStyle/>
        <a:p>
          <a:pPr algn="ctr" rtl="0">
            <a:defRPr lang="en-US" sz="800" b="1" i="0" u="none" strike="noStrike" kern="1200" baseline="0">
              <a:solidFill>
                <a:sysClr val="windowText" lastClr="000000"/>
              </a:solidFill>
              <a:latin typeface="+mn-lt"/>
              <a:ea typeface="+mn-ea"/>
              <a:cs typeface="+mn-cs"/>
            </a:defRPr>
          </a:pPr>
          <a:endParaRPr lang="en-US"/>
        </a:p>
      </c:tx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ontourW="25400">
            <a:contourClr>
              <a:schemeClr val="lt1"/>
            </a:contourClr>
          </a:sp3d>
        </c:spPr>
      </c:pivotFmt>
      <c:pivotFmt>
        <c:idx val="2"/>
        <c:spPr>
          <a:solidFill>
            <a:schemeClr val="accent1"/>
          </a:solidFill>
          <a:ln>
            <a:noFill/>
          </a:ln>
          <a:effectLst/>
          <a:sp3d contourW="25400">
            <a:contourClr>
              <a:schemeClr val="lt1"/>
            </a:contourClr>
          </a:sp3d>
        </c:spPr>
      </c:pivotFmt>
      <c:pivotFmt>
        <c:idx val="3"/>
        <c:spPr>
          <a:solidFill>
            <a:schemeClr val="accent1"/>
          </a:solidFill>
          <a:ln>
            <a:noFill/>
          </a:ln>
          <a:effectLst/>
          <a:sp3d contourW="25400">
            <a:contourClr>
              <a:schemeClr val="lt1"/>
            </a:contourClr>
          </a:sp3d>
        </c:spPr>
      </c:pivotFmt>
      <c:pivotFmt>
        <c:idx val="4"/>
        <c:spPr>
          <a:solidFill>
            <a:schemeClr val="accent1"/>
          </a:solidFill>
          <a:ln>
            <a:noFill/>
          </a:ln>
          <a:effectLst/>
          <a:sp3d contourW="25400">
            <a:contourClr>
              <a:schemeClr val="lt1"/>
            </a:contourClr>
          </a:sp3d>
        </c:spPr>
      </c:pivotFmt>
      <c:pivotFmt>
        <c:idx val="5"/>
        <c:spPr>
          <a:solidFill>
            <a:schemeClr val="accent1"/>
          </a:solidFill>
          <a:ln>
            <a:noFill/>
          </a:ln>
          <a:effectLst/>
          <a:sp3d contourW="25400">
            <a:contourClr>
              <a:schemeClr val="lt1"/>
            </a:contourClr>
          </a:sp3d>
        </c:spPr>
      </c:pivotFmt>
      <c:pivotFmt>
        <c:idx val="6"/>
        <c:spPr>
          <a:solidFill>
            <a:schemeClr val="accent1"/>
          </a:solidFill>
          <a:ln>
            <a:noFill/>
          </a:ln>
          <a:effectLst/>
          <a:sp3d contourW="25400">
            <a:contourClr>
              <a:schemeClr val="lt1"/>
            </a:contourClr>
          </a:sp3d>
        </c:spPr>
      </c:pivotFmt>
      <c:pivotFmt>
        <c:idx val="7"/>
        <c:spPr>
          <a:solidFill>
            <a:schemeClr val="accent1"/>
          </a:solidFill>
          <a:ln>
            <a:noFill/>
          </a:ln>
          <a:effectLst/>
          <a:sp3d contourW="25400">
            <a:contourClr>
              <a:schemeClr val="lt1"/>
            </a:contourClr>
          </a:sp3d>
        </c:spPr>
      </c:pivotFmt>
      <c:pivotFmt>
        <c:idx val="8"/>
        <c:spPr>
          <a:solidFill>
            <a:schemeClr val="accent1"/>
          </a:solidFill>
          <a:ln>
            <a:noFill/>
          </a:ln>
          <a:effectLst/>
          <a:sp3d contourW="25400">
            <a:contourClr>
              <a:schemeClr val="lt1"/>
            </a:contourClr>
          </a:sp3d>
        </c:spPr>
      </c:pivotFmt>
      <c:pivotFmt>
        <c:idx val="9"/>
        <c:spPr>
          <a:solidFill>
            <a:schemeClr val="accent1"/>
          </a:solidFill>
          <a:ln>
            <a:noFill/>
          </a:ln>
          <a:effectLst/>
          <a:sp3d contourW="25400">
            <a:contourClr>
              <a:schemeClr val="lt1"/>
            </a:contourClr>
          </a:sp3d>
        </c:spPr>
      </c:pivotFmt>
      <c:pivotFmt>
        <c:idx val="1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ontourW="25400">
            <a:contourClr>
              <a:schemeClr val="lt1"/>
            </a:contourClr>
          </a:sp3d>
        </c:spPr>
      </c:pivotFmt>
      <c:pivotFmt>
        <c:idx val="12"/>
        <c:spPr>
          <a:solidFill>
            <a:schemeClr val="accent1"/>
          </a:solidFill>
          <a:ln>
            <a:noFill/>
          </a:ln>
          <a:effectLst/>
          <a:sp3d contourW="25400">
            <a:contourClr>
              <a:schemeClr val="lt1"/>
            </a:contourClr>
          </a:sp3d>
        </c:spPr>
      </c:pivotFmt>
      <c:pivotFmt>
        <c:idx val="13"/>
        <c:spPr>
          <a:solidFill>
            <a:schemeClr val="accent1"/>
          </a:solidFill>
          <a:ln>
            <a:noFill/>
          </a:ln>
          <a:effectLst/>
          <a:sp3d contourW="25400">
            <a:contourClr>
              <a:schemeClr val="lt1"/>
            </a:contourClr>
          </a:sp3d>
        </c:spPr>
      </c:pivotFmt>
      <c:pivotFmt>
        <c:idx val="14"/>
        <c:spPr>
          <a:solidFill>
            <a:schemeClr val="accent1"/>
          </a:solidFill>
          <a:ln>
            <a:noFill/>
          </a:ln>
          <a:effectLst/>
          <a:sp3d contourW="25400">
            <a:contourClr>
              <a:schemeClr val="lt1"/>
            </a:contourClr>
          </a:sp3d>
        </c:spPr>
      </c:pivotFmt>
      <c:pivotFmt>
        <c:idx val="1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a:sp3d>
            <a:contourClr>
              <a:schemeClr val="lt1"/>
            </a:contourClr>
          </a:sp3d>
        </c:spPr>
      </c:pivotFmt>
      <c:pivotFmt>
        <c:idx val="17"/>
        <c:spPr>
          <a:solidFill>
            <a:schemeClr val="accent1"/>
          </a:solidFill>
          <a:ln>
            <a:noFill/>
          </a:ln>
          <a:effectLst/>
          <a:sp3d>
            <a:contourClr>
              <a:schemeClr val="lt1"/>
            </a:contourClr>
          </a:sp3d>
        </c:spPr>
      </c:pivotFmt>
      <c:pivotFmt>
        <c:idx val="18"/>
        <c:spPr>
          <a:solidFill>
            <a:schemeClr val="accent1"/>
          </a:solidFill>
          <a:ln>
            <a:noFill/>
          </a:ln>
          <a:effectLst/>
          <a:sp3d>
            <a:contourClr>
              <a:schemeClr val="lt1"/>
            </a:contourClr>
          </a:sp3d>
        </c:spPr>
      </c:pivotFmt>
      <c:pivotFmt>
        <c:idx val="19"/>
        <c:spPr>
          <a:solidFill>
            <a:schemeClr val="accent1"/>
          </a:solidFill>
          <a:ln>
            <a:noFill/>
          </a:ln>
          <a:effectLst/>
          <a:sp3d>
            <a:contourClr>
              <a:schemeClr val="lt1"/>
            </a:contourClr>
          </a:sp3d>
        </c:spPr>
      </c:pivotFmt>
    </c:pivotFmts>
    <c:view3D>
      <c:rotX val="30"/>
      <c:rotY val="0"/>
      <c:depthPercent val="100"/>
      <c:rAngAx val="0"/>
    </c:view3D>
    <c:floor>
      <c:thickness val="0"/>
      <c:spPr>
        <a:no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a:noFill/>
              </a:ln>
              <a:effectLst/>
              <a:sp3d>
                <a:contourClr>
                  <a:schemeClr val="lt1"/>
                </a:contourClr>
              </a:sp3d>
            </c:spPr>
          </c:dPt>
          <c:dPt>
            <c:idx val="1"/>
            <c:bubble3D val="0"/>
            <c:spPr>
              <a:solidFill>
                <a:schemeClr val="accent2"/>
              </a:solidFill>
              <a:ln>
                <a:noFill/>
              </a:ln>
              <a:effectLst/>
              <a:sp3d>
                <a:contourClr>
                  <a:schemeClr val="lt1"/>
                </a:contourClr>
              </a:sp3d>
            </c:spPr>
          </c:dPt>
          <c:dPt>
            <c:idx val="2"/>
            <c:bubble3D val="0"/>
            <c:spPr>
              <a:solidFill>
                <a:schemeClr val="accent3"/>
              </a:solidFill>
              <a:ln>
                <a:noFill/>
              </a:ln>
              <a:effectLst/>
              <a:sp3d>
                <a:contourClr>
                  <a:schemeClr val="lt1"/>
                </a:contourClr>
              </a:sp3d>
            </c:spPr>
          </c:dPt>
          <c:dPt>
            <c:idx val="3"/>
            <c:bubble3D val="0"/>
            <c:spPr>
              <a:solidFill>
                <a:schemeClr val="accent4"/>
              </a:solidFill>
              <a:ln>
                <a:noFill/>
              </a:ln>
              <a:effectLst/>
              <a:sp3d>
                <a:contourClr>
                  <a:schemeClr val="lt1"/>
                </a:contourClr>
              </a:sp3d>
            </c:spPr>
          </c:dPt>
          <c:dPt>
            <c:idx val="4"/>
            <c:bubble3D val="0"/>
            <c:spPr>
              <a:solidFill>
                <a:schemeClr val="accent5"/>
              </a:solidFill>
              <a:ln>
                <a:noFill/>
              </a:ln>
              <a:effectLst/>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'Situation Analysis'!$B$301:$B$305</c:f>
              <c:strCache>
                <c:ptCount val="4"/>
                <c:pt idx="0">
                  <c:v>0-25%</c:v>
                </c:pt>
                <c:pt idx="1">
                  <c:v>75-100%</c:v>
                </c:pt>
                <c:pt idx="2">
                  <c:v>n/a</c:v>
                </c:pt>
                <c:pt idx="3">
                  <c:v>50-75%</c:v>
                </c:pt>
              </c:strCache>
            </c:strRef>
          </c:cat>
          <c:val>
            <c:numRef>
              <c:f>'Situation Analysis'!$C$301:$C$305</c:f>
              <c:numCache>
                <c:formatCode>0%</c:formatCode>
                <c:ptCount val="4"/>
                <c:pt idx="0">
                  <c:v>0.22580645161290322</c:v>
                </c:pt>
                <c:pt idx="1">
                  <c:v>0.61290322580645162</c:v>
                </c:pt>
                <c:pt idx="2">
                  <c:v>0.12903225806451613</c:v>
                </c:pt>
                <c:pt idx="3">
                  <c:v>3.2258064516129031E-2</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Analysis!PivotTable5</c:name>
    <c:fmtId val="5"/>
  </c:pivotSource>
  <c:chart>
    <c:title>
      <c:tx>
        <c:rich>
          <a:bodyPr/>
          <a:lstStyle/>
          <a:p>
            <a:pPr>
              <a:defRPr sz="1100"/>
            </a:pPr>
            <a:r>
              <a:rPr lang="en-US" sz="1100"/>
              <a:t>% households</a:t>
            </a:r>
            <a:r>
              <a:rPr lang="en-US" sz="1100" baseline="0"/>
              <a:t> </a:t>
            </a:r>
            <a:r>
              <a:rPr lang="en-US" sz="1100"/>
              <a:t>receiving monthly hygiene</a:t>
            </a:r>
            <a:r>
              <a:rPr lang="en-US" sz="1100" baseline="0"/>
              <a:t> promotion</a:t>
            </a:r>
            <a:endParaRPr lang="en-US" sz="1100"/>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0.83755677606428613</c:v>
                </c:pt>
                <c:pt idx="1">
                  <c:v>0.21003404723385827</c:v>
                </c:pt>
                <c:pt idx="2">
                  <c:v>0.14756075152740136</c:v>
                </c:pt>
                <c:pt idx="3">
                  <c:v>0.18993877591587652</c:v>
                </c:pt>
              </c:numCache>
            </c:numRef>
          </c:val>
        </c:ser>
        <c:dLbls>
          <c:showLegendKey val="0"/>
          <c:showVal val="0"/>
          <c:showCatName val="0"/>
          <c:showSerName val="0"/>
          <c:showPercent val="0"/>
          <c:showBubbleSize val="0"/>
        </c:dLbls>
        <c:gapWidth val="150"/>
        <c:shape val="box"/>
        <c:axId val="149516368"/>
        <c:axId val="149516760"/>
        <c:axId val="0"/>
      </c:bar3DChart>
      <c:catAx>
        <c:axId val="149516368"/>
        <c:scaling>
          <c:orientation val="minMax"/>
        </c:scaling>
        <c:delete val="0"/>
        <c:axPos val="b"/>
        <c:numFmt formatCode="General" sourceLinked="1"/>
        <c:majorTickMark val="out"/>
        <c:minorTickMark val="none"/>
        <c:tickLblPos val="nextTo"/>
        <c:crossAx val="149516760"/>
        <c:crosses val="autoZero"/>
        <c:auto val="1"/>
        <c:lblAlgn val="ctr"/>
        <c:lblOffset val="100"/>
        <c:noMultiLvlLbl val="0"/>
      </c:catAx>
      <c:valAx>
        <c:axId val="149516760"/>
        <c:scaling>
          <c:orientation val="minMax"/>
          <c:max val="1"/>
        </c:scaling>
        <c:delete val="0"/>
        <c:axPos val="l"/>
        <c:majorGridlines/>
        <c:numFmt formatCode="0%" sourceLinked="1"/>
        <c:majorTickMark val="out"/>
        <c:minorTickMark val="none"/>
        <c:tickLblPos val="nextTo"/>
        <c:crossAx val="149516368"/>
        <c:crosses val="autoZero"/>
        <c:crossBetween val="between"/>
        <c:minorUnit val="0.2"/>
      </c:valAx>
      <c:spPr>
        <a:noFill/>
        <a:ln w="25400">
          <a:noFill/>
        </a:ln>
      </c:spPr>
    </c:plotArea>
    <c:plotVisOnly val="1"/>
    <c:dispBlanksAs val="gap"/>
    <c:showDLblsOverMax val="0"/>
  </c:chart>
  <c:spPr>
    <a:effectLst>
      <a:outerShdw blurRad="50800" dist="38100" dir="2700000" algn="tl" rotWithShape="0">
        <a:prstClr val="black">
          <a:alpha val="40000"/>
        </a:prstClr>
      </a:outerShdw>
    </a:effectLst>
    <a:scene3d>
      <a:camera prst="orthographicFront"/>
      <a:lightRig rig="threePt" dir="t"/>
    </a:scene3d>
    <a:sp3d>
      <a:bevelT w="152400" h="50800" prst="softRound"/>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Analysis!PivotTable6</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Waste management efficiency</a:t>
            </a:r>
          </a:p>
        </c:rich>
      </c:tx>
      <c:layout>
        <c:manualLayout>
          <c:xMode val="edge"/>
          <c:yMode val="edge"/>
          <c:x val="0.34380448535755481"/>
          <c:y val="6.11005813991312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showLegendKey val="0"/>
          <c:showVal val="0"/>
          <c:showCatName val="0"/>
          <c:showSerName val="0"/>
          <c:showPercent val="1"/>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Analysis'!$C$425:$C$426</c:f>
              <c:strCache>
                <c:ptCount val="1"/>
                <c:pt idx="0">
                  <c:v>Not yet set up</c:v>
                </c:pt>
              </c:strCache>
            </c:strRef>
          </c:tx>
          <c:spPr>
            <a:solidFill>
              <a:schemeClr val="accent1"/>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Analysis'!$C$427:$C$433</c:f>
              <c:numCache>
                <c:formatCode>0%</c:formatCode>
                <c:ptCount val="6"/>
                <c:pt idx="0">
                  <c:v>0</c:v>
                </c:pt>
                <c:pt idx="1">
                  <c:v>0</c:v>
                </c:pt>
                <c:pt idx="2">
                  <c:v>0</c:v>
                </c:pt>
                <c:pt idx="3">
                  <c:v>0</c:v>
                </c:pt>
                <c:pt idx="4">
                  <c:v>0.64058394160583942</c:v>
                </c:pt>
                <c:pt idx="5">
                  <c:v>0</c:v>
                </c:pt>
              </c:numCache>
            </c:numRef>
          </c:val>
        </c:ser>
        <c:ser>
          <c:idx val="1"/>
          <c:order val="1"/>
          <c:tx>
            <c:strRef>
              <c:f>'Situation Analysis'!$D$425:$D$426</c:f>
              <c:strCache>
                <c:ptCount val="1"/>
                <c:pt idx="0">
                  <c:v>Set up but low results </c:v>
                </c:pt>
              </c:strCache>
            </c:strRef>
          </c:tx>
          <c:spPr>
            <a:solidFill>
              <a:schemeClr val="accent2"/>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Analysis'!$D$427:$D$433</c:f>
              <c:numCache>
                <c:formatCode>0%</c:formatCode>
                <c:ptCount val="6"/>
                <c:pt idx="0">
                  <c:v>0</c:v>
                </c:pt>
                <c:pt idx="1">
                  <c:v>1</c:v>
                </c:pt>
                <c:pt idx="2">
                  <c:v>0.8750649350649351</c:v>
                </c:pt>
                <c:pt idx="3">
                  <c:v>0</c:v>
                </c:pt>
                <c:pt idx="4">
                  <c:v>0.35941605839416058</c:v>
                </c:pt>
                <c:pt idx="5">
                  <c:v>0.2220846717821201</c:v>
                </c:pt>
              </c:numCache>
            </c:numRef>
          </c:val>
        </c:ser>
        <c:ser>
          <c:idx val="2"/>
          <c:order val="2"/>
          <c:tx>
            <c:strRef>
              <c:f>'Situation Analysis'!$E$425:$E$426</c:f>
              <c:strCache>
                <c:ptCount val="1"/>
                <c:pt idx="0">
                  <c:v>Functional and efficient</c:v>
                </c:pt>
              </c:strCache>
            </c:strRef>
          </c:tx>
          <c:spPr>
            <a:solidFill>
              <a:schemeClr val="accent3"/>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Analysis'!$E$427:$E$433</c:f>
              <c:numCache>
                <c:formatCode>0%</c:formatCode>
                <c:ptCount val="6"/>
                <c:pt idx="0">
                  <c:v>1</c:v>
                </c:pt>
                <c:pt idx="1">
                  <c:v>0</c:v>
                </c:pt>
                <c:pt idx="2">
                  <c:v>0.12493506493506494</c:v>
                </c:pt>
                <c:pt idx="3">
                  <c:v>1</c:v>
                </c:pt>
                <c:pt idx="4">
                  <c:v>0</c:v>
                </c:pt>
                <c:pt idx="5">
                  <c:v>0.4289297034246502</c:v>
                </c:pt>
              </c:numCache>
            </c:numRef>
          </c:val>
        </c:ser>
        <c:ser>
          <c:idx val="3"/>
          <c:order val="3"/>
          <c:tx>
            <c:strRef>
              <c:f>'Situation Analysis'!$F$425:$F$426</c:f>
              <c:strCache>
                <c:ptCount val="1"/>
                <c:pt idx="0">
                  <c:v>Yes</c:v>
                </c:pt>
              </c:strCache>
            </c:strRef>
          </c:tx>
          <c:spPr>
            <a:solidFill>
              <a:schemeClr val="accent4"/>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Analysis'!$F$427:$F$433</c:f>
              <c:numCache>
                <c:formatCode>0%</c:formatCode>
                <c:ptCount val="6"/>
                <c:pt idx="0">
                  <c:v>0</c:v>
                </c:pt>
                <c:pt idx="1">
                  <c:v>0</c:v>
                </c:pt>
                <c:pt idx="2">
                  <c:v>0</c:v>
                </c:pt>
                <c:pt idx="3">
                  <c:v>0</c:v>
                </c:pt>
                <c:pt idx="4">
                  <c:v>0</c:v>
                </c:pt>
                <c:pt idx="5">
                  <c:v>0.13712474520559639</c:v>
                </c:pt>
              </c:numCache>
            </c:numRef>
          </c:val>
        </c:ser>
        <c:ser>
          <c:idx val="4"/>
          <c:order val="4"/>
          <c:tx>
            <c:strRef>
              <c:f>'Situation Analysis'!$G$425:$G$426</c:f>
              <c:strCache>
                <c:ptCount val="1"/>
                <c:pt idx="0">
                  <c:v>No</c:v>
                </c:pt>
              </c:strCache>
            </c:strRef>
          </c:tx>
          <c:spPr>
            <a:solidFill>
              <a:schemeClr val="accent5"/>
            </a:solidFill>
            <a:ln>
              <a:noFill/>
            </a:ln>
            <a:effectLst/>
            <a:sp3d/>
          </c:spPr>
          <c:invertIfNegative val="0"/>
          <c:cat>
            <c:strRef>
              <c:f>'Situation Analysis'!$B$427:$B$433</c:f>
              <c:strCache>
                <c:ptCount val="6"/>
                <c:pt idx="0">
                  <c:v>Kyauk Phyu</c:v>
                </c:pt>
                <c:pt idx="1">
                  <c:v>Myebon</c:v>
                </c:pt>
                <c:pt idx="2">
                  <c:v>Pauktaw</c:v>
                </c:pt>
                <c:pt idx="3">
                  <c:v>Ramree</c:v>
                </c:pt>
                <c:pt idx="4">
                  <c:v>Rathedaung</c:v>
                </c:pt>
                <c:pt idx="5">
                  <c:v>Sittwe</c:v>
                </c:pt>
              </c:strCache>
            </c:strRef>
          </c:cat>
          <c:val>
            <c:numRef>
              <c:f>'Situation Analysis'!$G$427:$G$433</c:f>
              <c:numCache>
                <c:formatCode>0%</c:formatCode>
                <c:ptCount val="6"/>
                <c:pt idx="0">
                  <c:v>0</c:v>
                </c:pt>
                <c:pt idx="1">
                  <c:v>0</c:v>
                </c:pt>
                <c:pt idx="2">
                  <c:v>0</c:v>
                </c:pt>
                <c:pt idx="3">
                  <c:v>0</c:v>
                </c:pt>
                <c:pt idx="4">
                  <c:v>0</c:v>
                </c:pt>
                <c:pt idx="5">
                  <c:v>0.21186087958763328</c:v>
                </c:pt>
              </c:numCache>
            </c:numRef>
          </c:val>
        </c:ser>
        <c:dLbls>
          <c:showLegendKey val="0"/>
          <c:showVal val="0"/>
          <c:showCatName val="0"/>
          <c:showSerName val="0"/>
          <c:showPercent val="0"/>
          <c:showBubbleSize val="0"/>
        </c:dLbls>
        <c:gapWidth val="150"/>
        <c:shape val="box"/>
        <c:axId val="149517544"/>
        <c:axId val="149517936"/>
        <c:axId val="0"/>
      </c:bar3DChart>
      <c:catAx>
        <c:axId val="149517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7936"/>
        <c:crosses val="autoZero"/>
        <c:auto val="1"/>
        <c:lblAlgn val="ctr"/>
        <c:lblOffset val="100"/>
        <c:noMultiLvlLbl val="0"/>
      </c:catAx>
      <c:valAx>
        <c:axId val="14951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Ending date water funds/project coverage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'Ending Project'!$B$1</c:f>
              <c:strCache>
                <c:ptCount val="1"/>
                <c:pt idx="0">
                  <c:v>Date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'Ending Project'!$A$2:$A$32</c:f>
              <c:strCache>
                <c:ptCount val="31"/>
                <c:pt idx="0">
                  <c:v>Kaung Doke Khar (excl. Hmanzi)</c:v>
                </c:pt>
                <c:pt idx="1">
                  <c:v>Ohn Taw Chay</c:v>
                </c:pt>
                <c:pt idx="2">
                  <c:v>Sat Roe Kya 1</c:v>
                </c:pt>
                <c:pt idx="3">
                  <c:v>Kyein Ni Pyin</c:v>
                </c:pt>
                <c:pt idx="4">
                  <c:v>Ohn Taw Gyi South</c:v>
                </c:pt>
                <c:pt idx="5">
                  <c:v>Phwe Yar Gone</c:v>
                </c:pt>
                <c:pt idx="6">
                  <c:v>Ah Htet Nan Yar</c:v>
                </c:pt>
                <c:pt idx="7">
                  <c:v>Ba Wunn Chaung Wa Su</c:v>
                </c:pt>
                <c:pt idx="8">
                  <c:v>Ka Nyin Taw</c:v>
                </c:pt>
                <c:pt idx="9">
                  <c:v>Kyauk Ta Lone </c:v>
                </c:pt>
                <c:pt idx="10">
                  <c:v>Ward 6</c:v>
                </c:pt>
                <c:pt idx="11">
                  <c:v>Sat Roe Kya 2</c:v>
                </c:pt>
                <c:pt idx="12">
                  <c:v>Say Tha Mar Gyi</c:v>
                </c:pt>
                <c:pt idx="13">
                  <c:v>Set Yone Su 1</c:v>
                </c:pt>
                <c:pt idx="14">
                  <c:v>Set Yone Su 3</c:v>
                </c:pt>
                <c:pt idx="15">
                  <c:v>Kan Thar Htwat Wa</c:v>
                </c:pt>
                <c:pt idx="16">
                  <c:v>Taung Paw</c:v>
                </c:pt>
                <c:pt idx="17">
                  <c:v>Sin Tet Maw</c:v>
                </c:pt>
                <c:pt idx="18">
                  <c:v>Basara</c:v>
                </c:pt>
                <c:pt idx="19">
                  <c:v>Maw Ti Ngar (TKP west)</c:v>
                </c:pt>
                <c:pt idx="20">
                  <c:v>Ohn Taw Gyi North</c:v>
                </c:pt>
                <c:pt idx="21">
                  <c:v>Thet Kel Pyin </c:v>
                </c:pt>
                <c:pt idx="22">
                  <c:v>A Nauk Ywe</c:v>
                </c:pt>
                <c:pt idx="23">
                  <c:v>Nget Chaung 1</c:v>
                </c:pt>
                <c:pt idx="24">
                  <c:v>Nget Chaung 2</c:v>
                </c:pt>
                <c:pt idx="25">
                  <c:v>Chein Khar Li</c:v>
                </c:pt>
                <c:pt idx="26">
                  <c:v>Koe Tan Kauk</c:v>
                </c:pt>
                <c:pt idx="27">
                  <c:v>Baw Du Pha</c:v>
                </c:pt>
                <c:pt idx="28">
                  <c:v>Dar Pai</c:v>
                </c:pt>
                <c:pt idx="29">
                  <c:v>Hmansi ( from Kaung Doke Khar)</c:v>
                </c:pt>
                <c:pt idx="30">
                  <c:v>Thea Chaung </c:v>
                </c:pt>
              </c:strCache>
            </c:strRef>
          </c:cat>
          <c:val>
            <c:numRef>
              <c:f>'Ending Project'!$B$2:$B$32</c:f>
              <c:numCache>
                <c:formatCode>[$-409]d\-mmm\-yy;@</c:formatCode>
                <c:ptCount val="31"/>
                <c:pt idx="0">
                  <c:v>42369</c:v>
                </c:pt>
                <c:pt idx="1">
                  <c:v>42369</c:v>
                </c:pt>
                <c:pt idx="2">
                  <c:v>42369</c:v>
                </c:pt>
                <c:pt idx="3">
                  <c:v>42369</c:v>
                </c:pt>
                <c:pt idx="4">
                  <c:v>42551</c:v>
                </c:pt>
                <c:pt idx="5">
                  <c:v>42551</c:v>
                </c:pt>
                <c:pt idx="6">
                  <c:v>42369</c:v>
                </c:pt>
                <c:pt idx="8">
                  <c:v>42338</c:v>
                </c:pt>
                <c:pt idx="9">
                  <c:v>42338</c:v>
                </c:pt>
                <c:pt idx="10">
                  <c:v>42338</c:v>
                </c:pt>
                <c:pt idx="11">
                  <c:v>42460</c:v>
                </c:pt>
                <c:pt idx="12">
                  <c:v>42460</c:v>
                </c:pt>
                <c:pt idx="13">
                  <c:v>42460</c:v>
                </c:pt>
                <c:pt idx="14">
                  <c:v>42460</c:v>
                </c:pt>
                <c:pt idx="15">
                  <c:v>42338</c:v>
                </c:pt>
                <c:pt idx="16">
                  <c:v>42338</c:v>
                </c:pt>
                <c:pt idx="17">
                  <c:v>42460</c:v>
                </c:pt>
                <c:pt idx="18">
                  <c:v>42460</c:v>
                </c:pt>
                <c:pt idx="19">
                  <c:v>42460</c:v>
                </c:pt>
                <c:pt idx="20">
                  <c:v>42460</c:v>
                </c:pt>
                <c:pt idx="21">
                  <c:v>42460</c:v>
                </c:pt>
                <c:pt idx="22">
                  <c:v>42521</c:v>
                </c:pt>
                <c:pt idx="23">
                  <c:v>42521</c:v>
                </c:pt>
                <c:pt idx="24">
                  <c:v>42521</c:v>
                </c:pt>
                <c:pt idx="25">
                  <c:v>42490</c:v>
                </c:pt>
                <c:pt idx="26">
                  <c:v>42490</c:v>
                </c:pt>
                <c:pt idx="27">
                  <c:v>42460</c:v>
                </c:pt>
                <c:pt idx="28">
                  <c:v>42460</c:v>
                </c:pt>
                <c:pt idx="29">
                  <c:v>42460</c:v>
                </c:pt>
                <c:pt idx="30">
                  <c:v>42460</c:v>
                </c:pt>
              </c:numCache>
            </c:numRef>
          </c:val>
        </c:ser>
        <c:dLbls>
          <c:showLegendKey val="0"/>
          <c:showVal val="1"/>
          <c:showCatName val="0"/>
          <c:showSerName val="0"/>
          <c:showPercent val="0"/>
          <c:showBubbleSize val="0"/>
        </c:dLbls>
        <c:gapWidth val="150"/>
        <c:shape val="box"/>
        <c:axId val="149519112"/>
        <c:axId val="225448488"/>
        <c:axId val="0"/>
      </c:bar3DChart>
      <c:catAx>
        <c:axId val="14951911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48488"/>
        <c:crosses val="autoZero"/>
        <c:auto val="1"/>
        <c:lblAlgn val="ctr"/>
        <c:lblOffset val="100"/>
        <c:noMultiLvlLbl val="0"/>
      </c:catAx>
      <c:valAx>
        <c:axId val="225448488"/>
        <c:scaling>
          <c:orientation val="minMax"/>
          <c:max val="42599"/>
          <c:min val="42310"/>
        </c:scaling>
        <c:delete val="0"/>
        <c:axPos val="b"/>
        <c:majorGridlines>
          <c:spPr>
            <a:ln w="9525" cap="flat" cmpd="sng" algn="ctr">
              <a:solidFill>
                <a:schemeClr val="tx1">
                  <a:lumMod val="15000"/>
                  <a:lumOff val="85000"/>
                </a:schemeClr>
              </a:solidFill>
              <a:round/>
            </a:ln>
            <a:effectLst/>
          </c:spPr>
        </c:majorGridlines>
        <c:numFmt formatCode="[$-409]d\-mmm\-yy;@"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9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Analysis!PivotTable51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site</a:t>
            </a:r>
            <a:r>
              <a:rPr lang="en-US" b="1" baseline="0"/>
              <a:t> size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Analysis'!$C$77:$C$78</c:f>
              <c:strCache>
                <c:ptCount val="1"/>
                <c:pt idx="0">
                  <c:v>Water coverage %</c:v>
                </c:pt>
              </c:strCache>
            </c:strRef>
          </c:tx>
          <c:spPr>
            <a:solidFill>
              <a:schemeClr val="accent1"/>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Analysis'!$C$79:$C$84</c:f>
              <c:numCache>
                <c:formatCode>0%</c:formatCode>
                <c:ptCount val="5"/>
                <c:pt idx="0">
                  <c:v>0.79216354344122653</c:v>
                </c:pt>
                <c:pt idx="1">
                  <c:v>1</c:v>
                </c:pt>
                <c:pt idx="2">
                  <c:v>1</c:v>
                </c:pt>
                <c:pt idx="3">
                  <c:v>0.7956108090821874</c:v>
                </c:pt>
                <c:pt idx="4">
                  <c:v>0.94323515757982157</c:v>
                </c:pt>
              </c:numCache>
            </c:numRef>
          </c:val>
        </c:ser>
        <c:ser>
          <c:idx val="1"/>
          <c:order val="1"/>
          <c:tx>
            <c:strRef>
              <c:f>'Situation Analysis'!$D$77:$D$78</c:f>
              <c:strCache>
                <c:ptCount val="1"/>
                <c:pt idx="0">
                  <c:v>Latrines coverage %</c:v>
                </c:pt>
              </c:strCache>
            </c:strRef>
          </c:tx>
          <c:spPr>
            <a:solidFill>
              <a:schemeClr val="accent2"/>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Analysis'!$D$79:$D$84</c:f>
              <c:numCache>
                <c:formatCode>0%</c:formatCode>
                <c:ptCount val="5"/>
                <c:pt idx="0">
                  <c:v>0.88756388415672915</c:v>
                </c:pt>
                <c:pt idx="1">
                  <c:v>0.8272939801285798</c:v>
                </c:pt>
                <c:pt idx="2">
                  <c:v>0.99040066777963276</c:v>
                </c:pt>
                <c:pt idx="3">
                  <c:v>0.83686440677966101</c:v>
                </c:pt>
                <c:pt idx="4">
                  <c:v>0.73353277969773556</c:v>
                </c:pt>
              </c:numCache>
            </c:numRef>
          </c:val>
        </c:ser>
        <c:ser>
          <c:idx val="2"/>
          <c:order val="2"/>
          <c:tx>
            <c:strRef>
              <c:f>'Situation Analysis'!$E$77:$E$78</c:f>
              <c:strCache>
                <c:ptCount val="1"/>
                <c:pt idx="0">
                  <c:v>Bathroom coverage %</c:v>
                </c:pt>
              </c:strCache>
            </c:strRef>
          </c:tx>
          <c:spPr>
            <a:solidFill>
              <a:schemeClr val="accent3"/>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Analysis'!$E$79:$E$84</c:f>
              <c:numCache>
                <c:formatCode>0%</c:formatCode>
                <c:ptCount val="5"/>
                <c:pt idx="0">
                  <c:v>0.28620102214650761</c:v>
                </c:pt>
                <c:pt idx="1">
                  <c:v>0.17346580946814727</c:v>
                </c:pt>
                <c:pt idx="2">
                  <c:v>0.35607679465776293</c:v>
                </c:pt>
                <c:pt idx="3">
                  <c:v>0.5566949152542372</c:v>
                </c:pt>
                <c:pt idx="4">
                  <c:v>0.25782998916799921</c:v>
                </c:pt>
              </c:numCache>
            </c:numRef>
          </c:val>
        </c:ser>
        <c:dLbls>
          <c:showLegendKey val="0"/>
          <c:showVal val="0"/>
          <c:showCatName val="0"/>
          <c:showSerName val="0"/>
          <c:showPercent val="0"/>
          <c:showBubbleSize val="0"/>
        </c:dLbls>
        <c:gapWidth val="150"/>
        <c:shape val="box"/>
        <c:axId val="225448880"/>
        <c:axId val="225449272"/>
        <c:axId val="0"/>
      </c:bar3DChart>
      <c:catAx>
        <c:axId val="225448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49272"/>
        <c:crosses val="autoZero"/>
        <c:auto val="1"/>
        <c:lblAlgn val="ctr"/>
        <c:lblOffset val="100"/>
        <c:noMultiLvlLbl val="0"/>
      </c:catAx>
      <c:valAx>
        <c:axId val="225449272"/>
        <c:scaling>
          <c:orientation val="minMax"/>
        </c:scaling>
        <c:delete val="0"/>
        <c:axPos val="l"/>
        <c:majorGridlines>
          <c:spPr>
            <a:ln w="9525" cap="flat" cmpd="sng" algn="ctr">
              <a:solidFill>
                <a:schemeClr val="accent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4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Analysis!PivotTable52</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affected type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Analysis'!$C$97:$C$102</c:f>
              <c:numCache>
                <c:formatCode>0%</c:formatCode>
                <c:ptCount val="5"/>
                <c:pt idx="0">
                  <c:v>0.92047826912127539</c:v>
                </c:pt>
                <c:pt idx="1">
                  <c:v>0.49171675655771435</c:v>
                </c:pt>
                <c:pt idx="2">
                  <c:v>4.617097824224773E-2</c:v>
                </c:pt>
                <c:pt idx="3">
                  <c:v>0.25637374247783545</c:v>
                </c:pt>
                <c:pt idx="4">
                  <c:v>0.76969407835887649</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Analysis'!$D$97:$D$102</c:f>
              <c:numCache>
                <c:formatCode>0%</c:formatCode>
                <c:ptCount val="5"/>
                <c:pt idx="0">
                  <c:v>0.78592588313928058</c:v>
                </c:pt>
                <c:pt idx="1">
                  <c:v>0.28510624472025475</c:v>
                </c:pt>
                <c:pt idx="2">
                  <c:v>0.10047969847524413</c:v>
                </c:pt>
                <c:pt idx="3">
                  <c:v>0.28186871238917727</c:v>
                </c:pt>
                <c:pt idx="4">
                  <c:v>0.19712962410797702</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Analysis'!$B$97:$B$102</c:f>
              <c:strCache>
                <c:ptCount val="5"/>
                <c:pt idx="0">
                  <c:v>Camp with IDPs</c:v>
                </c:pt>
                <c:pt idx="1">
                  <c:v>Surrounding community</c:v>
                </c:pt>
                <c:pt idx="2">
                  <c:v>Village (development)</c:v>
                </c:pt>
                <c:pt idx="3">
                  <c:v>Village with affected HH</c:v>
                </c:pt>
                <c:pt idx="4">
                  <c:v>Village with IDPs</c:v>
                </c:pt>
              </c:strCache>
            </c:strRef>
          </c:cat>
          <c:val>
            <c:numRef>
              <c:f>'Situation Analysis'!$E$97:$E$102</c:f>
              <c:numCache>
                <c:formatCode>0%</c:formatCode>
                <c:ptCount val="5"/>
                <c:pt idx="0">
                  <c:v>0.32605378464686802</c:v>
                </c:pt>
                <c:pt idx="1">
                  <c:v>0</c:v>
                </c:pt>
                <c:pt idx="2">
                  <c:v>0</c:v>
                </c:pt>
                <c:pt idx="3">
                  <c:v>0</c:v>
                </c:pt>
                <c:pt idx="4">
                  <c:v>0</c:v>
                </c:pt>
              </c:numCache>
            </c:numRef>
          </c:val>
        </c:ser>
        <c:dLbls>
          <c:showLegendKey val="0"/>
          <c:showVal val="0"/>
          <c:showCatName val="0"/>
          <c:showSerName val="0"/>
          <c:showPercent val="0"/>
          <c:showBubbleSize val="0"/>
        </c:dLbls>
        <c:gapWidth val="150"/>
        <c:shape val="box"/>
        <c:axId val="225450056"/>
        <c:axId val="225450448"/>
        <c:axId val="0"/>
      </c:bar3DChart>
      <c:catAx>
        <c:axId val="225450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0448"/>
        <c:crosses val="autoZero"/>
        <c:auto val="1"/>
        <c:lblAlgn val="ctr"/>
        <c:lblOffset val="100"/>
        <c:noMultiLvlLbl val="0"/>
      </c:catAx>
      <c:valAx>
        <c:axId val="225450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0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Water type need coverage per Township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Analysis'!$C$131:$C$139</c:f>
              <c:numCache>
                <c:formatCode>0%</c:formatCode>
                <c:ptCount val="8"/>
                <c:pt idx="0">
                  <c:v>0.98977115117891812</c:v>
                </c:pt>
                <c:pt idx="1">
                  <c:v>0</c:v>
                </c:pt>
                <c:pt idx="2">
                  <c:v>0.81168831168831168</c:v>
                </c:pt>
                <c:pt idx="3">
                  <c:v>1.0790990047145102E-2</c:v>
                </c:pt>
                <c:pt idx="4">
                  <c:v>0.29738492986536968</c:v>
                </c:pt>
                <c:pt idx="5">
                  <c:v>6.8283470827949513E-2</c:v>
                </c:pt>
                <c:pt idx="6">
                  <c:v>0.12986165492038632</c:v>
                </c:pt>
                <c:pt idx="7">
                  <c:v>0.99015877442875078</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Analysis'!$D$131:$D$139</c:f>
              <c:numCache>
                <c:formatCode>0%</c:formatCode>
                <c:ptCount val="8"/>
                <c:pt idx="0">
                  <c:v>0</c:v>
                </c:pt>
                <c:pt idx="1">
                  <c:v>0</c:v>
                </c:pt>
                <c:pt idx="2">
                  <c:v>0</c:v>
                </c:pt>
                <c:pt idx="3">
                  <c:v>0</c:v>
                </c:pt>
                <c:pt idx="4">
                  <c:v>0.16916895749629943</c:v>
                </c:pt>
                <c:pt idx="5">
                  <c:v>0</c:v>
                </c:pt>
                <c:pt idx="6">
                  <c:v>6.3730096580527265E-2</c:v>
                </c:pt>
                <c:pt idx="7">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Analysis'!$B$131:$B$139</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Analysis'!$E$131:$E$139</c:f>
              <c:numCache>
                <c:formatCode>0%</c:formatCode>
                <c:ptCount val="8"/>
                <c:pt idx="0">
                  <c:v>0</c:v>
                </c:pt>
                <c:pt idx="1">
                  <c:v>0</c:v>
                </c:pt>
                <c:pt idx="2">
                  <c:v>0.18831168831168832</c:v>
                </c:pt>
                <c:pt idx="3">
                  <c:v>0.30371922472498691</c:v>
                </c:pt>
                <c:pt idx="4">
                  <c:v>0.16534855853950794</c:v>
                </c:pt>
                <c:pt idx="5">
                  <c:v>0</c:v>
                </c:pt>
                <c:pt idx="6">
                  <c:v>0.11547311406943353</c:v>
                </c:pt>
                <c:pt idx="7">
                  <c:v>9.8412255712492774E-3</c:v>
                </c:pt>
              </c:numCache>
            </c:numRef>
          </c:val>
        </c:ser>
        <c:dLbls>
          <c:showLegendKey val="0"/>
          <c:showVal val="0"/>
          <c:showCatName val="0"/>
          <c:showSerName val="0"/>
          <c:showPercent val="0"/>
          <c:showBubbleSize val="0"/>
        </c:dLbls>
        <c:gapWidth val="150"/>
        <c:shape val="box"/>
        <c:axId val="225451232"/>
        <c:axId val="225451624"/>
        <c:axId val="0"/>
      </c:bar3DChart>
      <c:catAx>
        <c:axId val="225451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1624"/>
        <c:crosses val="autoZero"/>
        <c:auto val="1"/>
        <c:lblAlgn val="ctr"/>
        <c:lblOffset val="100"/>
        <c:noMultiLvlLbl val="0"/>
      </c:catAx>
      <c:valAx>
        <c:axId val="225451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1232"/>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Analysis!PivotTable14</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Latrine</a:t>
            </a:r>
            <a:r>
              <a:rPr lang="en-US" b="1" baseline="0"/>
              <a:t> type coverage</a:t>
            </a:r>
            <a:endParaRPr lang="en-US" b="1"/>
          </a:p>
        </c:rich>
      </c:tx>
      <c:layout>
        <c:manualLayout>
          <c:xMode val="edge"/>
          <c:yMode val="edge"/>
          <c:x val="0.35124327785485271"/>
          <c:y val="4.21455938697318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Analysis'!$C$238:$C$244</c:f>
              <c:numCache>
                <c:formatCode>0%</c:formatCode>
                <c:ptCount val="6"/>
                <c:pt idx="0">
                  <c:v>0.89569019362898183</c:v>
                </c:pt>
                <c:pt idx="1">
                  <c:v>1</c:v>
                </c:pt>
                <c:pt idx="2">
                  <c:v>0.73327482965104274</c:v>
                </c:pt>
                <c:pt idx="3">
                  <c:v>1</c:v>
                </c:pt>
                <c:pt idx="4">
                  <c:v>0.72408759124087596</c:v>
                </c:pt>
                <c:pt idx="5">
                  <c:v>0.78917430605210082</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Analysis'!$B$238:$B$244</c:f>
              <c:strCache>
                <c:ptCount val="6"/>
                <c:pt idx="0">
                  <c:v>Kyauk Phyu</c:v>
                </c:pt>
                <c:pt idx="1">
                  <c:v>Myebon</c:v>
                </c:pt>
                <c:pt idx="2">
                  <c:v>Pauktaw</c:v>
                </c:pt>
                <c:pt idx="3">
                  <c:v>Ramree</c:v>
                </c:pt>
                <c:pt idx="4">
                  <c:v>Rathedaung</c:v>
                </c:pt>
                <c:pt idx="5">
                  <c:v>Sittwe</c:v>
                </c:pt>
              </c:strCache>
            </c:strRef>
          </c:cat>
          <c:val>
            <c:numRef>
              <c:f>'Situation Analysis'!$D$238:$D$244</c:f>
              <c:numCache>
                <c:formatCode>0%</c:formatCode>
                <c:ptCount val="6"/>
                <c:pt idx="0">
                  <c:v>0</c:v>
                </c:pt>
                <c:pt idx="1">
                  <c:v>0</c:v>
                </c:pt>
                <c:pt idx="2">
                  <c:v>0</c:v>
                </c:pt>
                <c:pt idx="3">
                  <c:v>0</c:v>
                </c:pt>
                <c:pt idx="4">
                  <c:v>2.6569343065693422E-2</c:v>
                </c:pt>
                <c:pt idx="5">
                  <c:v>0</c:v>
                </c:pt>
              </c:numCache>
            </c:numRef>
          </c:val>
        </c:ser>
        <c:dLbls>
          <c:showLegendKey val="0"/>
          <c:showVal val="0"/>
          <c:showCatName val="0"/>
          <c:showSerName val="0"/>
          <c:showPercent val="0"/>
          <c:showBubbleSize val="0"/>
        </c:dLbls>
        <c:gapWidth val="150"/>
        <c:shape val="box"/>
        <c:axId val="225452408"/>
        <c:axId val="225452800"/>
        <c:axId val="0"/>
      </c:bar3DChart>
      <c:catAx>
        <c:axId val="225452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2800"/>
        <c:crosses val="autoZero"/>
        <c:auto val="1"/>
        <c:lblAlgn val="ctr"/>
        <c:lblOffset val="100"/>
        <c:noMultiLvlLbl val="0"/>
      </c:catAx>
      <c:valAx>
        <c:axId val="225452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240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Analysis!PivotTable5</c:name>
    <c:fmtId val="15"/>
  </c:pivotSource>
  <c:chart>
    <c:title>
      <c:tx>
        <c:rich>
          <a:bodyPr/>
          <a:lstStyle/>
          <a:p>
            <a:pPr>
              <a:defRPr sz="800" b="1"/>
            </a:pPr>
            <a:r>
              <a:rPr lang="en-US" sz="800" b="1"/>
              <a:t>HH receiving monthly hygiene promotion</a:t>
            </a:r>
          </a:p>
        </c:rich>
      </c:tx>
      <c:layout>
        <c:manualLayout>
          <c:xMode val="edge"/>
          <c:yMode val="edge"/>
          <c:x val="0.20518205419076757"/>
          <c:y val="4.0470187094949595E-2"/>
        </c:manualLayout>
      </c:layout>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0.11373879138737042"/>
          <c:y val="0.16765039370078741"/>
          <c:w val="0.88179692132906407"/>
          <c:h val="0.52699055118110238"/>
        </c:manualLayout>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0.83755677606428613</c:v>
                </c:pt>
                <c:pt idx="1">
                  <c:v>0.21003404723385827</c:v>
                </c:pt>
                <c:pt idx="2">
                  <c:v>0.14756075152740136</c:v>
                </c:pt>
                <c:pt idx="3">
                  <c:v>0.18993877591587652</c:v>
                </c:pt>
              </c:numCache>
            </c:numRef>
          </c:val>
        </c:ser>
        <c:dLbls>
          <c:showLegendKey val="0"/>
          <c:showVal val="0"/>
          <c:showCatName val="0"/>
          <c:showSerName val="0"/>
          <c:showPercent val="0"/>
          <c:showBubbleSize val="0"/>
        </c:dLbls>
        <c:gapWidth val="150"/>
        <c:shape val="box"/>
        <c:axId val="208223456"/>
        <c:axId val="208195840"/>
        <c:axId val="0"/>
      </c:bar3DChart>
      <c:catAx>
        <c:axId val="208223456"/>
        <c:scaling>
          <c:orientation val="minMax"/>
        </c:scaling>
        <c:delete val="0"/>
        <c:axPos val="b"/>
        <c:numFmt formatCode="General" sourceLinked="1"/>
        <c:majorTickMark val="out"/>
        <c:minorTickMark val="none"/>
        <c:tickLblPos val="nextTo"/>
        <c:crossAx val="208195840"/>
        <c:crosses val="autoZero"/>
        <c:auto val="1"/>
        <c:lblAlgn val="ctr"/>
        <c:lblOffset val="100"/>
        <c:noMultiLvlLbl val="0"/>
      </c:catAx>
      <c:valAx>
        <c:axId val="208195840"/>
        <c:scaling>
          <c:orientation val="minMax"/>
          <c:max val="1"/>
        </c:scaling>
        <c:delete val="0"/>
        <c:axPos val="l"/>
        <c:majorGridlines/>
        <c:numFmt formatCode="0%" sourceLinked="1"/>
        <c:majorTickMark val="out"/>
        <c:minorTickMark val="none"/>
        <c:tickLblPos val="nextTo"/>
        <c:crossAx val="208223456"/>
        <c:crosses val="autoZero"/>
        <c:crossBetween val="between"/>
        <c:minorUnit val="0.2"/>
      </c:valAx>
      <c:spPr>
        <a:noFill/>
        <a:ln w="25400">
          <a:noFill/>
        </a:ln>
        <a:scene3d>
          <a:camera prst="orthographicFront"/>
          <a:lightRig rig="threePt" dir="t"/>
        </a:scene3d>
        <a:sp3d/>
      </c:spPr>
    </c:plotArea>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Analysis!PivotTable15</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Coverage of full HK per township</a:t>
            </a:r>
          </a:p>
        </c:rich>
      </c:tx>
      <c:layout>
        <c:manualLayout>
          <c:xMode val="edge"/>
          <c:yMode val="edge"/>
          <c:x val="0.27165894880988845"/>
          <c:y val="5.517241379310344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Analysis'!$C$371</c:f>
              <c:strCache>
                <c:ptCount val="1"/>
                <c:pt idx="0">
                  <c:v>Total</c:v>
                </c:pt>
              </c:strCache>
            </c:strRef>
          </c:tx>
          <c:spPr>
            <a:solidFill>
              <a:schemeClr val="accent1"/>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Analysis'!$B$372:$B$378</c:f>
              <c:strCache>
                <c:ptCount val="6"/>
                <c:pt idx="0">
                  <c:v>Kyauk Phyu</c:v>
                </c:pt>
                <c:pt idx="1">
                  <c:v>Myebon</c:v>
                </c:pt>
                <c:pt idx="2">
                  <c:v>Pauktaw</c:v>
                </c:pt>
                <c:pt idx="3">
                  <c:v>Ramree</c:v>
                </c:pt>
                <c:pt idx="4">
                  <c:v>Rathedaung</c:v>
                </c:pt>
                <c:pt idx="5">
                  <c:v>Sittwe</c:v>
                </c:pt>
              </c:strCache>
            </c:strRef>
          </c:cat>
          <c:val>
            <c:numRef>
              <c:f>'Situation Analysis'!$C$372:$C$378</c:f>
              <c:numCache>
                <c:formatCode>0%</c:formatCode>
                <c:ptCount val="6"/>
                <c:pt idx="0">
                  <c:v>0.20424734540911929</c:v>
                </c:pt>
                <c:pt idx="1">
                  <c:v>1</c:v>
                </c:pt>
                <c:pt idx="2">
                  <c:v>0.37038530697226241</c:v>
                </c:pt>
                <c:pt idx="3">
                  <c:v>0</c:v>
                </c:pt>
                <c:pt idx="4">
                  <c:v>0</c:v>
                </c:pt>
                <c:pt idx="5">
                  <c:v>0.56808349870140473</c:v>
                </c:pt>
              </c:numCache>
            </c:numRef>
          </c:val>
        </c:ser>
        <c:dLbls>
          <c:showLegendKey val="0"/>
          <c:showVal val="0"/>
          <c:showCatName val="0"/>
          <c:showSerName val="0"/>
          <c:showPercent val="0"/>
          <c:showBubbleSize val="0"/>
        </c:dLbls>
        <c:gapWidth val="150"/>
        <c:shape val="box"/>
        <c:axId val="225453584"/>
        <c:axId val="225453976"/>
        <c:axId val="0"/>
      </c:bar3DChart>
      <c:catAx>
        <c:axId val="225453584"/>
        <c:scaling>
          <c:orientation val="minMax"/>
        </c:scaling>
        <c:delete val="0"/>
        <c:axPos val="b"/>
        <c:numFmt formatCode="General"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3976"/>
        <c:crosses val="autoZero"/>
        <c:auto val="1"/>
        <c:lblAlgn val="ctr"/>
        <c:lblOffset val="100"/>
        <c:noMultiLvlLbl val="0"/>
      </c:catAx>
      <c:valAx>
        <c:axId val="225453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3584"/>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Analysis!PivotTable16</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a:t>
            </a:r>
            <a:r>
              <a:rPr lang="en-US" b="1" baseline="0"/>
              <a:t> of water coverage end of project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Analysis'!$C$182:$C$183</c:f>
              <c:strCache>
                <c:ptCount val="1"/>
                <c:pt idx="0">
                  <c:v>% Water needs covered (including HHWT)</c:v>
                </c:pt>
              </c:strCache>
            </c:strRef>
          </c:tx>
          <c:spPr>
            <a:solidFill>
              <a:schemeClr val="accent1"/>
            </a:solidFill>
            <a:ln>
              <a:noFill/>
            </a:ln>
            <a:effectLst/>
            <a:sp3d/>
          </c:spPr>
          <c:invertIfNegative val="0"/>
          <c:cat>
            <c:strRef>
              <c:f>'Situation Analysis'!$B$184:$B$189</c:f>
              <c:strCache>
                <c:ptCount val="5"/>
                <c:pt idx="0">
                  <c:v>Camp with IDPs</c:v>
                </c:pt>
                <c:pt idx="1">
                  <c:v>Surrounding community</c:v>
                </c:pt>
                <c:pt idx="2">
                  <c:v>Village (development)</c:v>
                </c:pt>
                <c:pt idx="3">
                  <c:v>Village with affected HH</c:v>
                </c:pt>
                <c:pt idx="4">
                  <c:v>Village with IDPs</c:v>
                </c:pt>
              </c:strCache>
            </c:strRef>
          </c:cat>
          <c:val>
            <c:numRef>
              <c:f>'Situation Analysis'!$C$184:$C$189</c:f>
              <c:numCache>
                <c:formatCode>0%</c:formatCode>
                <c:ptCount val="5"/>
                <c:pt idx="0">
                  <c:v>0.92047826912127539</c:v>
                </c:pt>
                <c:pt idx="1">
                  <c:v>0.49171675655771441</c:v>
                </c:pt>
                <c:pt idx="2">
                  <c:v>0.51654881483361736</c:v>
                </c:pt>
                <c:pt idx="3">
                  <c:v>0.25637374247783545</c:v>
                </c:pt>
                <c:pt idx="4">
                  <c:v>0.76969407835887649</c:v>
                </c:pt>
              </c:numCache>
            </c:numRef>
          </c:val>
        </c:ser>
        <c:ser>
          <c:idx val="1"/>
          <c:order val="1"/>
          <c:tx>
            <c:strRef>
              <c:f>'Situation Analysis'!$D$182:$D$183</c:f>
              <c:strCache>
                <c:ptCount val="1"/>
                <c:pt idx="0">
                  <c:v>% Water coverage expected</c:v>
                </c:pt>
              </c:strCache>
            </c:strRef>
          </c:tx>
          <c:spPr>
            <a:solidFill>
              <a:schemeClr val="accent2"/>
            </a:solidFill>
            <a:ln>
              <a:noFill/>
            </a:ln>
            <a:effectLst/>
            <a:sp3d/>
          </c:spPr>
          <c:invertIfNegative val="0"/>
          <c:cat>
            <c:strRef>
              <c:f>'Situation Analysis'!$B$184:$B$189</c:f>
              <c:strCache>
                <c:ptCount val="5"/>
                <c:pt idx="0">
                  <c:v>Camp with IDPs</c:v>
                </c:pt>
                <c:pt idx="1">
                  <c:v>Surrounding community</c:v>
                </c:pt>
                <c:pt idx="2">
                  <c:v>Village (development)</c:v>
                </c:pt>
                <c:pt idx="3">
                  <c:v>Village with affected HH</c:v>
                </c:pt>
                <c:pt idx="4">
                  <c:v>Village with IDPs</c:v>
                </c:pt>
              </c:strCache>
            </c:strRef>
          </c:cat>
          <c:val>
            <c:numRef>
              <c:f>'Situation Analysis'!$D$184:$D$189</c:f>
              <c:numCache>
                <c:formatCode>0%</c:formatCode>
                <c:ptCount val="5"/>
                <c:pt idx="0">
                  <c:v>7.6227235594576975E-2</c:v>
                </c:pt>
                <c:pt idx="1">
                  <c:v>-3.8473368423332738E-2</c:v>
                </c:pt>
                <c:pt idx="2">
                  <c:v>0.12387530671695039</c:v>
                </c:pt>
                <c:pt idx="3">
                  <c:v>0</c:v>
                </c:pt>
                <c:pt idx="4">
                  <c:v>0.18633589758880473</c:v>
                </c:pt>
              </c:numCache>
            </c:numRef>
          </c:val>
        </c:ser>
        <c:dLbls>
          <c:showLegendKey val="0"/>
          <c:showVal val="0"/>
          <c:showCatName val="0"/>
          <c:showSerName val="0"/>
          <c:showPercent val="0"/>
          <c:showBubbleSize val="0"/>
        </c:dLbls>
        <c:gapWidth val="150"/>
        <c:shape val="box"/>
        <c:axId val="225454760"/>
        <c:axId val="225455152"/>
        <c:axId val="0"/>
      </c:bar3DChart>
      <c:catAx>
        <c:axId val="2254547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5152"/>
        <c:crosses val="autoZero"/>
        <c:auto val="1"/>
        <c:lblAlgn val="ctr"/>
        <c:lblOffset val="100"/>
        <c:noMultiLvlLbl val="0"/>
      </c:catAx>
      <c:valAx>
        <c:axId val="2254551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476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Analysis!PivotTable17</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latrine coverage End of projects</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Analysis'!$C$270:$C$271</c:f>
              <c:strCache>
                <c:ptCount val="1"/>
                <c:pt idx="0">
                  <c:v>% Latrine coverage</c:v>
                </c:pt>
              </c:strCache>
            </c:strRef>
          </c:tx>
          <c:spPr>
            <a:solidFill>
              <a:schemeClr val="accent1"/>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Analysis'!$C$272:$C$276</c:f>
              <c:numCache>
                <c:formatCode>0%</c:formatCode>
                <c:ptCount val="4"/>
                <c:pt idx="0">
                  <c:v>0.78592588313928058</c:v>
                </c:pt>
                <c:pt idx="1">
                  <c:v>0.28510624472025475</c:v>
                </c:pt>
                <c:pt idx="2">
                  <c:v>0.28186871238917727</c:v>
                </c:pt>
                <c:pt idx="3">
                  <c:v>0.19712962410797702</c:v>
                </c:pt>
              </c:numCache>
            </c:numRef>
          </c:val>
        </c:ser>
        <c:ser>
          <c:idx val="1"/>
          <c:order val="1"/>
          <c:tx>
            <c:strRef>
              <c:f>'Situation Analysis'!$D$270:$D$271</c:f>
              <c:strCache>
                <c:ptCount val="1"/>
                <c:pt idx="0">
                  <c:v>% Latrine coverage increase projection</c:v>
                </c:pt>
              </c:strCache>
            </c:strRef>
          </c:tx>
          <c:spPr>
            <a:solidFill>
              <a:schemeClr val="accent2"/>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Analysis'!$D$272:$D$276</c:f>
              <c:numCache>
                <c:formatCode>0%</c:formatCode>
                <c:ptCount val="4"/>
                <c:pt idx="0">
                  <c:v>0.18144256397138314</c:v>
                </c:pt>
                <c:pt idx="1">
                  <c:v>0.11296867892650603</c:v>
                </c:pt>
                <c:pt idx="2">
                  <c:v>0.32572649180026642</c:v>
                </c:pt>
                <c:pt idx="3">
                  <c:v>0.45331067247102791</c:v>
                </c:pt>
              </c:numCache>
            </c:numRef>
          </c:val>
        </c:ser>
        <c:dLbls>
          <c:showLegendKey val="0"/>
          <c:showVal val="0"/>
          <c:showCatName val="0"/>
          <c:showSerName val="0"/>
          <c:showPercent val="0"/>
          <c:showBubbleSize val="0"/>
        </c:dLbls>
        <c:gapWidth val="150"/>
        <c:shape val="box"/>
        <c:axId val="225455936"/>
        <c:axId val="226414512"/>
        <c:axId val="0"/>
      </c:bar3DChart>
      <c:catAx>
        <c:axId val="225455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4512"/>
        <c:crosses val="autoZero"/>
        <c:auto val="1"/>
        <c:lblAlgn val="ctr"/>
        <c:lblOffset val="100"/>
        <c:noMultiLvlLbl val="0"/>
      </c:catAx>
      <c:valAx>
        <c:axId val="22641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5593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Analysis!PivotTable18</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bathroom coverage End of projects</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Analysis'!$C$284:$C$285</c:f>
              <c:strCache>
                <c:ptCount val="1"/>
                <c:pt idx="0">
                  <c:v>% Bathing space need coverage</c:v>
                </c:pt>
              </c:strCache>
            </c:strRef>
          </c:tx>
          <c:spPr>
            <a:solidFill>
              <a:schemeClr val="accent1"/>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Analysis'!$C$286:$C$290</c:f>
              <c:numCache>
                <c:formatCode>0%</c:formatCode>
                <c:ptCount val="4"/>
                <c:pt idx="0">
                  <c:v>0.32605378464686802</c:v>
                </c:pt>
                <c:pt idx="1">
                  <c:v>0</c:v>
                </c:pt>
                <c:pt idx="2">
                  <c:v>0</c:v>
                </c:pt>
                <c:pt idx="3">
                  <c:v>0</c:v>
                </c:pt>
              </c:numCache>
            </c:numRef>
          </c:val>
        </c:ser>
        <c:ser>
          <c:idx val="1"/>
          <c:order val="1"/>
          <c:tx>
            <c:strRef>
              <c:f>'Situation Analysis'!$D$284:$D$285</c:f>
              <c:strCache>
                <c:ptCount val="1"/>
                <c:pt idx="0">
                  <c:v>% Bathing space coverage increase projection</c:v>
                </c:pt>
              </c:strCache>
            </c:strRef>
          </c:tx>
          <c:spPr>
            <a:solidFill>
              <a:schemeClr val="accent2"/>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Analysis'!$D$286:$D$290</c:f>
              <c:numCache>
                <c:formatCode>0%</c:formatCode>
                <c:ptCount val="4"/>
                <c:pt idx="0">
                  <c:v>0.20654682934504781</c:v>
                </c:pt>
                <c:pt idx="1">
                  <c:v>0</c:v>
                </c:pt>
                <c:pt idx="2">
                  <c:v>0</c:v>
                </c:pt>
                <c:pt idx="3">
                  <c:v>0</c:v>
                </c:pt>
              </c:numCache>
            </c:numRef>
          </c:val>
        </c:ser>
        <c:dLbls>
          <c:showLegendKey val="0"/>
          <c:showVal val="0"/>
          <c:showCatName val="0"/>
          <c:showSerName val="0"/>
          <c:showPercent val="0"/>
          <c:showBubbleSize val="0"/>
        </c:dLbls>
        <c:gapWidth val="150"/>
        <c:shape val="box"/>
        <c:axId val="226415296"/>
        <c:axId val="226415688"/>
        <c:axId val="0"/>
      </c:bar3DChart>
      <c:catAx>
        <c:axId val="22641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5688"/>
        <c:crosses val="autoZero"/>
        <c:auto val="1"/>
        <c:lblAlgn val="ctr"/>
        <c:lblOffset val="100"/>
        <c:noMultiLvlLbl val="0"/>
      </c:catAx>
      <c:valAx>
        <c:axId val="226415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529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Analysis!PivotTable19</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 by Wash actor per typology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pivotFmt>
      <c:pivotFmt>
        <c:idx val="21"/>
        <c:spPr>
          <a:solidFill>
            <a:schemeClr val="accent1"/>
          </a:solidFill>
          <a:ln>
            <a:noFill/>
          </a:ln>
          <a:effectLst/>
          <a:sp3d/>
        </c:spPr>
        <c:marker>
          <c:symbol val="none"/>
        </c:marker>
      </c:pivotFmt>
      <c:pivotFmt>
        <c:idx val="22"/>
        <c:spPr>
          <a:solidFill>
            <a:schemeClr val="accent1"/>
          </a:solidFill>
          <a:ln>
            <a:noFill/>
          </a:ln>
          <a:effectLst/>
          <a:sp3d/>
        </c:spPr>
        <c:marker>
          <c:symbol val="none"/>
        </c:marker>
      </c:pivotFmt>
      <c:pivotFmt>
        <c:idx val="23"/>
        <c:spPr>
          <a:solidFill>
            <a:schemeClr val="accent1"/>
          </a:solidFill>
          <a:ln>
            <a:noFill/>
          </a:ln>
          <a:effectLst/>
          <a:sp3d/>
        </c:spPr>
        <c:marker>
          <c:symbol val="none"/>
        </c:marker>
      </c:pivotFmt>
      <c:pivotFmt>
        <c:idx val="24"/>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percentStacked"/>
        <c:varyColors val="0"/>
        <c:ser>
          <c:idx val="0"/>
          <c:order val="0"/>
          <c:tx>
            <c:strRef>
              <c:f>'Situation Analysis'!$C$686:$C$687</c:f>
              <c:strCache>
                <c:ptCount val="1"/>
                <c:pt idx="0">
                  <c:v>Covered</c:v>
                </c:pt>
              </c:strCache>
            </c:strRef>
          </c:tx>
          <c:spPr>
            <a:solidFill>
              <a:schemeClr val="accent1"/>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Analysis'!$C$688:$C$692</c:f>
              <c:numCache>
                <c:formatCode>0%</c:formatCode>
                <c:ptCount val="4"/>
                <c:pt idx="0">
                  <c:v>0.66518292286698288</c:v>
                </c:pt>
                <c:pt idx="1">
                  <c:v>0.80297671000045934</c:v>
                </c:pt>
                <c:pt idx="2">
                  <c:v>0.99899329135963433</c:v>
                </c:pt>
                <c:pt idx="3">
                  <c:v>1</c:v>
                </c:pt>
              </c:numCache>
            </c:numRef>
          </c:val>
        </c:ser>
        <c:ser>
          <c:idx val="1"/>
          <c:order val="1"/>
          <c:tx>
            <c:strRef>
              <c:f>'Situation Analysis'!$D$686:$D$687</c:f>
              <c:strCache>
                <c:ptCount val="1"/>
                <c:pt idx="0">
                  <c:v>Not Covered</c:v>
                </c:pt>
              </c:strCache>
            </c:strRef>
          </c:tx>
          <c:spPr>
            <a:solidFill>
              <a:schemeClr val="accent2"/>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Analysis'!$D$688:$D$692</c:f>
              <c:numCache>
                <c:formatCode>0%</c:formatCode>
                <c:ptCount val="4"/>
                <c:pt idx="0">
                  <c:v>0.33481707713301712</c:v>
                </c:pt>
                <c:pt idx="1">
                  <c:v>0.19702328999954064</c:v>
                </c:pt>
                <c:pt idx="2">
                  <c:v>1.0067086403657158E-3</c:v>
                </c:pt>
                <c:pt idx="3">
                  <c:v>0</c:v>
                </c:pt>
              </c:numCache>
            </c:numRef>
          </c:val>
        </c:ser>
        <c:dLbls>
          <c:showLegendKey val="0"/>
          <c:showVal val="0"/>
          <c:showCatName val="0"/>
          <c:showSerName val="0"/>
          <c:showPercent val="0"/>
          <c:showBubbleSize val="0"/>
        </c:dLbls>
        <c:gapWidth val="150"/>
        <c:shape val="box"/>
        <c:axId val="226416472"/>
        <c:axId val="226416864"/>
        <c:axId val="0"/>
      </c:bar3DChart>
      <c:catAx>
        <c:axId val="226416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6864"/>
        <c:crosses val="autoZero"/>
        <c:auto val="1"/>
        <c:lblAlgn val="ctr"/>
        <c:lblOffset val="100"/>
        <c:noMultiLvlLbl val="0"/>
      </c:catAx>
      <c:valAx>
        <c:axId val="226416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6472"/>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Analysis!PivotTable20</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Locations covered</a:t>
            </a:r>
            <a:r>
              <a:rPr lang="en-US" b="1" baseline="0"/>
              <a:t> by WASH actor per township</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Analysis'!$C$703:$C$704</c:f>
              <c:strCache>
                <c:ptCount val="1"/>
                <c:pt idx="0">
                  <c:v>Camp</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Analysis'!$B$705:$B$712</c:f>
              <c:strCache>
                <c:ptCount val="7"/>
                <c:pt idx="0">
                  <c:v>Kyauk Phyu</c:v>
                </c:pt>
                <c:pt idx="1">
                  <c:v>Kyauk Taw</c:v>
                </c:pt>
                <c:pt idx="2">
                  <c:v>Myebon</c:v>
                </c:pt>
                <c:pt idx="3">
                  <c:v>Pauktaw</c:v>
                </c:pt>
                <c:pt idx="4">
                  <c:v>Ramree</c:v>
                </c:pt>
                <c:pt idx="5">
                  <c:v>Rathedaung</c:v>
                </c:pt>
                <c:pt idx="6">
                  <c:v>Sittwe</c:v>
                </c:pt>
              </c:strCache>
            </c:strRef>
          </c:cat>
          <c:val>
            <c:numRef>
              <c:f>'Situation Analysis'!$C$705:$C$712</c:f>
              <c:numCache>
                <c:formatCode>0</c:formatCode>
                <c:ptCount val="7"/>
                <c:pt idx="0">
                  <c:v>2</c:v>
                </c:pt>
                <c:pt idx="2">
                  <c:v>2</c:v>
                </c:pt>
                <c:pt idx="3">
                  <c:v>5</c:v>
                </c:pt>
                <c:pt idx="4">
                  <c:v>1</c:v>
                </c:pt>
                <c:pt idx="5">
                  <c:v>3</c:v>
                </c:pt>
                <c:pt idx="6">
                  <c:v>17</c:v>
                </c:pt>
              </c:numCache>
            </c:numRef>
          </c:val>
        </c:ser>
        <c:ser>
          <c:idx val="1"/>
          <c:order val="1"/>
          <c:tx>
            <c:strRef>
              <c:f>'Situation Analysis'!$D$703:$D$704</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Analysis'!$B$705:$B$712</c:f>
              <c:strCache>
                <c:ptCount val="7"/>
                <c:pt idx="0">
                  <c:v>Kyauk Phyu</c:v>
                </c:pt>
                <c:pt idx="1">
                  <c:v>Kyauk Taw</c:v>
                </c:pt>
                <c:pt idx="2">
                  <c:v>Myebon</c:v>
                </c:pt>
                <c:pt idx="3">
                  <c:v>Pauktaw</c:v>
                </c:pt>
                <c:pt idx="4">
                  <c:v>Ramree</c:v>
                </c:pt>
                <c:pt idx="5">
                  <c:v>Rathedaung</c:v>
                </c:pt>
                <c:pt idx="6">
                  <c:v>Sittwe</c:v>
                </c:pt>
              </c:strCache>
            </c:strRef>
          </c:cat>
          <c:val>
            <c:numRef>
              <c:f>'Situation Analysis'!$D$705:$D$712</c:f>
              <c:numCache>
                <c:formatCode>0</c:formatCode>
                <c:ptCount val="7"/>
                <c:pt idx="0">
                  <c:v>9</c:v>
                </c:pt>
                <c:pt idx="1">
                  <c:v>14</c:v>
                </c:pt>
                <c:pt idx="2">
                  <c:v>8</c:v>
                </c:pt>
                <c:pt idx="3">
                  <c:v>5</c:v>
                </c:pt>
                <c:pt idx="4">
                  <c:v>1</c:v>
                </c:pt>
                <c:pt idx="5">
                  <c:v>14</c:v>
                </c:pt>
                <c:pt idx="6">
                  <c:v>18</c:v>
                </c:pt>
              </c:numCache>
            </c:numRef>
          </c:val>
        </c:ser>
        <c:dLbls>
          <c:showLegendKey val="0"/>
          <c:showVal val="0"/>
          <c:showCatName val="0"/>
          <c:showSerName val="0"/>
          <c:showPercent val="0"/>
          <c:showBubbleSize val="0"/>
        </c:dLbls>
        <c:gapWidth val="150"/>
        <c:shape val="box"/>
        <c:axId val="226417648"/>
        <c:axId val="226418040"/>
        <c:axId val="0"/>
      </c:bar3DChart>
      <c:catAx>
        <c:axId val="2264176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8040"/>
        <c:crosses val="autoZero"/>
        <c:auto val="1"/>
        <c:lblAlgn val="ctr"/>
        <c:lblOffset val="100"/>
        <c:noMultiLvlLbl val="0"/>
      </c:catAx>
      <c:valAx>
        <c:axId val="226418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Camp population covered with incinerator</a:t>
            </a:r>
          </a:p>
        </c:rich>
      </c:tx>
      <c:layout>
        <c:manualLayout>
          <c:xMode val="edge"/>
          <c:yMode val="edge"/>
          <c:x val="0.27806480920654147"/>
          <c:y val="6.66666666666666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spPr>
          <a:solidFill>
            <a:schemeClr val="accent1"/>
          </a:solidFill>
          <a:ln>
            <a:noFill/>
          </a:ln>
          <a:effectLst/>
          <a:sp3d/>
        </c:spPr>
        <c:marker>
          <c:symbol val="none"/>
        </c:marker>
      </c:pivotFmt>
      <c:pivotFmt>
        <c:idx val="37"/>
        <c:spPr>
          <a:solidFill>
            <a:schemeClr val="accent1"/>
          </a:solidFill>
          <a:ln>
            <a:noFill/>
          </a:ln>
          <a:effectLst/>
          <a:sp3d/>
        </c:spPr>
        <c:marker>
          <c:symbol val="none"/>
        </c:marker>
      </c:pivotFmt>
      <c:pivotFmt>
        <c:idx val="38"/>
        <c:spPr>
          <a:solidFill>
            <a:schemeClr val="accent1"/>
          </a:solidFill>
          <a:ln>
            <a:noFill/>
          </a:ln>
          <a:effectLst/>
          <a:sp3d/>
        </c:spPr>
        <c:marker>
          <c:symbol val="none"/>
        </c:marker>
      </c:pivotFmt>
      <c:pivotFmt>
        <c:idx val="39"/>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Analysis'!$C$312:$C$313</c:f>
              <c:strCache>
                <c:ptCount val="1"/>
                <c:pt idx="0">
                  <c:v>No</c:v>
                </c:pt>
              </c:strCache>
            </c:strRef>
          </c:tx>
          <c:spPr>
            <a:solidFill>
              <a:schemeClr val="accent1"/>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cat>
            <c:strRef>
              <c:f>'Situation Analysis'!$B$314:$B$320</c:f>
              <c:strCache>
                <c:ptCount val="6"/>
                <c:pt idx="0">
                  <c:v>Kyauk Phyu</c:v>
                </c:pt>
                <c:pt idx="1">
                  <c:v>Myebon</c:v>
                </c:pt>
                <c:pt idx="2">
                  <c:v>Pauktaw</c:v>
                </c:pt>
                <c:pt idx="3">
                  <c:v>Ramree</c:v>
                </c:pt>
                <c:pt idx="4">
                  <c:v>Rathedaung</c:v>
                </c:pt>
                <c:pt idx="5">
                  <c:v>Sittwe</c:v>
                </c:pt>
              </c:strCache>
            </c:strRef>
          </c:cat>
          <c:val>
            <c:numRef>
              <c:f>'Situation Analysis'!$C$314:$C$320</c:f>
              <c:numCache>
                <c:formatCode>0%</c:formatCode>
                <c:ptCount val="6"/>
                <c:pt idx="0">
                  <c:v>1</c:v>
                </c:pt>
                <c:pt idx="1">
                  <c:v>0</c:v>
                </c:pt>
                <c:pt idx="2">
                  <c:v>0.8750649350649351</c:v>
                </c:pt>
                <c:pt idx="3">
                  <c:v>1</c:v>
                </c:pt>
                <c:pt idx="4">
                  <c:v>1</c:v>
                </c:pt>
                <c:pt idx="5">
                  <c:v>0.39526572899249207</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Analysis'!$B$314:$B$320</c:f>
              <c:strCache>
                <c:ptCount val="6"/>
                <c:pt idx="0">
                  <c:v>Kyauk Phyu</c:v>
                </c:pt>
                <c:pt idx="1">
                  <c:v>Myebon</c:v>
                </c:pt>
                <c:pt idx="2">
                  <c:v>Pauktaw</c:v>
                </c:pt>
                <c:pt idx="3">
                  <c:v>Ramree</c:v>
                </c:pt>
                <c:pt idx="4">
                  <c:v>Rathedaung</c:v>
                </c:pt>
                <c:pt idx="5">
                  <c:v>Sittwe</c:v>
                </c:pt>
              </c:strCache>
            </c:strRef>
          </c:cat>
          <c:val>
            <c:numRef>
              <c:f>'Situation Analysis'!$D$314:$D$320</c:f>
              <c:numCache>
                <c:formatCode>0%</c:formatCode>
                <c:ptCount val="6"/>
                <c:pt idx="0">
                  <c:v>0</c:v>
                </c:pt>
                <c:pt idx="1">
                  <c:v>1</c:v>
                </c:pt>
                <c:pt idx="2">
                  <c:v>0.12493506493506494</c:v>
                </c:pt>
                <c:pt idx="3">
                  <c:v>0</c:v>
                </c:pt>
                <c:pt idx="4">
                  <c:v>0</c:v>
                </c:pt>
                <c:pt idx="5">
                  <c:v>0.60473427100750798</c:v>
                </c:pt>
              </c:numCache>
            </c:numRef>
          </c:val>
        </c:ser>
        <c:dLbls>
          <c:showLegendKey val="0"/>
          <c:showVal val="0"/>
          <c:showCatName val="0"/>
          <c:showSerName val="0"/>
          <c:showPercent val="0"/>
          <c:showBubbleSize val="0"/>
        </c:dLbls>
        <c:gapWidth val="150"/>
        <c:shape val="box"/>
        <c:axId val="226418824"/>
        <c:axId val="226419216"/>
        <c:axId val="0"/>
      </c:bar3DChart>
      <c:catAx>
        <c:axId val="22641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9216"/>
        <c:crosses val="autoZero"/>
        <c:auto val="1"/>
        <c:lblAlgn val="ctr"/>
        <c:lblOffset val="100"/>
        <c:noMultiLvlLbl val="0"/>
      </c:catAx>
      <c:valAx>
        <c:axId val="226419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18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Analysis!PivotTable43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semi-permanent latrine</a:t>
            </a:r>
            <a:r>
              <a:rPr lang="en-US" b="1" baseline="0"/>
              <a:t> missing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Analysis'!$C$217:$C$218</c:f>
              <c:strCache>
                <c:ptCount val="1"/>
                <c:pt idx="0">
                  <c:v>Camp with IDPs</c:v>
                </c:pt>
              </c:strCache>
            </c:strRef>
          </c:tx>
          <c:spPr>
            <a:solidFill>
              <a:schemeClr val="accent1"/>
            </a:solidFill>
            <a:ln>
              <a:noFill/>
            </a:ln>
            <a:effectLst/>
            <a:sp3d/>
          </c:spPr>
          <c:invertIfNegative val="0"/>
          <c:cat>
            <c:strRef>
              <c:f>'Situation Analysis'!$B$219:$B$225</c:f>
              <c:strCache>
                <c:ptCount val="6"/>
                <c:pt idx="0">
                  <c:v>Kyauk Phyu</c:v>
                </c:pt>
                <c:pt idx="1">
                  <c:v>Myebon</c:v>
                </c:pt>
                <c:pt idx="2">
                  <c:v>Pauktaw</c:v>
                </c:pt>
                <c:pt idx="3">
                  <c:v>Ramree</c:v>
                </c:pt>
                <c:pt idx="4">
                  <c:v>Rathedaung</c:v>
                </c:pt>
                <c:pt idx="5">
                  <c:v>Sittwe</c:v>
                </c:pt>
              </c:strCache>
            </c:strRef>
          </c:cat>
          <c:val>
            <c:numRef>
              <c:f>'Situation Analysis'!$C$219:$C$225</c:f>
              <c:numCache>
                <c:formatCode>0</c:formatCode>
                <c:ptCount val="6"/>
                <c:pt idx="0">
                  <c:v>8.3500000000000014</c:v>
                </c:pt>
                <c:pt idx="1">
                  <c:v>0</c:v>
                </c:pt>
                <c:pt idx="2">
                  <c:v>258.34999999999997</c:v>
                </c:pt>
                <c:pt idx="3">
                  <c:v>0</c:v>
                </c:pt>
                <c:pt idx="4">
                  <c:v>47.25</c:v>
                </c:pt>
                <c:pt idx="5">
                  <c:v>987.74999999999989</c:v>
                </c:pt>
              </c:numCache>
            </c:numRef>
          </c:val>
        </c:ser>
        <c:dLbls>
          <c:showLegendKey val="0"/>
          <c:showVal val="0"/>
          <c:showCatName val="0"/>
          <c:showSerName val="0"/>
          <c:showPercent val="0"/>
          <c:showBubbleSize val="0"/>
        </c:dLbls>
        <c:gapWidth val="150"/>
        <c:shape val="box"/>
        <c:axId val="226420000"/>
        <c:axId val="226420392"/>
        <c:axId val="0"/>
      </c:bar3DChart>
      <c:catAx>
        <c:axId val="2264200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20392"/>
        <c:crosses val="autoZero"/>
        <c:auto val="1"/>
        <c:lblAlgn val="ctr"/>
        <c:lblOffset val="100"/>
        <c:noMultiLvlLbl val="0"/>
      </c:catAx>
      <c:valAx>
        <c:axId val="226420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2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Analysis!PivotTable25</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 type coverage per beneficiary</a:t>
            </a:r>
            <a:r>
              <a:rPr lang="en-US" b="1" baseline="0"/>
              <a:t> type</a:t>
            </a:r>
            <a:endParaRPr lang="en-US" b="1"/>
          </a:p>
        </c:rich>
      </c:tx>
      <c:layout>
        <c:manualLayout>
          <c:xMode val="edge"/>
          <c:yMode val="edge"/>
          <c:x val="0.22207145761709363"/>
          <c:y val="3.9062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Analysis'!$C$150:$C$151</c:f>
              <c:strCache>
                <c:ptCount val="1"/>
                <c:pt idx="0">
                  <c:v> % Permanent Facility</c:v>
                </c:pt>
              </c:strCache>
            </c:strRef>
          </c:tx>
          <c:spPr>
            <a:solidFill>
              <a:schemeClr val="accent1"/>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Analysis'!$C$152:$C$158</c:f>
              <c:numCache>
                <c:formatCode>0%</c:formatCode>
                <c:ptCount val="6"/>
                <c:pt idx="0">
                  <c:v>0.80630760725160289</c:v>
                </c:pt>
                <c:pt idx="1">
                  <c:v>0.42183888607024073</c:v>
                </c:pt>
                <c:pt idx="2">
                  <c:v>0.41582732254640764</c:v>
                </c:pt>
                <c:pt idx="3">
                  <c:v>0.51588159214804608</c:v>
                </c:pt>
                <c:pt idx="4">
                  <c:v>0.25637374247783545</c:v>
                </c:pt>
                <c:pt idx="5">
                  <c:v>0.76969407835887649</c:v>
                </c:pt>
              </c:numCache>
            </c:numRef>
          </c:val>
        </c:ser>
        <c:ser>
          <c:idx val="1"/>
          <c:order val="1"/>
          <c:tx>
            <c:strRef>
              <c:f>'Situation Analysis'!$D$150:$D$151</c:f>
              <c:strCache>
                <c:ptCount val="1"/>
                <c:pt idx="0">
                  <c:v>% Emergency Facilities</c:v>
                </c:pt>
              </c:strCache>
            </c:strRef>
          </c:tx>
          <c:spPr>
            <a:solidFill>
              <a:schemeClr val="accent2"/>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Analysis'!$D$152:$D$158</c:f>
              <c:numCache>
                <c:formatCode>0%</c:formatCode>
                <c:ptCount val="6"/>
                <c:pt idx="0">
                  <c:v>5.3039242382983867E-2</c:v>
                </c:pt>
                <c:pt idx="1">
                  <c:v>0</c:v>
                </c:pt>
                <c:pt idx="2">
                  <c:v>0</c:v>
                </c:pt>
                <c:pt idx="3">
                  <c:v>0</c:v>
                </c:pt>
                <c:pt idx="4">
                  <c:v>0</c:v>
                </c:pt>
                <c:pt idx="5">
                  <c:v>0</c:v>
                </c:pt>
              </c:numCache>
            </c:numRef>
          </c:val>
        </c:ser>
        <c:ser>
          <c:idx val="2"/>
          <c:order val="2"/>
          <c:tx>
            <c:strRef>
              <c:f>'Situation Analysis'!$E$150:$E$151</c:f>
              <c:strCache>
                <c:ptCount val="1"/>
                <c:pt idx="0">
                  <c:v>% HHWT Direct coverage</c:v>
                </c:pt>
              </c:strCache>
            </c:strRef>
          </c:tx>
          <c:spPr>
            <a:solidFill>
              <a:schemeClr val="accent3"/>
            </a:solidFill>
            <a:ln>
              <a:noFill/>
            </a:ln>
            <a:effectLst/>
            <a:sp3d/>
          </c:spPr>
          <c:invertIfNegative val="0"/>
          <c:cat>
            <c:strRef>
              <c:f>'Situation Analysis'!$B$152:$B$158</c:f>
              <c:strCache>
                <c:ptCount val="6"/>
                <c:pt idx="0">
                  <c:v>Camp with IDPs</c:v>
                </c:pt>
                <c:pt idx="1">
                  <c:v>Displacement ended</c:v>
                </c:pt>
                <c:pt idx="2">
                  <c:v>Surrounding community</c:v>
                </c:pt>
                <c:pt idx="3">
                  <c:v>Village (development)</c:v>
                </c:pt>
                <c:pt idx="4">
                  <c:v>Village with affected HH</c:v>
                </c:pt>
                <c:pt idx="5">
                  <c:v>Village with IDPs</c:v>
                </c:pt>
              </c:strCache>
            </c:strRef>
          </c:cat>
          <c:val>
            <c:numRef>
              <c:f>'Situation Analysis'!$E$152:$E$158</c:f>
              <c:numCache>
                <c:formatCode>0%</c:formatCode>
                <c:ptCount val="6"/>
                <c:pt idx="0">
                  <c:v>6.1131419486688696E-2</c:v>
                </c:pt>
                <c:pt idx="1">
                  <c:v>0.32893624217825129</c:v>
                </c:pt>
                <c:pt idx="2">
                  <c:v>7.5889434011306794E-2</c:v>
                </c:pt>
                <c:pt idx="3">
                  <c:v>6.6722268557130944E-4</c:v>
                </c:pt>
                <c:pt idx="4">
                  <c:v>0</c:v>
                </c:pt>
                <c:pt idx="5">
                  <c:v>0</c:v>
                </c:pt>
              </c:numCache>
            </c:numRef>
          </c:val>
        </c:ser>
        <c:dLbls>
          <c:showLegendKey val="0"/>
          <c:showVal val="0"/>
          <c:showCatName val="0"/>
          <c:showSerName val="0"/>
          <c:showPercent val="0"/>
          <c:showBubbleSize val="0"/>
        </c:dLbls>
        <c:gapWidth val="150"/>
        <c:shape val="box"/>
        <c:axId val="226421176"/>
        <c:axId val="226421568"/>
        <c:axId val="0"/>
      </c:bar3DChart>
      <c:catAx>
        <c:axId val="2264211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21568"/>
        <c:crosses val="autoZero"/>
        <c:auto val="1"/>
        <c:lblAlgn val="ctr"/>
        <c:lblOffset val="100"/>
        <c:noMultiLvlLbl val="0"/>
      </c:catAx>
      <c:valAx>
        <c:axId val="226421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2117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Analysis!PivotTable47</c:name>
    <c:fmtId val="17"/>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Need Coverage per ethnicity</a:t>
            </a:r>
          </a:p>
        </c:rich>
      </c:tx>
      <c:layout>
        <c:manualLayout>
          <c:xMode val="edge"/>
          <c:yMode val="edge"/>
          <c:x val="0.28642598975973366"/>
          <c:y val="3.96825396825396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75000"/>
          </a:schemeClr>
        </a:solidFill>
        <a:ln>
          <a:noFill/>
        </a:ln>
        <a:effectLst/>
        <a:sp3d/>
      </c:spPr>
    </c:floor>
    <c:sideWall>
      <c:thickness val="0"/>
      <c:spPr>
        <a:solidFill>
          <a:schemeClr val="bg1">
            <a:lumMod val="75000"/>
          </a:schemeClr>
        </a:solidFill>
        <a:ln>
          <a:noFill/>
        </a:ln>
        <a:effectLst/>
        <a:sp3d/>
      </c:spPr>
    </c:sideWall>
    <c:backWall>
      <c:thickness val="0"/>
      <c:spPr>
        <a:solidFill>
          <a:schemeClr val="bg1">
            <a:lumMod val="75000"/>
          </a:schemeClr>
        </a:solidFill>
        <a:ln>
          <a:noFill/>
        </a:ln>
        <a:effectLst/>
        <a:sp3d/>
      </c:spPr>
    </c:backWall>
    <c:plotArea>
      <c:layout>
        <c:manualLayout>
          <c:layoutTarget val="inner"/>
          <c:xMode val="edge"/>
          <c:yMode val="edge"/>
          <c:x val="8.1501584255930154E-2"/>
          <c:y val="0.12720149253731344"/>
          <c:w val="0.89285738539680004"/>
          <c:h val="0.6896888588553296"/>
        </c:manualLayout>
      </c:layout>
      <c:bar3DChart>
        <c:barDir val="col"/>
        <c:grouping val="clustered"/>
        <c:varyColors val="0"/>
        <c:ser>
          <c:idx val="0"/>
          <c:order val="0"/>
          <c:tx>
            <c:strRef>
              <c:f>'Situation Analysis'!$C$10:$C$11</c:f>
              <c:strCache>
                <c:ptCount val="1"/>
                <c:pt idx="0">
                  <c:v>% Water coverage</c:v>
                </c:pt>
              </c:strCache>
            </c:strRef>
          </c:tx>
          <c:spPr>
            <a:solidFill>
              <a:schemeClr val="accent1"/>
            </a:solidFill>
            <a:ln>
              <a:noFill/>
            </a:ln>
            <a:effectLst/>
            <a:sp3d/>
          </c:spPr>
          <c:invertIfNegative val="0"/>
          <c:cat>
            <c:strRef>
              <c:f>'Situation Analysis'!$B$12:$B$15</c:f>
              <c:strCache>
                <c:ptCount val="3"/>
                <c:pt idx="0">
                  <c:v>Muslim</c:v>
                </c:pt>
                <c:pt idx="1">
                  <c:v>Rakhine</c:v>
                </c:pt>
                <c:pt idx="2">
                  <c:v>Maramargyi</c:v>
                </c:pt>
              </c:strCache>
            </c:strRef>
          </c:cat>
          <c:val>
            <c:numRef>
              <c:f>'Situation Analysis'!$C$12:$C$15</c:f>
              <c:numCache>
                <c:formatCode>0%</c:formatCode>
                <c:ptCount val="3"/>
                <c:pt idx="0">
                  <c:v>0.91794301286694957</c:v>
                </c:pt>
                <c:pt idx="1">
                  <c:v>0.97441811700566161</c:v>
                </c:pt>
                <c:pt idx="2">
                  <c:v>1</c:v>
                </c:pt>
              </c:numCache>
            </c:numRef>
          </c:val>
        </c:ser>
        <c:ser>
          <c:idx val="1"/>
          <c:order val="1"/>
          <c:tx>
            <c:strRef>
              <c:f>'Situation Analysis'!$D$10:$D$11</c:f>
              <c:strCache>
                <c:ptCount val="1"/>
                <c:pt idx="0">
                  <c:v>% Latrine coverage</c:v>
                </c:pt>
              </c:strCache>
            </c:strRef>
          </c:tx>
          <c:spPr>
            <a:solidFill>
              <a:schemeClr val="accent2"/>
            </a:solidFill>
            <a:ln>
              <a:noFill/>
            </a:ln>
            <a:effectLst/>
            <a:sp3d/>
          </c:spPr>
          <c:invertIfNegative val="0"/>
          <c:cat>
            <c:strRef>
              <c:f>'Situation Analysis'!$B$12:$B$15</c:f>
              <c:strCache>
                <c:ptCount val="3"/>
                <c:pt idx="0">
                  <c:v>Muslim</c:v>
                </c:pt>
                <c:pt idx="1">
                  <c:v>Rakhine</c:v>
                </c:pt>
                <c:pt idx="2">
                  <c:v>Maramargyi</c:v>
                </c:pt>
              </c:strCache>
            </c:strRef>
          </c:cat>
          <c:val>
            <c:numRef>
              <c:f>'Situation Analysis'!$D$12:$D$15</c:f>
              <c:numCache>
                <c:formatCode>0%</c:formatCode>
                <c:ptCount val="3"/>
                <c:pt idx="0">
                  <c:v>0.77824347166166474</c:v>
                </c:pt>
                <c:pt idx="1">
                  <c:v>0.95198154749423358</c:v>
                </c:pt>
                <c:pt idx="2">
                  <c:v>1</c:v>
                </c:pt>
              </c:numCache>
            </c:numRef>
          </c:val>
        </c:ser>
        <c:ser>
          <c:idx val="2"/>
          <c:order val="2"/>
          <c:tx>
            <c:strRef>
              <c:f>'Situation Analysis'!$E$10:$E$11</c:f>
              <c:strCache>
                <c:ptCount val="1"/>
                <c:pt idx="0">
                  <c:v>% Bathroom coverage</c:v>
                </c:pt>
              </c:strCache>
            </c:strRef>
          </c:tx>
          <c:spPr>
            <a:solidFill>
              <a:schemeClr val="accent3"/>
            </a:solidFill>
            <a:ln>
              <a:noFill/>
            </a:ln>
            <a:effectLst/>
            <a:sp3d/>
          </c:spPr>
          <c:invertIfNegative val="0"/>
          <c:cat>
            <c:strRef>
              <c:f>'Situation Analysis'!$B$12:$B$15</c:f>
              <c:strCache>
                <c:ptCount val="3"/>
                <c:pt idx="0">
                  <c:v>Muslim</c:v>
                </c:pt>
                <c:pt idx="1">
                  <c:v>Rakhine</c:v>
                </c:pt>
                <c:pt idx="2">
                  <c:v>Maramargyi</c:v>
                </c:pt>
              </c:strCache>
            </c:strRef>
          </c:cat>
          <c:val>
            <c:numRef>
              <c:f>'Situation Analysis'!$E$12:$E$15</c:f>
              <c:numCache>
                <c:formatCode>0%</c:formatCode>
                <c:ptCount val="3"/>
                <c:pt idx="0">
                  <c:v>0.3203894580703025</c:v>
                </c:pt>
                <c:pt idx="1">
                  <c:v>0.49536590480184517</c:v>
                </c:pt>
                <c:pt idx="2">
                  <c:v>0</c:v>
                </c:pt>
              </c:numCache>
            </c:numRef>
          </c:val>
        </c:ser>
        <c:dLbls>
          <c:showLegendKey val="0"/>
          <c:showVal val="0"/>
          <c:showCatName val="0"/>
          <c:showSerName val="0"/>
          <c:showPercent val="0"/>
          <c:showBubbleSize val="0"/>
        </c:dLbls>
        <c:gapWidth val="150"/>
        <c:shape val="box"/>
        <c:axId val="227315656"/>
        <c:axId val="227316048"/>
        <c:axId val="0"/>
      </c:bar3DChart>
      <c:catAx>
        <c:axId val="227315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6048"/>
        <c:crosses val="autoZero"/>
        <c:auto val="1"/>
        <c:lblAlgn val="ctr"/>
        <c:lblOffset val="100"/>
        <c:noMultiLvlLbl val="0"/>
      </c:catAx>
      <c:valAx>
        <c:axId val="227316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565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Analysis!PivotTable19</c:name>
    <c:fmtId val="3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Site coverage by a dedicated Wash Partner</a:t>
            </a:r>
          </a:p>
        </c:rich>
      </c:tx>
      <c:layout>
        <c:manualLayout>
          <c:xMode val="edge"/>
          <c:yMode val="edge"/>
          <c:x val="0.26843441867063916"/>
          <c:y val="2.898548519495972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a:sp3d/>
        </c:spPr>
        <c:marker>
          <c:symbol val="none"/>
        </c:marker>
      </c:pivotFmt>
      <c:pivotFmt>
        <c:idx val="25"/>
        <c:spPr>
          <a:solidFill>
            <a:schemeClr val="accent1"/>
          </a:solidFill>
          <a:ln>
            <a:noFill/>
          </a:ln>
          <a:effectLst/>
          <a:sp3d/>
        </c:spPr>
        <c:marker>
          <c:symbol val="none"/>
        </c:marker>
      </c:pivotFmt>
      <c:pivotFmt>
        <c:idx val="26"/>
        <c:spPr>
          <a:solidFill>
            <a:schemeClr val="accent1"/>
          </a:solidFill>
          <a:ln>
            <a:noFill/>
          </a:ln>
          <a:effectLst/>
          <a:sp3d/>
        </c:spPr>
        <c:marker>
          <c:symbol val="none"/>
        </c:marker>
      </c:pivotFmt>
      <c:pivotFmt>
        <c:idx val="27"/>
        <c:spPr>
          <a:solidFill>
            <a:schemeClr val="accent1"/>
          </a:solidFill>
          <a:ln>
            <a:noFill/>
          </a:ln>
          <a:effectLst/>
          <a:sp3d/>
        </c:spPr>
        <c:marker>
          <c:symbol val="none"/>
        </c:marker>
      </c:pivotFmt>
      <c:pivotFmt>
        <c:idx val="28"/>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5.9403064481804636E-2"/>
          <c:y val="0.14265727668813824"/>
          <c:w val="0.90456089948215934"/>
          <c:h val="0.54855068770155746"/>
        </c:manualLayout>
      </c:layout>
      <c:bar3DChart>
        <c:barDir val="col"/>
        <c:grouping val="stacked"/>
        <c:varyColors val="0"/>
        <c:ser>
          <c:idx val="0"/>
          <c:order val="0"/>
          <c:tx>
            <c:strRef>
              <c:f>'Situation Analysis'!$C$686:$C$687</c:f>
              <c:strCache>
                <c:ptCount val="1"/>
                <c:pt idx="0">
                  <c:v>Covered</c:v>
                </c:pt>
              </c:strCache>
            </c:strRef>
          </c:tx>
          <c:spPr>
            <a:solidFill>
              <a:schemeClr val="accent1"/>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Analysis'!$C$688:$C$692</c:f>
              <c:numCache>
                <c:formatCode>0%</c:formatCode>
                <c:ptCount val="4"/>
                <c:pt idx="0">
                  <c:v>0.66518292286698288</c:v>
                </c:pt>
                <c:pt idx="1">
                  <c:v>0.80297671000045934</c:v>
                </c:pt>
                <c:pt idx="2">
                  <c:v>0.99899329135963433</c:v>
                </c:pt>
                <c:pt idx="3">
                  <c:v>1</c:v>
                </c:pt>
              </c:numCache>
            </c:numRef>
          </c:val>
        </c:ser>
        <c:ser>
          <c:idx val="1"/>
          <c:order val="1"/>
          <c:tx>
            <c:strRef>
              <c:f>'Situation Analysis'!$D$686:$D$687</c:f>
              <c:strCache>
                <c:ptCount val="1"/>
                <c:pt idx="0">
                  <c:v>Not Covered</c:v>
                </c:pt>
              </c:strCache>
            </c:strRef>
          </c:tx>
          <c:spPr>
            <a:solidFill>
              <a:schemeClr val="accent2"/>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Analysis'!$D$688:$D$692</c:f>
              <c:numCache>
                <c:formatCode>0%</c:formatCode>
                <c:ptCount val="4"/>
                <c:pt idx="0">
                  <c:v>0.33481707713301712</c:v>
                </c:pt>
                <c:pt idx="1">
                  <c:v>0.19702328999954064</c:v>
                </c:pt>
                <c:pt idx="2">
                  <c:v>1.0067086403657158E-3</c:v>
                </c:pt>
                <c:pt idx="3">
                  <c:v>0</c:v>
                </c:pt>
              </c:numCache>
            </c:numRef>
          </c:val>
        </c:ser>
        <c:dLbls>
          <c:showLegendKey val="0"/>
          <c:showVal val="0"/>
          <c:showCatName val="0"/>
          <c:showSerName val="0"/>
          <c:showPercent val="0"/>
          <c:showBubbleSize val="0"/>
        </c:dLbls>
        <c:gapWidth val="150"/>
        <c:shape val="box"/>
        <c:axId val="207167184"/>
        <c:axId val="208498160"/>
        <c:axId val="0"/>
      </c:bar3DChart>
      <c:catAx>
        <c:axId val="20716718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08498160"/>
        <c:crosses val="autoZero"/>
        <c:auto val="1"/>
        <c:lblAlgn val="ctr"/>
        <c:lblOffset val="100"/>
        <c:noMultiLvlLbl val="0"/>
      </c:catAx>
      <c:valAx>
        <c:axId val="208498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207167184"/>
        <c:crosses val="autoZero"/>
        <c:crossBetween val="between"/>
      </c:valAx>
      <c:spPr>
        <a:noFill/>
        <a:ln>
          <a:noFill/>
        </a:ln>
        <a:effectLst/>
      </c:spPr>
    </c:plotArea>
    <c:legend>
      <c:legendPos val="b"/>
      <c:layout>
        <c:manualLayout>
          <c:xMode val="edge"/>
          <c:yMode val="edge"/>
          <c:x val="0.32659360147549127"/>
          <c:y val="0.85264037990004948"/>
          <c:w val="0.45459796416178294"/>
          <c:h val="0.1366467444124450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Analysis!PivotTable26</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 coverage per location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Analysis'!$C$113:$C$114</c:f>
              <c:strCache>
                <c:ptCount val="1"/>
                <c:pt idx="0">
                  <c:v>% Water coverage</c:v>
                </c:pt>
              </c:strCache>
            </c:strRef>
          </c:tx>
          <c:spPr>
            <a:solidFill>
              <a:schemeClr val="accent1"/>
            </a:solidFill>
            <a:ln>
              <a:noFill/>
            </a:ln>
            <a:effectLst/>
            <a:sp3d/>
          </c:spPr>
          <c:invertIfNegative val="0"/>
          <c:cat>
            <c:strRef>
              <c:f>'Situation Analysis'!$B$115:$B$117</c:f>
              <c:strCache>
                <c:ptCount val="2"/>
                <c:pt idx="0">
                  <c:v>Camp</c:v>
                </c:pt>
                <c:pt idx="1">
                  <c:v>Village</c:v>
                </c:pt>
              </c:strCache>
            </c:strRef>
          </c:cat>
          <c:val>
            <c:numRef>
              <c:f>'Situation Analysis'!$C$115:$C$117</c:f>
              <c:numCache>
                <c:formatCode>0%</c:formatCode>
                <c:ptCount val="2"/>
                <c:pt idx="0">
                  <c:v>0.92047826912127539</c:v>
                </c:pt>
                <c:pt idx="1">
                  <c:v>0.55802589699074079</c:v>
                </c:pt>
              </c:numCache>
            </c:numRef>
          </c:val>
        </c:ser>
        <c:ser>
          <c:idx val="1"/>
          <c:order val="1"/>
          <c:tx>
            <c:strRef>
              <c:f>'Situation Analysis'!$D$113:$D$114</c:f>
              <c:strCache>
                <c:ptCount val="1"/>
                <c:pt idx="0">
                  <c:v>% Latrine coverage</c:v>
                </c:pt>
              </c:strCache>
            </c:strRef>
          </c:tx>
          <c:spPr>
            <a:solidFill>
              <a:schemeClr val="accent2"/>
            </a:solidFill>
            <a:ln>
              <a:noFill/>
            </a:ln>
            <a:effectLst/>
            <a:sp3d/>
          </c:spPr>
          <c:invertIfNegative val="0"/>
          <c:cat>
            <c:strRef>
              <c:f>'Situation Analysis'!$B$115:$B$117</c:f>
              <c:strCache>
                <c:ptCount val="2"/>
                <c:pt idx="0">
                  <c:v>Camp</c:v>
                </c:pt>
                <c:pt idx="1">
                  <c:v>Village</c:v>
                </c:pt>
              </c:strCache>
            </c:strRef>
          </c:cat>
          <c:val>
            <c:numRef>
              <c:f>'Situation Analysis'!$D$115:$D$117</c:f>
              <c:numCache>
                <c:formatCode>0%</c:formatCode>
                <c:ptCount val="2"/>
                <c:pt idx="0">
                  <c:v>0.78592588313928058</c:v>
                </c:pt>
                <c:pt idx="1">
                  <c:v>0.25145923132183906</c:v>
                </c:pt>
              </c:numCache>
            </c:numRef>
          </c:val>
        </c:ser>
        <c:ser>
          <c:idx val="2"/>
          <c:order val="2"/>
          <c:tx>
            <c:strRef>
              <c:f>'Situation Analysis'!$E$113:$E$114</c:f>
              <c:strCache>
                <c:ptCount val="1"/>
                <c:pt idx="0">
                  <c:v>% Bathroom coverage</c:v>
                </c:pt>
              </c:strCache>
            </c:strRef>
          </c:tx>
          <c:spPr>
            <a:solidFill>
              <a:schemeClr val="accent3"/>
            </a:solidFill>
            <a:ln>
              <a:noFill/>
            </a:ln>
            <a:effectLst/>
            <a:sp3d/>
          </c:spPr>
          <c:invertIfNegative val="0"/>
          <c:cat>
            <c:strRef>
              <c:f>'Situation Analysis'!$B$115:$B$117</c:f>
              <c:strCache>
                <c:ptCount val="2"/>
                <c:pt idx="0">
                  <c:v>Camp</c:v>
                </c:pt>
                <c:pt idx="1">
                  <c:v>Village</c:v>
                </c:pt>
              </c:strCache>
            </c:strRef>
          </c:cat>
          <c:val>
            <c:numRef>
              <c:f>'Situation Analysis'!$E$115:$E$117</c:f>
              <c:numCache>
                <c:formatCode>0%</c:formatCode>
                <c:ptCount val="2"/>
                <c:pt idx="0">
                  <c:v>0.32605378464686802</c:v>
                </c:pt>
                <c:pt idx="1">
                  <c:v>0</c:v>
                </c:pt>
              </c:numCache>
            </c:numRef>
          </c:val>
        </c:ser>
        <c:dLbls>
          <c:showLegendKey val="0"/>
          <c:showVal val="0"/>
          <c:showCatName val="0"/>
          <c:showSerName val="0"/>
          <c:showPercent val="0"/>
          <c:showBubbleSize val="0"/>
        </c:dLbls>
        <c:gapWidth val="150"/>
        <c:shape val="box"/>
        <c:axId val="227316832"/>
        <c:axId val="227317224"/>
        <c:axId val="0"/>
      </c:bar3DChart>
      <c:catAx>
        <c:axId val="227316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7224"/>
        <c:crosses val="autoZero"/>
        <c:auto val="1"/>
        <c:lblAlgn val="ctr"/>
        <c:lblOffset val="100"/>
        <c:noMultiLvlLbl val="0"/>
      </c:catAx>
      <c:valAx>
        <c:axId val="227317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Analysis!PivotTable27</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a:t>
            </a:r>
            <a:r>
              <a:rPr lang="en-US" b="1" baseline="0"/>
              <a:t> type coverage per location type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Analysis'!$C$166:$C$167</c:f>
              <c:strCache>
                <c:ptCount val="1"/>
                <c:pt idx="0">
                  <c:v>% Permanent Water point</c:v>
                </c:pt>
              </c:strCache>
            </c:strRef>
          </c:tx>
          <c:spPr>
            <a:solidFill>
              <a:schemeClr val="accent1"/>
            </a:solidFill>
            <a:ln>
              <a:noFill/>
            </a:ln>
            <a:effectLst/>
            <a:sp3d/>
          </c:spPr>
          <c:invertIfNegative val="0"/>
          <c:cat>
            <c:strRef>
              <c:f>'Situation Analysis'!$B$168:$B$170</c:f>
              <c:strCache>
                <c:ptCount val="2"/>
                <c:pt idx="0">
                  <c:v>Camp</c:v>
                </c:pt>
                <c:pt idx="1">
                  <c:v>Village</c:v>
                </c:pt>
              </c:strCache>
            </c:strRef>
          </c:cat>
          <c:val>
            <c:numRef>
              <c:f>'Situation Analysis'!$C$168:$C$170</c:f>
              <c:numCache>
                <c:formatCode>0%</c:formatCode>
                <c:ptCount val="2"/>
                <c:pt idx="0">
                  <c:v>0.80630760725160289</c:v>
                </c:pt>
                <c:pt idx="1">
                  <c:v>0.52306832694763727</c:v>
                </c:pt>
              </c:numCache>
            </c:numRef>
          </c:val>
        </c:ser>
        <c:ser>
          <c:idx val="1"/>
          <c:order val="1"/>
          <c:tx>
            <c:strRef>
              <c:f>'Situation Analysis'!$D$166:$D$167</c:f>
              <c:strCache>
                <c:ptCount val="1"/>
                <c:pt idx="0">
                  <c:v>%Wash Emergency Facilities</c:v>
                </c:pt>
              </c:strCache>
            </c:strRef>
          </c:tx>
          <c:spPr>
            <a:solidFill>
              <a:schemeClr val="accent2"/>
            </a:solidFill>
            <a:ln>
              <a:noFill/>
            </a:ln>
            <a:effectLst/>
            <a:sp3d/>
          </c:spPr>
          <c:invertIfNegative val="0"/>
          <c:cat>
            <c:strRef>
              <c:f>'Situation Analysis'!$B$168:$B$170</c:f>
              <c:strCache>
                <c:ptCount val="2"/>
                <c:pt idx="0">
                  <c:v>Camp</c:v>
                </c:pt>
                <c:pt idx="1">
                  <c:v>Village</c:v>
                </c:pt>
              </c:strCache>
            </c:strRef>
          </c:cat>
          <c:val>
            <c:numRef>
              <c:f>'Situation Analysis'!$D$168:$D$170</c:f>
              <c:numCache>
                <c:formatCode>0%</c:formatCode>
                <c:ptCount val="2"/>
                <c:pt idx="0">
                  <c:v>5.3039242382983867E-2</c:v>
                </c:pt>
                <c:pt idx="1">
                  <c:v>0</c:v>
                </c:pt>
              </c:numCache>
            </c:numRef>
          </c:val>
        </c:ser>
        <c:ser>
          <c:idx val="2"/>
          <c:order val="2"/>
          <c:tx>
            <c:strRef>
              <c:f>'Situation Analysis'!$E$166:$E$167</c:f>
              <c:strCache>
                <c:ptCount val="1"/>
                <c:pt idx="0">
                  <c:v>% Household complementary Coverage</c:v>
                </c:pt>
              </c:strCache>
            </c:strRef>
          </c:tx>
          <c:spPr>
            <a:solidFill>
              <a:schemeClr val="accent3"/>
            </a:solidFill>
            <a:ln>
              <a:noFill/>
            </a:ln>
            <a:effectLst/>
            <a:sp3d/>
          </c:spPr>
          <c:invertIfNegative val="0"/>
          <c:cat>
            <c:strRef>
              <c:f>'Situation Analysis'!$B$168:$B$170</c:f>
              <c:strCache>
                <c:ptCount val="2"/>
                <c:pt idx="0">
                  <c:v>Camp</c:v>
                </c:pt>
                <c:pt idx="1">
                  <c:v>Village</c:v>
                </c:pt>
              </c:strCache>
            </c:strRef>
          </c:cat>
          <c:val>
            <c:numRef>
              <c:f>'Situation Analysis'!$E$168:$E$170</c:f>
              <c:numCache>
                <c:formatCode>0%</c:formatCode>
                <c:ptCount val="2"/>
                <c:pt idx="0">
                  <c:v>6.1131419486688578E-2</c:v>
                </c:pt>
                <c:pt idx="1">
                  <c:v>3.4957570043103535E-2</c:v>
                </c:pt>
              </c:numCache>
            </c:numRef>
          </c:val>
        </c:ser>
        <c:dLbls>
          <c:showLegendKey val="0"/>
          <c:showVal val="0"/>
          <c:showCatName val="0"/>
          <c:showSerName val="0"/>
          <c:showPercent val="0"/>
          <c:showBubbleSize val="0"/>
        </c:dLbls>
        <c:gapWidth val="150"/>
        <c:shape val="box"/>
        <c:axId val="227318008"/>
        <c:axId val="227318400"/>
        <c:axId val="0"/>
      </c:bar3DChart>
      <c:catAx>
        <c:axId val="227318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8400"/>
        <c:crosses val="autoZero"/>
        <c:auto val="1"/>
        <c:lblAlgn val="ctr"/>
        <c:lblOffset val="100"/>
        <c:noMultiLvlLbl val="0"/>
      </c:catAx>
      <c:valAx>
        <c:axId val="227318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8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Analysis!PivotTable24</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 per location type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dLbl>
          <c:idx val="0"/>
          <c:layout>
            <c:manualLayout>
              <c:x val="0.10443863275484259"/>
              <c:y val="-5.88235067069991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pivotFmt>
      <c:pivotFmt>
        <c:idx val="4"/>
        <c:spPr>
          <a:solidFill>
            <a:schemeClr val="accent1"/>
          </a:solidFill>
          <a:ln>
            <a:noFill/>
          </a:ln>
          <a:effectLst/>
          <a:sp3d/>
        </c:spPr>
        <c:dLbl>
          <c:idx val="0"/>
          <c:layout>
            <c:manualLayout>
              <c:x val="2.7850302067958025E-2"/>
              <c:y val="-0.2254901090434965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pivotFmt>
      <c:pivotFmt>
        <c:idx val="6"/>
        <c:spPr>
          <a:solidFill>
            <a:schemeClr val="accent1"/>
          </a:solidFill>
          <a:ln>
            <a:noFill/>
          </a:ln>
          <a:effectLst/>
          <a:sp3d/>
        </c:spPr>
        <c:dLbl>
          <c:idx val="0"/>
          <c:layout>
            <c:manualLayout>
              <c:x val="-4.8738028618926545E-2"/>
              <c:y val="-0.132352890090747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a:noFill/>
          </a:ln>
          <a:effectLst/>
          <a:sp3d/>
        </c:spPr>
        <c:dLbl>
          <c:idx val="0"/>
          <c:layout>
            <c:manualLayout>
              <c:x val="-6.9625755169895068E-2"/>
              <c:y val="-6.862742449149905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a:sp3d/>
        </c:spPr>
      </c:pivotFmt>
      <c:pivotFmt>
        <c:idx val="9"/>
        <c:spPr>
          <a:solidFill>
            <a:schemeClr val="accent1"/>
          </a:solidFill>
          <a:ln>
            <a:noFill/>
          </a:ln>
          <a:effectLst/>
          <a:sp3d/>
        </c:spP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Analysis'!$C$256:$C$257</c:f>
              <c:strCache>
                <c:ptCount val="1"/>
                <c:pt idx="0">
                  <c:v>% Semi-permanent latrine coverage</c:v>
                </c:pt>
              </c:strCache>
            </c:strRef>
          </c:tx>
          <c:spPr>
            <a:solidFill>
              <a:schemeClr val="accent1"/>
            </a:solidFill>
            <a:ln>
              <a:noFill/>
            </a:ln>
            <a:effectLst/>
            <a:sp3d/>
          </c:spPr>
          <c:invertIfNegative val="0"/>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Analysis'!$C$258:$C$262</c:f>
              <c:numCache>
                <c:formatCode>0%</c:formatCode>
                <c:ptCount val="4"/>
                <c:pt idx="0">
                  <c:v>0.78517497751408982</c:v>
                </c:pt>
                <c:pt idx="1">
                  <c:v>0.28510624472025475</c:v>
                </c:pt>
                <c:pt idx="2">
                  <c:v>0.28186871238917727</c:v>
                </c:pt>
                <c:pt idx="3">
                  <c:v>0.19712962410797702</c:v>
                </c:pt>
              </c:numCache>
            </c:numRef>
          </c:val>
        </c:ser>
        <c:ser>
          <c:idx val="1"/>
          <c:order val="1"/>
          <c:tx>
            <c:strRef>
              <c:f>'Situation Analysis'!$D$256:$D$257</c:f>
              <c:strCache>
                <c:ptCount val="1"/>
                <c:pt idx="0">
                  <c:v>% Emergency Latrine</c:v>
                </c:pt>
              </c:strCache>
            </c:strRef>
          </c:tx>
          <c:spPr>
            <a:solidFill>
              <a:schemeClr val="accent2"/>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Analysis'!$D$258:$D$262</c:f>
              <c:numCache>
                <c:formatCode>0%</c:formatCode>
                <c:ptCount val="4"/>
                <c:pt idx="0">
                  <c:v>7.5090562519082062E-4</c:v>
                </c:pt>
                <c:pt idx="1">
                  <c:v>0</c:v>
                </c:pt>
                <c:pt idx="2">
                  <c:v>0</c:v>
                </c:pt>
                <c:pt idx="3">
                  <c:v>0</c:v>
                </c:pt>
              </c:numCache>
            </c:numRef>
          </c:val>
        </c:ser>
        <c:dLbls>
          <c:showLegendKey val="0"/>
          <c:showVal val="0"/>
          <c:showCatName val="0"/>
          <c:showSerName val="0"/>
          <c:showPercent val="0"/>
          <c:showBubbleSize val="0"/>
        </c:dLbls>
        <c:gapWidth val="150"/>
        <c:shape val="box"/>
        <c:axId val="227319184"/>
        <c:axId val="227319576"/>
        <c:axId val="0"/>
      </c:bar3DChart>
      <c:catAx>
        <c:axId val="2273191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9576"/>
        <c:crosses val="autoZero"/>
        <c:auto val="1"/>
        <c:lblAlgn val="ctr"/>
        <c:lblOffset val="100"/>
        <c:noMultiLvlLbl val="0"/>
      </c:catAx>
      <c:valAx>
        <c:axId val="227319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1918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Analysis!PivotTable4</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Families missing X months of refilling</a:t>
            </a:r>
            <a:r>
              <a:rPr lang="en-US" b="1" baseline="0"/>
              <a:t> HK</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Analysis'!$C$348:$C$349</c:f>
              <c:strCache>
                <c:ptCount val="1"/>
                <c:pt idx="0">
                  <c:v>Total</c:v>
                </c:pt>
              </c:strCache>
            </c:strRef>
          </c:tx>
          <c:spPr>
            <a:solidFill>
              <a:schemeClr val="accent1"/>
            </a:solidFill>
            <a:ln>
              <a:noFill/>
            </a:ln>
            <a:effectLst/>
            <a:sp3d/>
          </c:spPr>
          <c:invertIfNegative val="0"/>
          <c:cat>
            <c:strRef>
              <c:f>'Situation Analysis'!$B$350:$B$352</c:f>
              <c:strCache>
                <c:ptCount val="2"/>
                <c:pt idx="0">
                  <c:v>3</c:v>
                </c:pt>
                <c:pt idx="1">
                  <c:v>4</c:v>
                </c:pt>
              </c:strCache>
            </c:strRef>
          </c:cat>
          <c:val>
            <c:numRef>
              <c:f>'Situation Analysis'!$C$350:$C$352</c:f>
              <c:numCache>
                <c:formatCode>0</c:formatCode>
                <c:ptCount val="2"/>
                <c:pt idx="0">
                  <c:v>1939</c:v>
                </c:pt>
                <c:pt idx="1">
                  <c:v>1569</c:v>
                </c:pt>
              </c:numCache>
            </c:numRef>
          </c:val>
        </c:ser>
        <c:dLbls>
          <c:showLegendKey val="0"/>
          <c:showVal val="0"/>
          <c:showCatName val="0"/>
          <c:showSerName val="0"/>
          <c:showPercent val="0"/>
          <c:showBubbleSize val="0"/>
        </c:dLbls>
        <c:gapWidth val="150"/>
        <c:shape val="box"/>
        <c:axId val="227320360"/>
        <c:axId val="227320752"/>
        <c:axId val="0"/>
      </c:bar3DChart>
      <c:catAx>
        <c:axId val="22732036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month of refilling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20752"/>
        <c:crosses val="autoZero"/>
        <c:auto val="1"/>
        <c:lblAlgn val="ctr"/>
        <c:lblOffset val="100"/>
        <c:noMultiLvlLbl val="0"/>
      </c:catAx>
      <c:valAx>
        <c:axId val="2273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families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2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Analysis!PivotTable7</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latrines/bathrooms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Analysis'!$C$458:$C$459</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Analysis'!$B$460:$B$465</c:f>
              <c:strCache>
                <c:ptCount val="5"/>
                <c:pt idx="0">
                  <c:v>Functional and efficient</c:v>
                </c:pt>
                <c:pt idx="1">
                  <c:v>Not yet planned</c:v>
                </c:pt>
                <c:pt idx="2">
                  <c:v>Not yet set up</c:v>
                </c:pt>
                <c:pt idx="3">
                  <c:v>Set up but low results </c:v>
                </c:pt>
                <c:pt idx="4">
                  <c:v>(blank)</c:v>
                </c:pt>
              </c:strCache>
            </c:strRef>
          </c:cat>
          <c:val>
            <c:numRef>
              <c:f>'Situation Analysis'!$C$460:$C$465</c:f>
              <c:numCache>
                <c:formatCode>0%</c:formatCode>
                <c:ptCount val="5"/>
                <c:pt idx="0">
                  <c:v>0.36666666666666664</c:v>
                </c:pt>
                <c:pt idx="1">
                  <c:v>6.6666666666666666E-2</c:v>
                </c:pt>
                <c:pt idx="2">
                  <c:v>0.13333333333333333</c:v>
                </c:pt>
                <c:pt idx="3">
                  <c:v>0.43333333333333335</c:v>
                </c:pt>
                <c:pt idx="4">
                  <c:v>0</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Analysis!PivotTable8</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water point</a:t>
            </a:r>
            <a:endParaRPr lang="en-US" b="1"/>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2"/>
          </a:solidFill>
          <a:ln w="25400">
            <a:solidFill>
              <a:schemeClr val="lt1"/>
            </a:solidFill>
          </a:ln>
          <a:effectLst/>
          <a:sp3d contourW="25400">
            <a:contourClr>
              <a:schemeClr val="lt1"/>
            </a:contourClr>
          </a:sp3d>
        </c:spPr>
      </c:pivotFmt>
      <c:pivotFmt>
        <c:idx val="15"/>
        <c:spPr>
          <a:solidFill>
            <a:schemeClr val="accent3"/>
          </a:solidFill>
          <a:ln w="25400">
            <a:solidFill>
              <a:schemeClr val="lt1"/>
            </a:solidFill>
          </a:ln>
          <a:effectLst/>
          <a:sp3d contourW="25400">
            <a:contourClr>
              <a:schemeClr val="lt1"/>
            </a:contourClr>
          </a:sp3d>
        </c:spPr>
      </c:pivotFmt>
      <c:pivotFmt>
        <c:idx val="16"/>
        <c:spPr>
          <a:solidFill>
            <a:schemeClr val="accent4"/>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Analysis'!$C$477:$C$478</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Analysis'!$B$479:$B$483</c:f>
              <c:strCache>
                <c:ptCount val="4"/>
                <c:pt idx="0">
                  <c:v>Functional and efficient</c:v>
                </c:pt>
                <c:pt idx="1">
                  <c:v>Not yet planned</c:v>
                </c:pt>
                <c:pt idx="2">
                  <c:v>Not yet set up</c:v>
                </c:pt>
                <c:pt idx="3">
                  <c:v>Set up but low results </c:v>
                </c:pt>
              </c:strCache>
            </c:strRef>
          </c:cat>
          <c:val>
            <c:numRef>
              <c:f>'Situation Analysis'!$C$479:$C$483</c:f>
              <c:numCache>
                <c:formatCode>0%</c:formatCode>
                <c:ptCount val="4"/>
                <c:pt idx="0">
                  <c:v>0.38461538461538464</c:v>
                </c:pt>
                <c:pt idx="1">
                  <c:v>0.11538461538461539</c:v>
                </c:pt>
                <c:pt idx="2">
                  <c:v>0.11538461538461539</c:v>
                </c:pt>
                <c:pt idx="3">
                  <c:v>0.38461538461538464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Analysis!PivotTable3</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 segregation of latrines</a:t>
            </a:r>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
      </c:pivotFmt>
      <c:pivotFmt>
        <c:idx val="18"/>
      </c:pivotFmt>
      <c:pivotFmt>
        <c:idx val="19"/>
      </c:pivotFmt>
      <c:pivotFmt>
        <c:idx val="20"/>
      </c:pivotFmt>
      <c:pivotFmt>
        <c:idx val="21"/>
      </c:pivotFmt>
      <c:pivotFmt>
        <c:idx val="2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2"/>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3"/>
          </a:solidFill>
          <a:ln w="25400">
            <a:solidFill>
              <a:schemeClr val="lt1"/>
            </a:solidFill>
          </a:ln>
          <a:effectLst/>
          <a:sp3d contourW="25400">
            <a:contourClr>
              <a:schemeClr val="lt1"/>
            </a:contourClr>
          </a:sp3d>
        </c:spPr>
      </c:pivotFmt>
      <c:pivotFmt>
        <c:idx val="48"/>
        <c:spPr>
          <a:solidFill>
            <a:schemeClr val="accent4"/>
          </a:solidFill>
          <a:ln w="25400">
            <a:solidFill>
              <a:schemeClr val="lt1"/>
            </a:solidFill>
          </a:ln>
          <a:effectLst/>
          <a:sp3d contourW="25400">
            <a:contourClr>
              <a:schemeClr val="lt1"/>
            </a:contourClr>
          </a:sp3d>
        </c:spPr>
      </c:pivotFmt>
      <c:pivotFmt>
        <c:idx val="49"/>
        <c:spPr>
          <a:solidFill>
            <a:schemeClr val="accent5"/>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Analysis'!$C$492:$C$493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Analysis'!$B$494:$B$499</c:f>
              <c:strCache>
                <c:ptCount val="5"/>
                <c:pt idx="0">
                  <c:v>(blank)</c:v>
                </c:pt>
                <c:pt idx="1">
                  <c:v>Attributed per families</c:v>
                </c:pt>
                <c:pt idx="2">
                  <c:v>No Specification</c:v>
                </c:pt>
                <c:pt idx="3">
                  <c:v>Gender Separate, clearly perceived</c:v>
                </c:pt>
                <c:pt idx="4">
                  <c:v>Gender Separate, but not clearly perceived</c:v>
                </c:pt>
              </c:strCache>
            </c:strRef>
          </c:cat>
          <c:val>
            <c:numRef>
              <c:f>'Situation Analysis'!$C$494:$C$499</c:f>
              <c:numCache>
                <c:formatCode>0</c:formatCode>
                <c:ptCount val="5"/>
                <c:pt idx="1">
                  <c:v>4</c:v>
                </c:pt>
                <c:pt idx="2">
                  <c:v>9</c:v>
                </c:pt>
                <c:pt idx="3">
                  <c:v>12</c:v>
                </c:pt>
                <c:pt idx="4">
                  <c:v>4</c:v>
                </c:pt>
              </c:numCache>
            </c:numRef>
          </c:val>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Analysis!PivotTable9</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TLS coverage by wash intervention</a:t>
            </a:r>
          </a:p>
        </c:rich>
      </c:tx>
      <c:layout>
        <c:manualLayout>
          <c:xMode val="edge"/>
          <c:yMode val="edge"/>
          <c:x val="0.24359125139452498"/>
          <c:y val="6.4814814814814811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1"/>
              </a:solidFill>
              <a:ln w="25400">
                <a:solidFill>
                  <a:schemeClr val="lt1"/>
                </a:solidFill>
              </a:ln>
              <a:effectLst/>
              <a:sp3d contourW="25400">
                <a:contourClr>
                  <a:schemeClr val="lt1"/>
                </a:contourClr>
              </a:sp3d>
            </c:spPr>
          </c:dPt>
          <c:dPt>
            <c:idx val="2"/>
            <c:bubble3D val="0"/>
            <c:spPr>
              <a:solidFill>
                <a:schemeClr val="accent1"/>
              </a:solidFill>
              <a:ln w="25400">
                <a:solidFill>
                  <a:schemeClr val="lt1"/>
                </a:solidFill>
              </a:ln>
              <a:effectLst/>
              <a:sp3d contourW="25400">
                <a:contourClr>
                  <a:schemeClr val="lt1"/>
                </a:contourClr>
              </a:sp3d>
            </c:spPr>
          </c:dPt>
          <c:dPt>
            <c:idx val="3"/>
            <c:bubble3D val="0"/>
            <c:spPr>
              <a:solidFill>
                <a:schemeClr val="accent1"/>
              </a:solidFill>
              <a:ln w="25400">
                <a:solidFill>
                  <a:schemeClr val="lt1"/>
                </a:solidFill>
              </a:ln>
              <a:effectLst/>
              <a:sp3d contourW="25400">
                <a:contourClr>
                  <a:schemeClr val="lt1"/>
                </a:contourClr>
              </a:sp3d>
            </c:spPr>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Analysis'!$B$301:$B$305</c:f>
              <c:strCache>
                <c:ptCount val="4"/>
                <c:pt idx="0">
                  <c:v>0-25%</c:v>
                </c:pt>
                <c:pt idx="1">
                  <c:v>75-100%</c:v>
                </c:pt>
                <c:pt idx="2">
                  <c:v>n/a</c:v>
                </c:pt>
                <c:pt idx="3">
                  <c:v>50-75%</c:v>
                </c:pt>
              </c:strCache>
            </c:strRef>
          </c:cat>
          <c:val>
            <c:numRef>
              <c:f>'Situation Analysis'!$C$301:$C$305</c:f>
              <c:numCache>
                <c:formatCode>0%</c:formatCode>
                <c:ptCount val="4"/>
                <c:pt idx="0">
                  <c:v>0.22580645161290322</c:v>
                </c:pt>
                <c:pt idx="1">
                  <c:v>0.61290322580645162</c:v>
                </c:pt>
                <c:pt idx="2">
                  <c:v>0.12903225806451613</c:v>
                </c:pt>
                <c:pt idx="3">
                  <c:v>3.2258064516129031E-2</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Analysis!PivotTable49</c:name>
    <c:fmtId val="5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Needs coverage per township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Analysis'!$C$26:$C$27</c:f>
              <c:strCache>
                <c:ptCount val="1"/>
                <c:pt idx="0">
                  <c:v>% Water coverage</c:v>
                </c:pt>
              </c:strCache>
            </c:strRef>
          </c:tx>
          <c:spPr>
            <a:solidFill>
              <a:schemeClr val="accent1"/>
            </a:solidFill>
            <a:ln>
              <a:noFill/>
            </a:ln>
            <a:effectLst/>
            <a:sp3d/>
          </c:spPr>
          <c:invertIfNegative val="0"/>
          <c:cat>
            <c:strRef>
              <c:f>'Situation Analysis'!$B$28:$B$40</c:f>
              <c:strCache>
                <c:ptCount val="12"/>
                <c:pt idx="0">
                  <c:v>Kyauk Phyu</c:v>
                </c:pt>
                <c:pt idx="1">
                  <c:v>Kyauk Taw</c:v>
                </c:pt>
                <c:pt idx="2">
                  <c:v>Minbya</c:v>
                </c:pt>
                <c:pt idx="3">
                  <c:v>Mrauk-U</c:v>
                </c:pt>
                <c:pt idx="4">
                  <c:v>Myebon</c:v>
                </c:pt>
                <c:pt idx="5">
                  <c:v>Pauktaw</c:v>
                </c:pt>
                <c:pt idx="6">
                  <c:v>Ramree</c:v>
                </c:pt>
                <c:pt idx="7">
                  <c:v>Rathedaung</c:v>
                </c:pt>
                <c:pt idx="8">
                  <c:v>Sittwe</c:v>
                </c:pt>
                <c:pt idx="9">
                  <c:v>Ponna Gyun</c:v>
                </c:pt>
                <c:pt idx="10">
                  <c:v>Buthidaung</c:v>
                </c:pt>
                <c:pt idx="11">
                  <c:v>Maungdaw</c:v>
                </c:pt>
              </c:strCache>
            </c:strRef>
          </c:cat>
          <c:val>
            <c:numRef>
              <c:f>'Situation Analysis'!$C$28:$C$40</c:f>
              <c:numCache>
                <c:formatCode>0%</c:formatCode>
                <c:ptCount val="12"/>
                <c:pt idx="0">
                  <c:v>0.98977115117891812</c:v>
                </c:pt>
                <c:pt idx="1">
                  <c:v>0</c:v>
                </c:pt>
                <c:pt idx="2">
                  <c:v>0.70732689210950084</c:v>
                </c:pt>
                <c:pt idx="3">
                  <c:v>0.6476879521862221</c:v>
                </c:pt>
                <c:pt idx="4">
                  <c:v>0.20605395016816527</c:v>
                </c:pt>
                <c:pt idx="5">
                  <c:v>0.63190244590117706</c:v>
                </c:pt>
                <c:pt idx="6">
                  <c:v>6.8283470827949513E-2</c:v>
                </c:pt>
                <c:pt idx="7">
                  <c:v>0.33970307578284237</c:v>
                </c:pt>
                <c:pt idx="8">
                  <c:v>1</c:v>
                </c:pt>
                <c:pt idx="9">
                  <c:v>9.9413460582562882E-2</c:v>
                </c:pt>
                <c:pt idx="10">
                  <c:v>0.31157623445340416</c:v>
                </c:pt>
                <c:pt idx="11">
                  <c:v>0.82740176073509408</c:v>
                </c:pt>
              </c:numCache>
            </c:numRef>
          </c:val>
        </c:ser>
        <c:ser>
          <c:idx val="1"/>
          <c:order val="1"/>
          <c:tx>
            <c:strRef>
              <c:f>'Situation Analysis'!$D$26:$D$27</c:f>
              <c:strCache>
                <c:ptCount val="1"/>
                <c:pt idx="0">
                  <c:v>% Latrine coverage</c:v>
                </c:pt>
              </c:strCache>
            </c:strRef>
          </c:tx>
          <c:spPr>
            <a:solidFill>
              <a:schemeClr val="accent2"/>
            </a:solidFill>
            <a:ln>
              <a:noFill/>
            </a:ln>
            <a:effectLst/>
            <a:sp3d/>
          </c:spPr>
          <c:invertIfNegative val="0"/>
          <c:cat>
            <c:strRef>
              <c:f>'Situation Analysis'!$B$28:$B$40</c:f>
              <c:strCache>
                <c:ptCount val="12"/>
                <c:pt idx="0">
                  <c:v>Kyauk Phyu</c:v>
                </c:pt>
                <c:pt idx="1">
                  <c:v>Kyauk Taw</c:v>
                </c:pt>
                <c:pt idx="2">
                  <c:v>Minbya</c:v>
                </c:pt>
                <c:pt idx="3">
                  <c:v>Mrauk-U</c:v>
                </c:pt>
                <c:pt idx="4">
                  <c:v>Myebon</c:v>
                </c:pt>
                <c:pt idx="5">
                  <c:v>Pauktaw</c:v>
                </c:pt>
                <c:pt idx="6">
                  <c:v>Ramree</c:v>
                </c:pt>
                <c:pt idx="7">
                  <c:v>Rathedaung</c:v>
                </c:pt>
                <c:pt idx="8">
                  <c:v>Sittwe</c:v>
                </c:pt>
                <c:pt idx="9">
                  <c:v>Ponna Gyun</c:v>
                </c:pt>
                <c:pt idx="10">
                  <c:v>Buthidaung</c:v>
                </c:pt>
                <c:pt idx="11">
                  <c:v>Maungdaw</c:v>
                </c:pt>
              </c:strCache>
            </c:strRef>
          </c:cat>
          <c:val>
            <c:numRef>
              <c:f>'Situation Analysis'!$D$28:$D$40</c:f>
              <c:numCache>
                <c:formatCode>0%</c:formatCode>
                <c:ptCount val="12"/>
                <c:pt idx="0">
                  <c:v>0.46601941747572817</c:v>
                </c:pt>
                <c:pt idx="1">
                  <c:v>9.942351412796363E-2</c:v>
                </c:pt>
                <c:pt idx="2">
                  <c:v>0.1878690284487386</c:v>
                </c:pt>
                <c:pt idx="3">
                  <c:v>9.0437244416483167E-2</c:v>
                </c:pt>
                <c:pt idx="4">
                  <c:v>0.20845631134600864</c:v>
                </c:pt>
                <c:pt idx="5">
                  <c:v>0.8147247480087404</c:v>
                </c:pt>
                <c:pt idx="6">
                  <c:v>3.0513865420932314E-2</c:v>
                </c:pt>
                <c:pt idx="7">
                  <c:v>0.15155642023346302</c:v>
                </c:pt>
                <c:pt idx="8">
                  <c:v>0.61656669182589807</c:v>
                </c:pt>
                <c:pt idx="9">
                  <c:v>0.1025946913212049</c:v>
                </c:pt>
                <c:pt idx="10">
                  <c:v>0.66932854325712166</c:v>
                </c:pt>
                <c:pt idx="11">
                  <c:v>0.42476322476322476</c:v>
                </c:pt>
              </c:numCache>
            </c:numRef>
          </c:val>
        </c:ser>
        <c:ser>
          <c:idx val="2"/>
          <c:order val="2"/>
          <c:tx>
            <c:strRef>
              <c:f>'Situation Analysis'!$E$26:$E$27</c:f>
              <c:strCache>
                <c:ptCount val="1"/>
                <c:pt idx="0">
                  <c:v>% Bathroom coverage</c:v>
                </c:pt>
              </c:strCache>
            </c:strRef>
          </c:tx>
          <c:spPr>
            <a:solidFill>
              <a:schemeClr val="accent3"/>
            </a:solidFill>
            <a:ln>
              <a:noFill/>
            </a:ln>
            <a:effectLst/>
            <a:sp3d/>
          </c:spPr>
          <c:invertIfNegative val="0"/>
          <c:cat>
            <c:strRef>
              <c:f>'Situation Analysis'!$B$28:$B$40</c:f>
              <c:strCache>
                <c:ptCount val="12"/>
                <c:pt idx="0">
                  <c:v>Kyauk Phyu</c:v>
                </c:pt>
                <c:pt idx="1">
                  <c:v>Kyauk Taw</c:v>
                </c:pt>
                <c:pt idx="2">
                  <c:v>Minbya</c:v>
                </c:pt>
                <c:pt idx="3">
                  <c:v>Mrauk-U</c:v>
                </c:pt>
                <c:pt idx="4">
                  <c:v>Myebon</c:v>
                </c:pt>
                <c:pt idx="5">
                  <c:v>Pauktaw</c:v>
                </c:pt>
                <c:pt idx="6">
                  <c:v>Ramree</c:v>
                </c:pt>
                <c:pt idx="7">
                  <c:v>Rathedaung</c:v>
                </c:pt>
                <c:pt idx="8">
                  <c:v>Sittwe</c:v>
                </c:pt>
                <c:pt idx="9">
                  <c:v>Ponna Gyun</c:v>
                </c:pt>
                <c:pt idx="10">
                  <c:v>Buthidaung</c:v>
                </c:pt>
                <c:pt idx="11">
                  <c:v>Maungdaw</c:v>
                </c:pt>
              </c:strCache>
            </c:strRef>
          </c:cat>
          <c:val>
            <c:numRef>
              <c:f>'Situation Analysis'!$E$28:$E$40</c:f>
              <c:numCache>
                <c:formatCode>0%</c:formatCode>
                <c:ptCount val="12"/>
                <c:pt idx="0">
                  <c:v>3.8834951456310678E-3</c:v>
                </c:pt>
                <c:pt idx="1">
                  <c:v>0</c:v>
                </c:pt>
                <c:pt idx="2">
                  <c:v>3.7573805689747712E-3</c:v>
                </c:pt>
                <c:pt idx="3">
                  <c:v>0</c:v>
                </c:pt>
                <c:pt idx="4">
                  <c:v>0.18519321847758938</c:v>
                </c:pt>
                <c:pt idx="5">
                  <c:v>8.8905335870867699E-2</c:v>
                </c:pt>
                <c:pt idx="6">
                  <c:v>4.4528376900904477E-3</c:v>
                </c:pt>
                <c:pt idx="7">
                  <c:v>3.1128404669260701E-2</c:v>
                </c:pt>
                <c:pt idx="8">
                  <c:v>0.21918722440710284</c:v>
                </c:pt>
                <c:pt idx="9">
                  <c:v>0</c:v>
                </c:pt>
                <c:pt idx="10">
                  <c:v>0</c:v>
                </c:pt>
                <c:pt idx="11">
                  <c:v>0</c:v>
                </c:pt>
              </c:numCache>
            </c:numRef>
          </c:val>
        </c:ser>
        <c:dLbls>
          <c:showLegendKey val="0"/>
          <c:showVal val="0"/>
          <c:showCatName val="0"/>
          <c:showSerName val="0"/>
          <c:showPercent val="0"/>
          <c:showBubbleSize val="0"/>
        </c:dLbls>
        <c:gapWidth val="150"/>
        <c:shape val="box"/>
        <c:axId val="227323104"/>
        <c:axId val="228347392"/>
        <c:axId val="0"/>
      </c:bar3DChart>
      <c:catAx>
        <c:axId val="227323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47392"/>
        <c:crosses val="autoZero"/>
        <c:auto val="1"/>
        <c:lblAlgn val="ctr"/>
        <c:lblOffset val="100"/>
        <c:noMultiLvlLbl val="0"/>
      </c:catAx>
      <c:valAx>
        <c:axId val="22834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23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Analysis!PivotTable13</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pop</a:t>
            </a:r>
            <a:r>
              <a:rPr lang="en-US" b="1" baseline="0"/>
              <a:t> receiveing monthly hygiene promotion per township</a:t>
            </a:r>
            <a:endParaRPr lang="en-US" b="1"/>
          </a:p>
        </c:rich>
      </c:tx>
      <c:layout>
        <c:manualLayout>
          <c:xMode val="edge"/>
          <c:yMode val="edge"/>
          <c:x val="0.21645712850299387"/>
          <c:y val="3.93926840582667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Analysis'!$C$406:$C$407</c:f>
              <c:strCache>
                <c:ptCount val="1"/>
                <c:pt idx="0">
                  <c:v>Total</c:v>
                </c:pt>
              </c:strCache>
            </c:strRef>
          </c:tx>
          <c:spPr>
            <a:solidFill>
              <a:schemeClr val="accent1"/>
            </a:solidFill>
            <a:ln>
              <a:noFill/>
            </a:ln>
            <a:effectLst/>
            <a:sp3d/>
          </c:spPr>
          <c:invertIfNegative val="0"/>
          <c:cat>
            <c:strRef>
              <c:f>'Situation Analysis'!$B$408:$B$416</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Analysis'!$C$408:$C$416</c:f>
              <c:numCache>
                <c:formatCode>0%</c:formatCode>
                <c:ptCount val="8"/>
                <c:pt idx="0">
                  <c:v>0.2081744105409154</c:v>
                </c:pt>
                <c:pt idx="1">
                  <c:v>0</c:v>
                </c:pt>
                <c:pt idx="2">
                  <c:v>0</c:v>
                </c:pt>
                <c:pt idx="3">
                  <c:v>0.30371922472498691</c:v>
                </c:pt>
                <c:pt idx="4">
                  <c:v>0.49636381308345812</c:v>
                </c:pt>
                <c:pt idx="5">
                  <c:v>1.393996620614253E-2</c:v>
                </c:pt>
                <c:pt idx="6">
                  <c:v>0.23631840250587313</c:v>
                </c:pt>
                <c:pt idx="7">
                  <c:v>0.68289572418006383</c:v>
                </c:pt>
              </c:numCache>
            </c:numRef>
          </c:val>
        </c:ser>
        <c:dLbls>
          <c:showLegendKey val="0"/>
          <c:showVal val="0"/>
          <c:showCatName val="0"/>
          <c:showSerName val="0"/>
          <c:showPercent val="0"/>
          <c:showBubbleSize val="0"/>
        </c:dLbls>
        <c:gapWidth val="150"/>
        <c:shape val="box"/>
        <c:axId val="228348176"/>
        <c:axId val="228348568"/>
        <c:axId val="0"/>
      </c:bar3DChart>
      <c:catAx>
        <c:axId val="2283481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48568"/>
        <c:crosses val="autoZero"/>
        <c:auto val="1"/>
        <c:lblAlgn val="ctr"/>
        <c:lblOffset val="100"/>
        <c:noMultiLvlLbl val="0"/>
      </c:catAx>
      <c:valAx>
        <c:axId val="228348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4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Analysis!PivotTable22</c:name>
    <c:fmtId val="44"/>
  </c:pivotSource>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en-US" b="1"/>
              <a:t>Repartition beneficiary typology</a:t>
            </a:r>
          </a:p>
        </c:rich>
      </c:tx>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dLbl>
          <c:idx val="0"/>
          <c:layout>
            <c:manualLayout>
              <c:x val="6.776048271126206E-2"/>
              <c:y val="4.0480647115140406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
        <c:idx val="50"/>
        <c:spPr>
          <a:solidFill>
            <a:schemeClr val="accent1"/>
          </a:solidFill>
          <a:ln w="25400">
            <a:solidFill>
              <a:schemeClr val="lt1"/>
            </a:solidFill>
          </a:ln>
          <a:effectLst/>
          <a:sp3d contourW="25400">
            <a:contourClr>
              <a:schemeClr val="lt1"/>
            </a:contourClr>
          </a:sp3d>
        </c:spPr>
      </c:pivotFmt>
      <c:pivotFmt>
        <c:idx val="51"/>
        <c:spPr>
          <a:solidFill>
            <a:schemeClr val="accent1"/>
          </a:solidFill>
          <a:ln w="25400">
            <a:solidFill>
              <a:schemeClr val="lt1"/>
            </a:solidFill>
          </a:ln>
          <a:effectLst/>
          <a:sp3d contourW="25400">
            <a:contourClr>
              <a:schemeClr val="lt1"/>
            </a:contourClr>
          </a:sp3d>
        </c:spPr>
      </c:pivotFmt>
      <c:pivotFmt>
        <c:idx val="52"/>
        <c:spPr>
          <a:solidFill>
            <a:schemeClr val="accent1"/>
          </a:solidFill>
          <a:ln w="25400">
            <a:solidFill>
              <a:schemeClr val="lt1"/>
            </a:solidFill>
          </a:ln>
          <a:effectLst/>
          <a:sp3d contourW="25400">
            <a:contourClr>
              <a:schemeClr val="lt1"/>
            </a:contourClr>
          </a:sp3d>
        </c:spPr>
      </c:pivotFmt>
      <c:pivotFmt>
        <c:idx val="53"/>
        <c:spPr>
          <a:solidFill>
            <a:schemeClr val="accent1"/>
          </a:solidFill>
          <a:ln w="25400">
            <a:solidFill>
              <a:schemeClr val="lt1"/>
            </a:solidFill>
          </a:ln>
          <a:effectLst/>
          <a:sp3d contourW="25400">
            <a:contourClr>
              <a:schemeClr val="lt1"/>
            </a:contourClr>
          </a:sp3d>
        </c:spPr>
      </c:pivotFmt>
      <c:pivotFmt>
        <c:idx val="5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5400">
            <a:solidFill>
              <a:schemeClr val="lt1"/>
            </a:solidFill>
          </a:ln>
          <a:effectLst/>
          <a:sp3d contourW="25400">
            <a:contourClr>
              <a:schemeClr val="lt1"/>
            </a:contourClr>
          </a:sp3d>
        </c:spPr>
        <c:marker>
          <c:symbol val="none"/>
        </c:marker>
      </c:pivotFmt>
      <c:pivotFmt>
        <c:idx val="5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5400">
            <a:solidFill>
              <a:schemeClr val="lt1"/>
            </a:solidFill>
          </a:ln>
          <a:effectLst/>
          <a:sp3d contourW="25400">
            <a:contourClr>
              <a:schemeClr val="lt1"/>
            </a:contourClr>
          </a:sp3d>
        </c:spPr>
        <c:marker>
          <c:symbol val="none"/>
        </c:marker>
      </c:pivotFmt>
      <c:pivotFmt>
        <c:idx val="59"/>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5400">
            <a:solidFill>
              <a:schemeClr val="lt1"/>
            </a:solidFill>
          </a:ln>
          <a:effectLst/>
          <a:sp3d contourW="25400">
            <a:contourClr>
              <a:schemeClr val="lt1"/>
            </a:contourClr>
          </a:sp3d>
        </c:spPr>
        <c:marker>
          <c:symbol val="none"/>
        </c:marker>
      </c:pivotFmt>
      <c:pivotFmt>
        <c:idx val="68"/>
        <c:spPr>
          <a:solidFill>
            <a:schemeClr val="accent1"/>
          </a:solidFill>
          <a:ln w="25400">
            <a:solidFill>
              <a:schemeClr val="lt1"/>
            </a:solidFill>
          </a:ln>
          <a:effectLst/>
          <a:sp3d contourW="25400">
            <a:contourClr>
              <a:schemeClr val="lt1"/>
            </a:contourClr>
          </a:sp3d>
        </c:spPr>
      </c:pivotFmt>
      <c:pivotFmt>
        <c:idx val="69"/>
        <c:spPr>
          <a:solidFill>
            <a:schemeClr val="accent1"/>
          </a:solidFill>
          <a:ln w="25400">
            <a:solidFill>
              <a:schemeClr val="lt1"/>
            </a:solidFill>
          </a:ln>
          <a:effectLst/>
          <a:sp3d contourW="25400">
            <a:contourClr>
              <a:schemeClr val="lt1"/>
            </a:contourClr>
          </a:sp3d>
        </c:spPr>
      </c:pivotFmt>
      <c:pivotFmt>
        <c:idx val="70"/>
        <c:spPr>
          <a:solidFill>
            <a:schemeClr val="accent1"/>
          </a:solidFill>
          <a:ln w="25400">
            <a:solidFill>
              <a:schemeClr val="lt1"/>
            </a:solidFill>
          </a:ln>
          <a:effectLst/>
          <a:sp3d contourW="25400">
            <a:contourClr>
              <a:schemeClr val="lt1"/>
            </a:contourClr>
          </a:sp3d>
        </c:spPr>
      </c:pivotFmt>
      <c:pivotFmt>
        <c:idx val="71"/>
        <c:spPr>
          <a:solidFill>
            <a:schemeClr val="accent1"/>
          </a:solidFill>
          <a:ln w="25400">
            <a:solidFill>
              <a:schemeClr val="lt1"/>
            </a:solidFill>
          </a:ln>
          <a:effectLst/>
          <a:sp3d contourW="25400">
            <a:contourClr>
              <a:schemeClr val="lt1"/>
            </a:contourClr>
          </a:sp3d>
        </c:spPr>
      </c:pivotFmt>
      <c:pivotFmt>
        <c:idx val="72"/>
        <c:spPr>
          <a:solidFill>
            <a:schemeClr val="accent1"/>
          </a:solidFill>
          <a:ln w="25400">
            <a:solidFill>
              <a:schemeClr val="lt1"/>
            </a:solidFill>
          </a:ln>
          <a:effectLst/>
          <a:sp3d contourW="25400">
            <a:contourClr>
              <a:schemeClr val="lt1"/>
            </a:contourClr>
          </a:sp3d>
        </c:spPr>
      </c:pivotFmt>
      <c:pivotFmt>
        <c:idx val="73"/>
        <c:spPr>
          <a:solidFill>
            <a:schemeClr val="accent1"/>
          </a:solidFill>
          <a:ln w="25400">
            <a:solidFill>
              <a:schemeClr val="lt1"/>
            </a:solidFill>
          </a:ln>
          <a:effectLst/>
          <a:sp3d contourW="25400">
            <a:contourClr>
              <a:schemeClr val="lt1"/>
            </a:contourClr>
          </a:sp3d>
        </c:spPr>
      </c:pivotFmt>
      <c:pivotFmt>
        <c:idx val="74"/>
        <c:spPr>
          <a:solidFill>
            <a:schemeClr val="accent1"/>
          </a:solidFill>
          <a:ln w="25400">
            <a:solidFill>
              <a:schemeClr val="lt1"/>
            </a:solidFill>
          </a:ln>
          <a:effectLst/>
          <a:sp3d contourW="25400">
            <a:contourClr>
              <a:schemeClr val="lt1"/>
            </a:contourClr>
          </a:sp3d>
        </c:spPr>
      </c:pivotFmt>
      <c:pivotFmt>
        <c:idx val="7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928901361937401E-2"/>
          <c:y val="0.29492678744669815"/>
          <c:w val="0.52393683787270806"/>
          <c:h val="0.64669017724135835"/>
        </c:manualLayout>
      </c:layout>
      <c:pie3DChart>
        <c:varyColors val="1"/>
        <c:ser>
          <c:idx val="0"/>
          <c:order val="0"/>
          <c:tx>
            <c:strRef>
              <c:f>'Situation Analysis'!$C$789:$C$790</c:f>
              <c:strCache>
                <c:ptCount val="1"/>
                <c:pt idx="0">
                  <c:v>% of pop</c:v>
                </c:pt>
              </c:strCache>
            </c:strRef>
          </c:tx>
          <c:explosion val="8"/>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Analysis'!$C$791:$C$795</c:f>
              <c:numCache>
                <c:formatCode>0%</c:formatCode>
                <c:ptCount val="4"/>
                <c:pt idx="0">
                  <c:v>0.52683226137738359</c:v>
                </c:pt>
                <c:pt idx="1">
                  <c:v>0.17818257774219096</c:v>
                </c:pt>
                <c:pt idx="2">
                  <c:v>7.6066806499621401E-2</c:v>
                </c:pt>
                <c:pt idx="3">
                  <c:v>0.21891835438080401</c:v>
                </c:pt>
              </c:numCache>
            </c:numRef>
          </c:val>
        </c:ser>
        <c:ser>
          <c:idx val="1"/>
          <c:order val="1"/>
          <c:tx>
            <c:strRef>
              <c:f>'Situation Analysis'!$D$789:$D$790</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elete val="1"/>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Analysis'!$D$791:$D$795</c:f>
              <c:numCache>
                <c:formatCode>0</c:formatCode>
                <c:ptCount val="4"/>
                <c:pt idx="0">
                  <c:v>30</c:v>
                </c:pt>
                <c:pt idx="1">
                  <c:v>51</c:v>
                </c:pt>
                <c:pt idx="2">
                  <c:v>12</c:v>
                </c:pt>
                <c:pt idx="3">
                  <c:v>6</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6498854249952422"/>
          <c:y val="0.27330142044899475"/>
          <c:w val="0.32219376941945449"/>
          <c:h val="0.523012836794904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Analysis!PivotTable1</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a:t>
            </a:r>
            <a:r>
              <a:rPr lang="en-US" b="1" baseline="0"/>
              <a:t> locations  per typology</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Analysis'!$C$802</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Analysis'!$B$803:$B$807</c:f>
              <c:strCache>
                <c:ptCount val="4"/>
                <c:pt idx="0">
                  <c:v>Camp with IDPs</c:v>
                </c:pt>
                <c:pt idx="1">
                  <c:v>Surrounding community</c:v>
                </c:pt>
                <c:pt idx="2">
                  <c:v>Village with affected HH</c:v>
                </c:pt>
                <c:pt idx="3">
                  <c:v>Village with IDPs</c:v>
                </c:pt>
              </c:strCache>
            </c:strRef>
          </c:cat>
          <c:val>
            <c:numRef>
              <c:f>'Situation Analysis'!$C$803:$C$807</c:f>
              <c:numCache>
                <c:formatCode>General</c:formatCode>
                <c:ptCount val="4"/>
                <c:pt idx="0">
                  <c:v>30</c:v>
                </c:pt>
                <c:pt idx="1">
                  <c:v>51</c:v>
                </c:pt>
                <c:pt idx="2">
                  <c:v>12</c:v>
                </c:pt>
                <c:pt idx="3">
                  <c:v>6</c:v>
                </c:pt>
              </c:numCache>
            </c:numRef>
          </c:val>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Analysis!PivotTable22</c:name>
    <c:fmtId val="13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Share of beneficiaries per typology of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Analysis'!$C$789:$C$790</c:f>
              <c:strCache>
                <c:ptCount val="1"/>
                <c:pt idx="0">
                  <c:v>% of pop</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Analysis'!$C$791:$C$795</c:f>
              <c:numCache>
                <c:formatCode>0%</c:formatCode>
                <c:ptCount val="4"/>
                <c:pt idx="0">
                  <c:v>0.52683226137738359</c:v>
                </c:pt>
                <c:pt idx="1">
                  <c:v>0.17818257774219096</c:v>
                </c:pt>
                <c:pt idx="2">
                  <c:v>7.6066806499621401E-2</c:v>
                </c:pt>
                <c:pt idx="3">
                  <c:v>0.21891835438080401</c:v>
                </c:pt>
              </c:numCache>
            </c:numRef>
          </c:val>
        </c:ser>
        <c:ser>
          <c:idx val="1"/>
          <c:order val="1"/>
          <c:tx>
            <c:strRef>
              <c:f>'Situation Analysis'!$D$789:$D$790</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Analysis'!$D$791:$D$795</c:f>
              <c:numCache>
                <c:formatCode>0</c:formatCode>
                <c:ptCount val="4"/>
                <c:pt idx="0">
                  <c:v>30</c:v>
                </c:pt>
                <c:pt idx="1">
                  <c:v>51</c:v>
                </c:pt>
                <c:pt idx="2">
                  <c:v>12</c:v>
                </c:pt>
                <c:pt idx="3">
                  <c:v>6</c:v>
                </c:pt>
              </c:numCache>
            </c:numRef>
          </c:val>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Analysis!PivotTable23</c:name>
    <c:fmtId val="7"/>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 population covered by HHWTS</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Analysis'!$C$195</c:f>
              <c:strCache>
                <c:ptCount val="1"/>
                <c:pt idx="0">
                  <c:v>Total</c:v>
                </c:pt>
              </c:strCache>
            </c:strRef>
          </c:tx>
          <c:spPr>
            <a:solidFill>
              <a:schemeClr val="accent1"/>
            </a:solidFill>
            <a:ln>
              <a:noFill/>
            </a:ln>
            <a:effectLst/>
            <a:sp3d/>
          </c:spPr>
          <c:invertIfNegative val="0"/>
          <c:cat>
            <c:strRef>
              <c:f>'Situation Analysis'!$B$196:$B$201</c:f>
              <c:strCache>
                <c:ptCount val="5"/>
                <c:pt idx="0">
                  <c:v>Camp with IDPs</c:v>
                </c:pt>
                <c:pt idx="1">
                  <c:v>Surrounding community</c:v>
                </c:pt>
                <c:pt idx="2">
                  <c:v>Village (development)</c:v>
                </c:pt>
                <c:pt idx="3">
                  <c:v>Village with affected HH</c:v>
                </c:pt>
                <c:pt idx="4">
                  <c:v>Village with IDPs</c:v>
                </c:pt>
              </c:strCache>
            </c:strRef>
          </c:cat>
          <c:val>
            <c:numRef>
              <c:f>'Situation Analysis'!$C$196:$C$201</c:f>
              <c:numCache>
                <c:formatCode>0%</c:formatCode>
                <c:ptCount val="5"/>
                <c:pt idx="0">
                  <c:v>0.33048335613315094</c:v>
                </c:pt>
                <c:pt idx="1">
                  <c:v>1.7749092375958047E-2</c:v>
                </c:pt>
                <c:pt idx="2">
                  <c:v>0</c:v>
                </c:pt>
                <c:pt idx="3">
                  <c:v>0</c:v>
                </c:pt>
                <c:pt idx="4">
                  <c:v>0</c:v>
                </c:pt>
              </c:numCache>
            </c:numRef>
          </c:val>
        </c:ser>
        <c:dLbls>
          <c:showLegendKey val="0"/>
          <c:showVal val="0"/>
          <c:showCatName val="0"/>
          <c:showSerName val="0"/>
          <c:showPercent val="0"/>
          <c:showBubbleSize val="0"/>
        </c:dLbls>
        <c:gapWidth val="150"/>
        <c:shape val="box"/>
        <c:axId val="228350136"/>
        <c:axId val="228350528"/>
        <c:axId val="0"/>
      </c:bar3DChart>
      <c:catAx>
        <c:axId val="228350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0528"/>
        <c:crosses val="autoZero"/>
        <c:auto val="1"/>
        <c:lblAlgn val="ctr"/>
        <c:lblOffset val="100"/>
        <c:noMultiLvlLbl val="0"/>
      </c:catAx>
      <c:valAx>
        <c:axId val="22835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Analysis!PivotTable29</c:name>
    <c:fmtId val="72"/>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targetted</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lt1"/>
        </a:solidFill>
        <a:ln>
          <a:noFill/>
        </a:ln>
        <a:effectLst/>
        <a:sp3d/>
      </c:spPr>
    </c:floor>
    <c:sideWall>
      <c:thickness val="0"/>
      <c:spPr>
        <a:solidFill>
          <a:schemeClr val="lt1"/>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Analysis'!$C$747:$C$748</c:f>
              <c:strCache>
                <c:ptCount val="1"/>
                <c:pt idx="0">
                  <c:v>Camp</c:v>
                </c:pt>
              </c:strCache>
            </c:strRef>
          </c:tx>
          <c:spPr>
            <a:solidFill>
              <a:schemeClr val="accent1"/>
            </a:solidFill>
            <a:ln>
              <a:noFill/>
            </a:ln>
            <a:effectLst/>
            <a:sp3d/>
          </c:spPr>
          <c:invertIfNegative val="0"/>
          <c:cat>
            <c:strRef>
              <c:f>'Situation Analysis'!$B$749:$B$757</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Analysis'!$C$749:$C$757</c:f>
              <c:numCache>
                <c:formatCode>#,##0</c:formatCode>
                <c:ptCount val="8"/>
                <c:pt idx="0">
                  <c:v>1601</c:v>
                </c:pt>
                <c:pt idx="3">
                  <c:v>2899</c:v>
                </c:pt>
                <c:pt idx="4">
                  <c:v>19372</c:v>
                </c:pt>
                <c:pt idx="5">
                  <c:v>187</c:v>
                </c:pt>
                <c:pt idx="6">
                  <c:v>3425</c:v>
                </c:pt>
                <c:pt idx="7">
                  <c:v>93703</c:v>
                </c:pt>
              </c:numCache>
            </c:numRef>
          </c:val>
        </c:ser>
        <c:ser>
          <c:idx val="1"/>
          <c:order val="1"/>
          <c:tx>
            <c:strRef>
              <c:f>'Situation Analysis'!$D$747:$D$748</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'Situation Analysis'!$B$749:$B$757</c:f>
              <c:strCache>
                <c:ptCount val="8"/>
                <c:pt idx="0">
                  <c:v>Kyauk Phyu</c:v>
                </c:pt>
                <c:pt idx="1">
                  <c:v>Kyauk Taw</c:v>
                </c:pt>
                <c:pt idx="2">
                  <c:v>Mrauk-U</c:v>
                </c:pt>
                <c:pt idx="3">
                  <c:v>Myebon</c:v>
                </c:pt>
                <c:pt idx="4">
                  <c:v>Pauktaw</c:v>
                </c:pt>
                <c:pt idx="5">
                  <c:v>Ramree</c:v>
                </c:pt>
                <c:pt idx="6">
                  <c:v>Rathedaung</c:v>
                </c:pt>
                <c:pt idx="7">
                  <c:v>Sittwe</c:v>
                </c:pt>
              </c:strCache>
            </c:strRef>
          </c:cat>
          <c:val>
            <c:numRef>
              <c:f>'Situation Analysis'!$D$749:$D$757</c:f>
              <c:numCache>
                <c:formatCode>#,##0</c:formatCode>
                <c:ptCount val="8"/>
                <c:pt idx="0">
                  <c:v>4167</c:v>
                </c:pt>
                <c:pt idx="1">
                  <c:v>24632</c:v>
                </c:pt>
                <c:pt idx="2">
                  <c:v>308</c:v>
                </c:pt>
                <c:pt idx="3">
                  <c:v>6646</c:v>
                </c:pt>
                <c:pt idx="4">
                  <c:v>9002</c:v>
                </c:pt>
                <c:pt idx="5">
                  <c:v>9874</c:v>
                </c:pt>
                <c:pt idx="6">
                  <c:v>22115</c:v>
                </c:pt>
                <c:pt idx="7">
                  <c:v>56888</c:v>
                </c:pt>
              </c:numCache>
            </c:numRef>
          </c:val>
        </c:ser>
        <c:dLbls>
          <c:showLegendKey val="0"/>
          <c:showVal val="0"/>
          <c:showCatName val="0"/>
          <c:showSerName val="0"/>
          <c:showPercent val="0"/>
          <c:showBubbleSize val="0"/>
        </c:dLbls>
        <c:gapWidth val="150"/>
        <c:shape val="box"/>
        <c:axId val="228351312"/>
        <c:axId val="228351704"/>
        <c:axId val="0"/>
      </c:bar3DChart>
      <c:catAx>
        <c:axId val="228351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1704"/>
        <c:crosses val="autoZero"/>
        <c:auto val="1"/>
        <c:lblAlgn val="ctr"/>
        <c:lblOffset val="100"/>
        <c:noMultiLvlLbl val="0"/>
      </c:catAx>
      <c:valAx>
        <c:axId val="228351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Analysis!PivotTable30</c:name>
    <c:fmtId val="80"/>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covered</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Analysis'!$C$769:$C$770</c:f>
              <c:strCache>
                <c:ptCount val="1"/>
                <c:pt idx="0">
                  <c:v>Covered</c:v>
                </c:pt>
              </c:strCache>
            </c:strRef>
          </c:tx>
          <c:spPr>
            <a:solidFill>
              <a:schemeClr val="accent1"/>
            </a:solidFill>
            <a:ln>
              <a:noFill/>
            </a:ln>
            <a:effectLst/>
            <a:sp3d/>
          </c:spPr>
          <c:invertIfNegative val="0"/>
          <c:cat>
            <c:strRef>
              <c:f>'Situation Analysis'!$B$771:$B$775</c:f>
              <c:strCache>
                <c:ptCount val="4"/>
                <c:pt idx="0">
                  <c:v>Surrounding community</c:v>
                </c:pt>
                <c:pt idx="1">
                  <c:v>Village with affected HH</c:v>
                </c:pt>
                <c:pt idx="2">
                  <c:v>Camp with IDPs</c:v>
                </c:pt>
                <c:pt idx="3">
                  <c:v>Village with IDPs</c:v>
                </c:pt>
              </c:strCache>
            </c:strRef>
          </c:cat>
          <c:val>
            <c:numRef>
              <c:f>'Situation Analysis'!$C$771:$C$775</c:f>
              <c:numCache>
                <c:formatCode>#,##0</c:formatCode>
                <c:ptCount val="4"/>
                <c:pt idx="0">
                  <c:v>40946</c:v>
                </c:pt>
                <c:pt idx="1">
                  <c:v>17480</c:v>
                </c:pt>
                <c:pt idx="2">
                  <c:v>121065</c:v>
                </c:pt>
                <c:pt idx="3">
                  <c:v>50307</c:v>
                </c:pt>
              </c:numCache>
            </c:numRef>
          </c:val>
        </c:ser>
        <c:ser>
          <c:idx val="1"/>
          <c:order val="1"/>
          <c:tx>
            <c:strRef>
              <c:f>'Situation Analysis'!$D$769:$D$770</c:f>
              <c:strCache>
                <c:ptCount val="1"/>
                <c:pt idx="0">
                  <c:v>Not Covered</c:v>
                </c:pt>
              </c:strCache>
            </c:strRef>
          </c:tx>
          <c:spPr>
            <a:solidFill>
              <a:schemeClr val="accent2"/>
            </a:solidFill>
            <a:ln>
              <a:noFill/>
            </a:ln>
            <a:effectLst/>
            <a:sp3d/>
          </c:spPr>
          <c:invertIfNegative val="0"/>
          <c:cat>
            <c:strRef>
              <c:f>'Situation Analysis'!$B$771:$B$775</c:f>
              <c:strCache>
                <c:ptCount val="4"/>
                <c:pt idx="0">
                  <c:v>Surrounding community</c:v>
                </c:pt>
                <c:pt idx="1">
                  <c:v>Village with affected HH</c:v>
                </c:pt>
                <c:pt idx="2">
                  <c:v>Camp with IDPs</c:v>
                </c:pt>
                <c:pt idx="3">
                  <c:v>Village with IDPs</c:v>
                </c:pt>
              </c:strCache>
            </c:strRef>
          </c:cat>
          <c:val>
            <c:numRef>
              <c:f>'Situation Analysis'!$D$771:$D$775</c:f>
              <c:numCache>
                <c:formatCode>#,##0</c:formatCode>
                <c:ptCount val="4"/>
                <c:pt idx="0">
                  <c:v>20610</c:v>
                </c:pt>
                <c:pt idx="1">
                  <c:v>4289</c:v>
                </c:pt>
                <c:pt idx="2">
                  <c:v>122</c:v>
                </c:pt>
              </c:numCache>
            </c:numRef>
          </c:val>
        </c:ser>
        <c:dLbls>
          <c:showLegendKey val="0"/>
          <c:showVal val="0"/>
          <c:showCatName val="0"/>
          <c:showSerName val="0"/>
          <c:showPercent val="0"/>
          <c:showBubbleSize val="0"/>
        </c:dLbls>
        <c:gapWidth val="150"/>
        <c:shape val="box"/>
        <c:axId val="228352488"/>
        <c:axId val="228352880"/>
        <c:axId val="0"/>
      </c:bar3DChart>
      <c:catAx>
        <c:axId val="228352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2880"/>
        <c:crosses val="autoZero"/>
        <c:auto val="1"/>
        <c:lblAlgn val="ctr"/>
        <c:lblOffset val="100"/>
        <c:noMultiLvlLbl val="0"/>
      </c:catAx>
      <c:valAx>
        <c:axId val="2283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2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Analysis!PivotTable50</c:name>
    <c:fmtId val="15"/>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Need covered per location</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Analysis'!$C$44:$C$45</c:f>
              <c:strCache>
                <c:ptCount val="1"/>
                <c:pt idx="0">
                  <c:v>Water coverage %</c:v>
                </c:pt>
              </c:strCache>
            </c:strRef>
          </c:tx>
          <c:spPr>
            <a:solidFill>
              <a:schemeClr val="accent1"/>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Analysis'!$C$46:$C$57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'Situation Analysis'!$D$44:$D$45</c:f>
              <c:strCache>
                <c:ptCount val="1"/>
                <c:pt idx="0">
                  <c:v>Latrine coverage %</c:v>
                </c:pt>
              </c:strCache>
            </c:strRef>
          </c:tx>
          <c:spPr>
            <a:solidFill>
              <a:schemeClr val="accent2"/>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Analysis'!$D$46:$D$57</c:f>
              <c:numCache>
                <c:formatCode>0%</c:formatCode>
                <c:ptCount val="11"/>
                <c:pt idx="0">
                  <c:v>0.17204301075268819</c:v>
                </c:pt>
                <c:pt idx="1">
                  <c:v>8.43585237258348E-2</c:v>
                </c:pt>
                <c:pt idx="2">
                  <c:v>0.14566929133858267</c:v>
                </c:pt>
                <c:pt idx="3">
                  <c:v>0.23400936037441497</c:v>
                </c:pt>
                <c:pt idx="4">
                  <c:v>6.3104753891459822E-2</c:v>
                </c:pt>
                <c:pt idx="5">
                  <c:v>0.11392405063291139</c:v>
                </c:pt>
                <c:pt idx="6">
                  <c:v>0.122568093385214</c:v>
                </c:pt>
                <c:pt idx="7">
                  <c:v>0.32653061224489793</c:v>
                </c:pt>
                <c:pt idx="8">
                  <c:v>0</c:v>
                </c:pt>
                <c:pt idx="9">
                  <c:v>7.7195239626889674E-3</c:v>
                </c:pt>
                <c:pt idx="10">
                  <c:v>0</c:v>
                </c:pt>
              </c:numCache>
            </c:numRef>
          </c:val>
        </c:ser>
        <c:ser>
          <c:idx val="2"/>
          <c:order val="2"/>
          <c:tx>
            <c:strRef>
              <c:f>'Situation Analysis'!$E$44:$E$45</c:f>
              <c:strCache>
                <c:ptCount val="1"/>
                <c:pt idx="0">
                  <c:v>Bathroom coverage %</c:v>
                </c:pt>
              </c:strCache>
            </c:strRef>
          </c:tx>
          <c:spPr>
            <a:solidFill>
              <a:schemeClr val="accent3"/>
            </a:solidFill>
            <a:ln>
              <a:noFill/>
            </a:ln>
            <a:effectLst/>
            <a:sp3d/>
          </c:spPr>
          <c:invertIfNegative val="0"/>
          <c:cat>
            <c:strRef>
              <c:f>'Situation Analysis'!$B$46:$B$57</c:f>
              <c:strCache>
                <c:ptCount val="11"/>
                <c:pt idx="0">
                  <c:v>Ah Pauk Wa</c:v>
                </c:pt>
                <c:pt idx="1">
                  <c:v>Goke Pi Htaunt</c:v>
                </c:pt>
                <c:pt idx="2">
                  <c:v>Im Bar Yi</c:v>
                </c:pt>
                <c:pt idx="3">
                  <c:v>Khaung Htoke</c:v>
                </c:pt>
                <c:pt idx="4">
                  <c:v>Let Saung Kauk</c:v>
                </c:pt>
                <c:pt idx="5">
                  <c:v>Ni Din</c:v>
                </c:pt>
                <c:pt idx="6">
                  <c:v>Shwe Hlaing</c:v>
                </c:pt>
                <c:pt idx="7">
                  <c:v>Yun Nyar</c:v>
                </c:pt>
                <c:pt idx="8">
                  <c:v>Ah Lel</c:v>
                </c:pt>
                <c:pt idx="9">
                  <c:v>Ah Lel Kyun</c:v>
                </c:pt>
                <c:pt idx="10">
                  <c:v>Taung Bwe</c:v>
                </c:pt>
              </c:strCache>
            </c:strRef>
          </c:cat>
          <c:val>
            <c:numRef>
              <c:f>'Situation Analysis'!$E$46:$E$57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shape val="box"/>
        <c:axId val="228353664"/>
        <c:axId val="228354056"/>
        <c:axId val="0"/>
      </c:bar3DChart>
      <c:catAx>
        <c:axId val="228353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4056"/>
        <c:crosses val="autoZero"/>
        <c:auto val="1"/>
        <c:lblAlgn val="ctr"/>
        <c:lblOffset val="100"/>
        <c:noMultiLvlLbl val="0"/>
      </c:catAx>
      <c:valAx>
        <c:axId val="22835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Wash_Matrix_Rakhine_Master.xlsx]Situation Analysis!PivotTable2</c:name>
    <c:fmtId val="72"/>
  </c:pivotSource>
  <c:chart>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'Situation Analysis'!$C$312:$C$313</c:f>
              <c:strCache>
                <c:ptCount val="1"/>
                <c:pt idx="0">
                  <c:v>No</c:v>
                </c:pt>
              </c:strCache>
            </c:strRef>
          </c:tx>
          <c:spPr>
            <a:solidFill>
              <a:schemeClr val="accent1"/>
            </a:solidFill>
            <a:ln>
              <a:noFill/>
            </a:ln>
            <a:effectLst/>
            <a:sp3d/>
          </c:spPr>
          <c:invertIfNegative val="0"/>
          <c:cat>
            <c:strRef>
              <c:f>'Situation Analysis'!$B$314:$B$320</c:f>
              <c:strCache>
                <c:ptCount val="6"/>
                <c:pt idx="0">
                  <c:v>Kyauk Phyu</c:v>
                </c:pt>
                <c:pt idx="1">
                  <c:v>Myebon</c:v>
                </c:pt>
                <c:pt idx="2">
                  <c:v>Pauktaw</c:v>
                </c:pt>
                <c:pt idx="3">
                  <c:v>Ramree</c:v>
                </c:pt>
                <c:pt idx="4">
                  <c:v>Rathedaung</c:v>
                </c:pt>
                <c:pt idx="5">
                  <c:v>Sittwe</c:v>
                </c:pt>
              </c:strCache>
            </c:strRef>
          </c:cat>
          <c:val>
            <c:numRef>
              <c:f>'Situation Analysis'!$C$314:$C$320</c:f>
              <c:numCache>
                <c:formatCode>0%</c:formatCode>
                <c:ptCount val="6"/>
                <c:pt idx="0">
                  <c:v>1</c:v>
                </c:pt>
                <c:pt idx="1">
                  <c:v>0</c:v>
                </c:pt>
                <c:pt idx="2">
                  <c:v>0.8750649350649351</c:v>
                </c:pt>
                <c:pt idx="3">
                  <c:v>1</c:v>
                </c:pt>
                <c:pt idx="4">
                  <c:v>1</c:v>
                </c:pt>
                <c:pt idx="5">
                  <c:v>0.39526572899249207</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Analysis'!$B$314:$B$320</c:f>
              <c:strCache>
                <c:ptCount val="6"/>
                <c:pt idx="0">
                  <c:v>Kyauk Phyu</c:v>
                </c:pt>
                <c:pt idx="1">
                  <c:v>Myebon</c:v>
                </c:pt>
                <c:pt idx="2">
                  <c:v>Pauktaw</c:v>
                </c:pt>
                <c:pt idx="3">
                  <c:v>Ramree</c:v>
                </c:pt>
                <c:pt idx="4">
                  <c:v>Rathedaung</c:v>
                </c:pt>
                <c:pt idx="5">
                  <c:v>Sittwe</c:v>
                </c:pt>
              </c:strCache>
            </c:strRef>
          </c:cat>
          <c:val>
            <c:numRef>
              <c:f>'Situation Analysis'!$D$314:$D$320</c:f>
              <c:numCache>
                <c:formatCode>0%</c:formatCode>
                <c:ptCount val="6"/>
                <c:pt idx="0">
                  <c:v>0</c:v>
                </c:pt>
                <c:pt idx="1">
                  <c:v>1</c:v>
                </c:pt>
                <c:pt idx="2">
                  <c:v>0.12493506493506494</c:v>
                </c:pt>
                <c:pt idx="3">
                  <c:v>0</c:v>
                </c:pt>
                <c:pt idx="4">
                  <c:v>0</c:v>
                </c:pt>
                <c:pt idx="5">
                  <c:v>0.60473427100750798</c:v>
                </c:pt>
              </c:numCache>
            </c:numRef>
          </c:val>
        </c:ser>
        <c:dLbls>
          <c:showLegendKey val="0"/>
          <c:showVal val="0"/>
          <c:showCatName val="0"/>
          <c:showSerName val="0"/>
          <c:showPercent val="0"/>
          <c:showBubbleSize val="0"/>
        </c:dLbls>
        <c:gapWidth val="150"/>
        <c:shape val="box"/>
        <c:axId val="228354840"/>
        <c:axId val="228719504"/>
        <c:axId val="0"/>
      </c:bar3DChart>
      <c:catAx>
        <c:axId val="228354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719504"/>
        <c:crosses val="autoZero"/>
        <c:auto val="1"/>
        <c:lblAlgn val="ctr"/>
        <c:lblOffset val="100"/>
        <c:noMultiLvlLbl val="0"/>
      </c:catAx>
      <c:valAx>
        <c:axId val="22871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354840"/>
        <c:crosses val="autoZero"/>
        <c:crossBetween val="between"/>
      </c:valAx>
      <c:spPr>
        <a:noFill/>
        <a:ln>
          <a:noFill/>
        </a:ln>
        <a:effectLst>
          <a:outerShdw blurRad="50800" dist="38100" dir="18900000" algn="bl" rotWithShape="0">
            <a:prstClr val="black">
              <a:alpha val="40000"/>
            </a:prstClr>
          </a:outerShdw>
          <a:softEdge rad="12700"/>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analysis!PivotTable2</c:name>
    <c:fmtId val="50"/>
  </c:pivotSource>
  <c:chart>
    <c:autoTitleDeleted val="1"/>
    <c:pivotFmts>
      <c:pivotFmt>
        <c:idx val="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3"/>
        <c:dLbl>
          <c:idx val="0"/>
          <c:layout>
            <c:manualLayout>
              <c:x val="6.2790486445066934E-2"/>
              <c:y val="-5.128665336516191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4"/>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3819426095228086E-2"/>
              <c:y val="1.696454020736097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4.4090655432089662E-2"/>
              <c:y val="-0.13766937866592924"/>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2649400863443469"/>
              <c:y val="-0.13715087254573768"/>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8.3975703387543843E-2"/>
              <c:y val="-3.779782263815915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0.17258888929771629"/>
              <c:y val="4.4691043125154643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0.13775464836755219"/>
              <c:y val="-6.514983917213675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5.9203675767164621E-2"/>
              <c:y val="-0.1318864890040316"/>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2.1755954571099103E-2"/>
              <c:y val="-8.460491652961124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4.7753697843844284E-2"/>
              <c:y val="-7.2035236584336387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dLbl>
          <c:idx val="0"/>
          <c:layout>
            <c:manualLayout>
              <c:x val="8.4751300071135974E-2"/>
              <c:y val="-2.3512888060896269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764024823999805E-2"/>
              <c:y val="0.1015624317755105"/>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7.7820525792920744E-2"/>
              <c:y val="9.696919527850146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0.12131104815169132"/>
              <c:y val="5.3952654023607494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0.20396414379277356"/>
              <c:y val="-1.6135546596416667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0.24683444943213875"/>
              <c:y val="-4.7014132475584752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0.13997274143302174"/>
              <c:y val="-5.6077619456532814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1.0308352957048576E-2"/>
              <c:y val="4.9615759675142271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21638396251870384"/>
          <c:y val="0.21368656032136468"/>
          <c:w val="0.70162847460762079"/>
          <c:h val="0.67847383047707366"/>
        </c:manualLayout>
      </c:layout>
      <c:pie3DChart>
        <c:varyColors val="1"/>
        <c:ser>
          <c:idx val="0"/>
          <c:order val="0"/>
          <c:tx>
            <c:strRef>
              <c:f>'Funds analysis'!$C$6:$C$7</c:f>
              <c:strCache>
                <c:ptCount val="1"/>
                <c:pt idx="0">
                  <c:v>Total</c:v>
                </c:pt>
              </c:strCache>
            </c:strRef>
          </c:tx>
          <c:explosion val="25"/>
          <c:dLbls>
            <c:dLbl>
              <c:idx val="0"/>
              <c:layout>
                <c:manualLayout>
                  <c:x val="0.17258888929771629"/>
                  <c:y val="4.469104312515464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8.4751300071135974E-2"/>
                  <c:y val="-2.3512888060896269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0308352957048576E-2"/>
                  <c:y val="4.961575967514227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5.9764024823999805E-2"/>
                  <c:y val="0.101562431775510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7.7820525792920744E-2"/>
                  <c:y val="9.696919527850146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2131104815169132"/>
                  <c:y val="5.395265402360749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20396414379277356"/>
                  <c:y val="-1.613554659641666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3775464836755219"/>
                  <c:y val="-6.51498391721367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5.9203675767164621E-2"/>
                  <c:y val="-0.131886489004031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2.1755954571099103E-2"/>
                  <c:y val="-8.460491652961124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4.7753697843844284E-2"/>
                  <c:y val="-7.203523658433638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13997274143302174"/>
                  <c:y val="-5.607761945653281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3"/>
              <c:layout>
                <c:manualLayout>
                  <c:x val="0.24683444943213875"/>
                  <c:y val="-4.7014132475584752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'Funds analysis'!$B$8:$B$23</c:f>
              <c:strCache>
                <c:ptCount val="15"/>
                <c:pt idx="0">
                  <c:v>AusAid</c:v>
                </c:pt>
                <c:pt idx="1">
                  <c:v>DFID</c:v>
                </c:pt>
                <c:pt idx="2">
                  <c:v>ECHO</c:v>
                </c:pt>
                <c:pt idx="3">
                  <c:v>OFDA</c:v>
                </c:pt>
                <c:pt idx="4">
                  <c:v>SIDA</c:v>
                </c:pt>
                <c:pt idx="5">
                  <c:v>UNHCR</c:v>
                </c:pt>
                <c:pt idx="6">
                  <c:v>CERF</c:v>
                </c:pt>
                <c:pt idx="7">
                  <c:v>SDC</c:v>
                </c:pt>
                <c:pt idx="8">
                  <c:v>Finland</c:v>
                </c:pt>
                <c:pt idx="9">
                  <c:v>Turkish</c:v>
                </c:pt>
                <c:pt idx="10">
                  <c:v>CIDA</c:v>
                </c:pt>
                <c:pt idx="11">
                  <c:v>Japan</c:v>
                </c:pt>
                <c:pt idx="12">
                  <c:v>DANIDA</c:v>
                </c:pt>
                <c:pt idx="13">
                  <c:v>ERF</c:v>
                </c:pt>
                <c:pt idx="14">
                  <c:v>EU</c:v>
                </c:pt>
              </c:strCache>
            </c:strRef>
          </c:cat>
          <c:val>
            <c:numRef>
              <c:f>'Funds analysis'!$C$8:$C$23</c:f>
              <c:numCache>
                <c:formatCode>#,##0</c:formatCode>
                <c:ptCount val="15"/>
                <c:pt idx="0">
                  <c:v>2210391</c:v>
                </c:pt>
                <c:pt idx="1">
                  <c:v>10002649</c:v>
                </c:pt>
                <c:pt idx="2">
                  <c:v>2732703.56</c:v>
                </c:pt>
                <c:pt idx="3">
                  <c:v>7203508</c:v>
                </c:pt>
                <c:pt idx="4">
                  <c:v>2418163</c:v>
                </c:pt>
                <c:pt idx="5">
                  <c:v>185000</c:v>
                </c:pt>
                <c:pt idx="6">
                  <c:v>3146169</c:v>
                </c:pt>
                <c:pt idx="7">
                  <c:v>213220</c:v>
                </c:pt>
                <c:pt idx="8">
                  <c:v>78819.31</c:v>
                </c:pt>
                <c:pt idx="9">
                  <c:v>515403.64</c:v>
                </c:pt>
                <c:pt idx="10">
                  <c:v>726000</c:v>
                </c:pt>
                <c:pt idx="11">
                  <c:v>750000</c:v>
                </c:pt>
                <c:pt idx="12">
                  <c:v>100000</c:v>
                </c:pt>
                <c:pt idx="13">
                  <c:v>1366315.5241603428</c:v>
                </c:pt>
                <c:pt idx="14">
                  <c:v>1157000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paperSize="8" orientation="portrait"/>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analysis!PivotTable6</c:name>
    <c:fmtId val="3"/>
  </c:pivotSource>
  <c:chart>
    <c:title>
      <c:tx>
        <c:rich>
          <a:bodyPr/>
          <a:lstStyle/>
          <a:p>
            <a:pPr>
              <a:defRPr/>
            </a:pPr>
            <a:r>
              <a:rPr lang="en-US" sz="1400"/>
              <a:t>NB</a:t>
            </a:r>
            <a:r>
              <a:rPr lang="en-US" sz="1400" baseline="0"/>
              <a:t> OF BENEFICIARIES, IN CAMPS, PLAN IN PROJECT</a:t>
            </a:r>
            <a:endParaRPr lang="en-US" sz="1400"/>
          </a:p>
        </c:rich>
      </c:tx>
      <c:layout>
        <c:manualLayout>
          <c:xMode val="edge"/>
          <c:yMode val="edge"/>
          <c:x val="0.18092841683153874"/>
          <c:y val="4.4269552385636977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analysis'!$C$136:$C$137</c:f>
              <c:strCache>
                <c:ptCount val="1"/>
                <c:pt idx="0">
                  <c:v>2012</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analysis'!$C$138:$C$140</c:f>
              <c:numCache>
                <c:formatCode>0</c:formatCode>
                <c:ptCount val="3"/>
                <c:pt idx="0">
                  <c:v>65696</c:v>
                </c:pt>
                <c:pt idx="1">
                  <c:v>86158</c:v>
                </c:pt>
                <c:pt idx="2">
                  <c:v>150417</c:v>
                </c:pt>
              </c:numCache>
            </c:numRef>
          </c:val>
        </c:ser>
        <c:ser>
          <c:idx val="1"/>
          <c:order val="1"/>
          <c:tx>
            <c:strRef>
              <c:f>'Funds analysis'!$D$136:$D$137</c:f>
              <c:strCache>
                <c:ptCount val="1"/>
                <c:pt idx="0">
                  <c:v>2013</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analysis'!$D$138:$D$140</c:f>
              <c:numCache>
                <c:formatCode>0</c:formatCode>
                <c:ptCount val="3"/>
                <c:pt idx="0">
                  <c:v>336866</c:v>
                </c:pt>
                <c:pt idx="1">
                  <c:v>234514</c:v>
                </c:pt>
                <c:pt idx="2">
                  <c:v>250524</c:v>
                </c:pt>
              </c:numCache>
            </c:numRef>
          </c:val>
        </c:ser>
        <c:ser>
          <c:idx val="2"/>
          <c:order val="2"/>
          <c:tx>
            <c:strRef>
              <c:f>'Funds analysis'!$E$136:$E$137</c:f>
              <c:strCache>
                <c:ptCount val="1"/>
                <c:pt idx="0">
                  <c:v>2014</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analysis'!$E$138:$E$140</c:f>
              <c:numCache>
                <c:formatCode>0</c:formatCode>
                <c:ptCount val="3"/>
                <c:pt idx="0">
                  <c:v>141836</c:v>
                </c:pt>
                <c:pt idx="1">
                  <c:v>143446</c:v>
                </c:pt>
                <c:pt idx="2">
                  <c:v>144604</c:v>
                </c:pt>
              </c:numCache>
            </c:numRef>
          </c:val>
        </c:ser>
        <c:ser>
          <c:idx val="3"/>
          <c:order val="3"/>
          <c:tx>
            <c:strRef>
              <c:f>'Funds analysis'!$F$136:$F$137</c:f>
              <c:strCache>
                <c:ptCount val="1"/>
                <c:pt idx="0">
                  <c:v>2015</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analysis'!$F$138:$F$140</c:f>
              <c:numCache>
                <c:formatCode>0</c:formatCode>
                <c:ptCount val="3"/>
                <c:pt idx="0">
                  <c:v>149363</c:v>
                </c:pt>
                <c:pt idx="1">
                  <c:v>160383</c:v>
                </c:pt>
                <c:pt idx="2">
                  <c:v>149363</c:v>
                </c:pt>
              </c:numCache>
            </c:numRef>
          </c:val>
        </c:ser>
        <c:dLbls>
          <c:showLegendKey val="0"/>
          <c:showVal val="0"/>
          <c:showCatName val="0"/>
          <c:showSerName val="0"/>
          <c:showPercent val="0"/>
          <c:showBubbleSize val="0"/>
        </c:dLbls>
        <c:gapWidth val="150"/>
        <c:shape val="box"/>
        <c:axId val="228720680"/>
        <c:axId val="228721072"/>
        <c:axId val="0"/>
      </c:bar3DChart>
      <c:catAx>
        <c:axId val="228720680"/>
        <c:scaling>
          <c:orientation val="minMax"/>
        </c:scaling>
        <c:delete val="0"/>
        <c:axPos val="b"/>
        <c:numFmt formatCode="General" sourceLinked="0"/>
        <c:majorTickMark val="out"/>
        <c:minorTickMark val="none"/>
        <c:tickLblPos val="nextTo"/>
        <c:crossAx val="228721072"/>
        <c:crosses val="autoZero"/>
        <c:auto val="1"/>
        <c:lblAlgn val="ctr"/>
        <c:lblOffset val="100"/>
        <c:noMultiLvlLbl val="0"/>
      </c:catAx>
      <c:valAx>
        <c:axId val="228721072"/>
        <c:scaling>
          <c:orientation val="minMax"/>
        </c:scaling>
        <c:delete val="0"/>
        <c:axPos val="l"/>
        <c:majorGridlines/>
        <c:numFmt formatCode="0" sourceLinked="1"/>
        <c:majorTickMark val="out"/>
        <c:minorTickMark val="none"/>
        <c:tickLblPos val="nextTo"/>
        <c:crossAx val="228720680"/>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analysis!PivotTable7</c:name>
    <c:fmtId val="9"/>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manualLayout>
          <c:layoutTarget val="inner"/>
          <c:xMode val="edge"/>
          <c:yMode val="edge"/>
          <c:x val="8.7094084649838088E-2"/>
          <c:y val="0.17490044686118295"/>
          <c:w val="0.79798747361154232"/>
          <c:h val="0.57865345307172966"/>
        </c:manualLayout>
      </c:layout>
      <c:bar3DChart>
        <c:barDir val="col"/>
        <c:grouping val="clustered"/>
        <c:varyColors val="0"/>
        <c:ser>
          <c:idx val="0"/>
          <c:order val="0"/>
          <c:tx>
            <c:strRef>
              <c:f>'Funds analysis'!$C$150:$C$151</c:f>
              <c:strCache>
                <c:ptCount val="1"/>
                <c:pt idx="0">
                  <c:v>2012</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analysis'!$C$152:$C$154</c:f>
              <c:numCache>
                <c:formatCode>0</c:formatCode>
                <c:ptCount val="3"/>
                <c:pt idx="0">
                  <c:v>79817</c:v>
                </c:pt>
                <c:pt idx="1">
                  <c:v>79817</c:v>
                </c:pt>
                <c:pt idx="2">
                  <c:v>79817</c:v>
                </c:pt>
              </c:numCache>
            </c:numRef>
          </c:val>
        </c:ser>
        <c:ser>
          <c:idx val="1"/>
          <c:order val="1"/>
          <c:tx>
            <c:strRef>
              <c:f>'Funds analysis'!$D$150:$D$151</c:f>
              <c:strCache>
                <c:ptCount val="1"/>
                <c:pt idx="0">
                  <c:v>2013</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analysis'!$D$152:$D$154</c:f>
              <c:numCache>
                <c:formatCode>0</c:formatCode>
                <c:ptCount val="3"/>
                <c:pt idx="0">
                  <c:v>69704</c:v>
                </c:pt>
                <c:pt idx="1">
                  <c:v>69704</c:v>
                </c:pt>
                <c:pt idx="2">
                  <c:v>77865</c:v>
                </c:pt>
              </c:numCache>
            </c:numRef>
          </c:val>
        </c:ser>
        <c:ser>
          <c:idx val="2"/>
          <c:order val="2"/>
          <c:tx>
            <c:strRef>
              <c:f>'Funds analysis'!$E$150:$E$151</c:f>
              <c:strCache>
                <c:ptCount val="1"/>
                <c:pt idx="0">
                  <c:v>2014</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analysis'!$E$152:$E$154</c:f>
              <c:numCache>
                <c:formatCode>0</c:formatCode>
                <c:ptCount val="3"/>
                <c:pt idx="0">
                  <c:v>92979.199999999997</c:v>
                </c:pt>
                <c:pt idx="1">
                  <c:v>99269</c:v>
                </c:pt>
                <c:pt idx="2">
                  <c:v>130810</c:v>
                </c:pt>
              </c:numCache>
            </c:numRef>
          </c:val>
        </c:ser>
        <c:ser>
          <c:idx val="3"/>
          <c:order val="3"/>
          <c:tx>
            <c:strRef>
              <c:f>'Funds analysis'!$F$150:$F$151</c:f>
              <c:strCache>
                <c:ptCount val="1"/>
                <c:pt idx="0">
                  <c:v>2015</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analysis'!$F$152:$F$154</c:f>
              <c:numCache>
                <c:formatCode>0</c:formatCode>
                <c:ptCount val="3"/>
                <c:pt idx="0">
                  <c:v>59617</c:v>
                </c:pt>
                <c:pt idx="1">
                  <c:v>73571.25</c:v>
                </c:pt>
                <c:pt idx="2">
                  <c:v>78636</c:v>
                </c:pt>
              </c:numCache>
            </c:numRef>
          </c:val>
        </c:ser>
        <c:dLbls>
          <c:showLegendKey val="0"/>
          <c:showVal val="0"/>
          <c:showCatName val="0"/>
          <c:showSerName val="0"/>
          <c:showPercent val="0"/>
          <c:showBubbleSize val="0"/>
        </c:dLbls>
        <c:gapWidth val="150"/>
        <c:shape val="box"/>
        <c:axId val="228721856"/>
        <c:axId val="228722248"/>
        <c:axId val="0"/>
      </c:bar3DChart>
      <c:catAx>
        <c:axId val="228721856"/>
        <c:scaling>
          <c:orientation val="minMax"/>
        </c:scaling>
        <c:delete val="0"/>
        <c:axPos val="b"/>
        <c:numFmt formatCode="General" sourceLinked="0"/>
        <c:majorTickMark val="out"/>
        <c:minorTickMark val="none"/>
        <c:tickLblPos val="nextTo"/>
        <c:crossAx val="228722248"/>
        <c:crosses val="autoZero"/>
        <c:auto val="1"/>
        <c:lblAlgn val="ctr"/>
        <c:lblOffset val="100"/>
        <c:noMultiLvlLbl val="0"/>
      </c:catAx>
      <c:valAx>
        <c:axId val="228722248"/>
        <c:scaling>
          <c:orientation val="minMax"/>
        </c:scaling>
        <c:delete val="0"/>
        <c:axPos val="l"/>
        <c:majorGridlines/>
        <c:numFmt formatCode="0" sourceLinked="1"/>
        <c:majorTickMark val="out"/>
        <c:minorTickMark val="none"/>
        <c:tickLblPos val="nextTo"/>
        <c:crossAx val="228721856"/>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analysis!PivotTable5</c:name>
    <c:fmtId val="23"/>
  </c:pivotSource>
  <c:chart>
    <c:title>
      <c:tx>
        <c:rich>
          <a:bodyPr/>
          <a:lstStyle/>
          <a:p>
            <a:pPr>
              <a:defRPr/>
            </a:pPr>
            <a:r>
              <a:rPr lang="en-US"/>
              <a:t>APPROXIMATE FUND ENGAGED PER YEAR(US$)</a:t>
            </a:r>
          </a:p>
        </c:rich>
      </c:tx>
      <c:layout>
        <c:manualLayout>
          <c:xMode val="edge"/>
          <c:yMode val="edge"/>
          <c:x val="0.2360644007155635"/>
          <c:y val="0"/>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0"/>
        <c:marker>
          <c:symbol val="none"/>
        </c:marker>
      </c:pivotFmt>
      <c:pivotFmt>
        <c:idx val="11"/>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dLbl>
          <c:idx val="0"/>
          <c:delete val="1"/>
          <c:extLst>
            <c:ext xmlns:c15="http://schemas.microsoft.com/office/drawing/2012/chart" uri="{CE6537A1-D6FC-4f65-9D91-7224C49458BB}"/>
          </c:extLst>
        </c:dLbl>
      </c:pivotFmt>
      <c:pivotFmt>
        <c:idx val="16"/>
        <c:marker>
          <c:symbol val="none"/>
        </c:marker>
      </c:pivotFmt>
      <c:pivotFmt>
        <c:idx val="17"/>
        <c:marker>
          <c:symbol val="none"/>
        </c:marker>
      </c:pivotFmt>
      <c:pivotFmt>
        <c:idx val="1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9"/>
        <c:dLbl>
          <c:idx val="0"/>
          <c:delete val="1"/>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1"/>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2"/>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7"/>
        <c:marker>
          <c:symbol val="none"/>
        </c:marker>
      </c:pivotFmt>
      <c:pivotFmt>
        <c:idx val="28"/>
        <c:marker>
          <c:symbol val="none"/>
        </c:marker>
      </c:pivotFmt>
      <c:pivotFmt>
        <c:idx val="2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1"/>
        <c:dLbl>
          <c:idx val="0"/>
          <c:delete val="1"/>
          <c:extLst>
            <c:ext xmlns:c15="http://schemas.microsoft.com/office/drawing/2012/chart" uri="{CE6537A1-D6FC-4f65-9D91-7224C49458BB}"/>
          </c:extLst>
        </c:dLbl>
      </c:pivotFmt>
      <c:pivotFmt>
        <c:idx val="32"/>
        <c:marker>
          <c:symbol val="none"/>
        </c:marker>
      </c:pivotFmt>
      <c:pivotFmt>
        <c:idx val="33"/>
        <c:marker>
          <c:symbol val="none"/>
        </c:marker>
        <c:dLbl>
          <c:idx val="0"/>
          <c:delete val="1"/>
          <c:extLst>
            <c:ext xmlns:c15="http://schemas.microsoft.com/office/drawing/2012/chart" uri="{CE6537A1-D6FC-4f65-9D91-7224C49458BB}"/>
          </c:extLst>
        </c:dLbl>
      </c:pivotFmt>
      <c:pivotFmt>
        <c:idx val="3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marker>
          <c:symbol val="none"/>
        </c:marker>
      </c:pivotFmt>
      <c:pivotFmt>
        <c:idx val="38"/>
        <c:marker>
          <c:symbol val="none"/>
        </c:marker>
        <c:dLbl>
          <c:idx val="0"/>
          <c:delete val="1"/>
          <c:extLst>
            <c:ext xmlns:c15="http://schemas.microsoft.com/office/drawing/2012/chart" uri="{CE6537A1-D6FC-4f65-9D91-7224C49458BB}"/>
          </c:extLst>
        </c:dLbl>
      </c:pivotFmt>
      <c:pivotFmt>
        <c:idx val="3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0"/>
        <c:marker>
          <c:symbol val="none"/>
        </c:marker>
      </c:pivotFmt>
      <c:pivotFmt>
        <c:idx val="41"/>
        <c:marker>
          <c:symbol val="none"/>
        </c:marker>
      </c:pivotFmt>
      <c:pivotFmt>
        <c:idx val="4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3"/>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4"/>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5"/>
        <c:marker>
          <c:symbol val="none"/>
        </c:marker>
        <c:dLbl>
          <c:idx val="0"/>
          <c:delete val="1"/>
          <c:extLst>
            <c:ext xmlns:c15="http://schemas.microsoft.com/office/drawing/2012/chart" uri="{CE6537A1-D6FC-4f65-9D91-7224C49458BB}"/>
          </c:extLst>
        </c:dLbl>
      </c:pivotFmt>
      <c:pivotFmt>
        <c:idx val="4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7"/>
        <c:marker>
          <c:symbol val="none"/>
        </c:marker>
      </c:pivotFmt>
      <c:pivotFmt>
        <c:idx val="48"/>
        <c:marker>
          <c:symbol val="none"/>
        </c:marker>
      </c:pivotFmt>
      <c:pivotFmt>
        <c:idx val="49"/>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0"/>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1"/>
        <c:dLbl>
          <c:idx val="0"/>
          <c:delete val="1"/>
          <c:extLst>
            <c:ext xmlns:c15="http://schemas.microsoft.com/office/drawing/2012/chart" uri="{CE6537A1-D6FC-4f65-9D91-7224C49458BB}"/>
          </c:extLst>
        </c:dLbl>
      </c:pivotFmt>
      <c:pivotFmt>
        <c:idx val="52"/>
        <c:marker>
          <c:symbol val="none"/>
        </c:marker>
      </c:pivotFmt>
      <c:pivotFmt>
        <c:idx val="53"/>
        <c:marker>
          <c:symbol val="none"/>
        </c:marker>
        <c:dLbl>
          <c:idx val="0"/>
          <c:delete val="1"/>
          <c:extLst>
            <c:ext xmlns:c15="http://schemas.microsoft.com/office/drawing/2012/chart" uri="{CE6537A1-D6FC-4f65-9D91-7224C49458BB}"/>
          </c:extLst>
        </c:dLbl>
      </c:pivotFmt>
      <c:pivotFmt>
        <c:idx val="5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5"/>
        <c:marker>
          <c:symbol val="none"/>
        </c:marker>
      </c:pivotFmt>
      <c:pivotFmt>
        <c:idx val="56"/>
        <c:marker>
          <c:symbol val="none"/>
        </c:marker>
      </c:pivotFmt>
      <c:pivotFmt>
        <c:idx val="57"/>
        <c:marker>
          <c:symbol val="none"/>
        </c:marker>
      </c:pivotFmt>
      <c:pivotFmt>
        <c:idx val="58"/>
        <c:marker>
          <c:symbol val="none"/>
        </c:marker>
        <c:dLbl>
          <c:idx val="0"/>
          <c:delete val="1"/>
          <c:extLst>
            <c:ext xmlns:c15="http://schemas.microsoft.com/office/drawing/2012/chart" uri="{CE6537A1-D6FC-4f65-9D91-7224C49458BB}"/>
          </c:extLst>
        </c:dLbl>
      </c:pivotFmt>
      <c:pivotFmt>
        <c:idx val="5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0"/>
        <c:marker>
          <c:symbol val="none"/>
        </c:marker>
      </c:pivotFmt>
      <c:pivotFmt>
        <c:idx val="61"/>
        <c:marker>
          <c:symbol val="none"/>
        </c:marker>
      </c:pivotFmt>
      <c:pivotFmt>
        <c:idx val="62"/>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3"/>
        <c:dLbl>
          <c:idx val="0"/>
          <c:delete val="1"/>
          <c:extLst>
            <c:ext xmlns:c15="http://schemas.microsoft.com/office/drawing/2012/chart" uri="{CE6537A1-D6FC-4f65-9D91-7224C49458BB}"/>
          </c:extLst>
        </c:dLbl>
      </c:pivotFmt>
      <c:pivotFmt>
        <c:idx val="64"/>
        <c:dLbl>
          <c:idx val="0"/>
          <c:delete val="1"/>
          <c:extLst>
            <c:ext xmlns:c15="http://schemas.microsoft.com/office/drawing/2012/chart" uri="{CE6537A1-D6FC-4f65-9D91-7224C49458BB}"/>
          </c:extLst>
        </c:dLbl>
      </c:pivotFmt>
      <c:pivotFmt>
        <c:idx val="65"/>
        <c:dLbl>
          <c:idx val="0"/>
          <c:delete val="1"/>
          <c:extLst>
            <c:ext xmlns:c15="http://schemas.microsoft.com/office/drawing/2012/chart" uri="{CE6537A1-D6FC-4f65-9D91-7224C49458BB}"/>
          </c:extLst>
        </c:dLbl>
      </c:pivotFmt>
      <c:pivotFmt>
        <c:idx val="66"/>
        <c:dLbl>
          <c:idx val="0"/>
          <c:delete val="1"/>
          <c:extLst>
            <c:ext xmlns:c15="http://schemas.microsoft.com/office/drawing/2012/chart" uri="{CE6537A1-D6FC-4f65-9D91-7224C49458BB}"/>
          </c:extLst>
        </c:dLbl>
      </c:pivotFmt>
      <c:pivotFmt>
        <c:idx val="67"/>
        <c:dLbl>
          <c:idx val="0"/>
          <c:delete val="1"/>
          <c:extLst>
            <c:ext xmlns:c15="http://schemas.microsoft.com/office/drawing/2012/chart" uri="{CE6537A1-D6FC-4f65-9D91-7224C49458BB}"/>
          </c:extLst>
        </c:dLbl>
      </c:pivotFmt>
      <c:pivotFmt>
        <c:idx val="68"/>
        <c:marker>
          <c:symbol val="none"/>
        </c:marker>
      </c:pivotFmt>
      <c:pivotFmt>
        <c:idx val="69"/>
        <c:marker>
          <c:symbol val="none"/>
        </c:marker>
      </c:pivotFmt>
      <c:pivotFmt>
        <c:idx val="70"/>
        <c:marker>
          <c:symbol val="none"/>
        </c:marker>
        <c:dLbl>
          <c:idx val="0"/>
          <c:delete val="1"/>
          <c:extLst>
            <c:ext xmlns:c15="http://schemas.microsoft.com/office/drawing/2012/chart" uri="{CE6537A1-D6FC-4f65-9D91-7224C49458BB}"/>
          </c:extLst>
        </c:dLbl>
      </c:pivotFmt>
      <c:pivotFmt>
        <c:idx val="71"/>
        <c:marker>
          <c:symbol val="none"/>
        </c:marker>
        <c:dLbl>
          <c:idx val="0"/>
          <c:delete val="1"/>
          <c:extLst>
            <c:ext xmlns:c15="http://schemas.microsoft.com/office/drawing/2012/chart" uri="{CE6537A1-D6FC-4f65-9D91-7224C49458BB}"/>
          </c:extLst>
        </c:dLbl>
      </c:pivotFmt>
      <c:pivotFmt>
        <c:idx val="72"/>
        <c:marker>
          <c:symbol val="none"/>
        </c:marker>
      </c:pivotFmt>
      <c:pivotFmt>
        <c:idx val="73"/>
        <c:marker>
          <c:symbol val="none"/>
        </c:marker>
      </c:pivotFmt>
      <c:pivotFmt>
        <c:idx val="74"/>
        <c:marker>
          <c:symbol val="none"/>
        </c:marker>
      </c:pivotFmt>
      <c:pivotFmt>
        <c:idx val="75"/>
        <c:marker>
          <c:symbol val="none"/>
        </c:marker>
        <c:dLbl>
          <c:idx val="0"/>
          <c:delete val="1"/>
          <c:extLst>
            <c:ext xmlns:c15="http://schemas.microsoft.com/office/drawing/2012/chart" uri="{CE6537A1-D6FC-4f65-9D91-7224C49458BB}"/>
          </c:extLst>
        </c:dLbl>
      </c:pivotFmt>
      <c:pivotFmt>
        <c:idx val="76"/>
        <c:marker>
          <c:symbol val="none"/>
        </c:marker>
        <c:dLbl>
          <c:idx val="0"/>
          <c:delete val="1"/>
          <c:extLst>
            <c:ext xmlns:c15="http://schemas.microsoft.com/office/drawing/2012/chart" uri="{CE6537A1-D6FC-4f65-9D91-7224C49458BB}"/>
          </c:extLst>
        </c:dLbl>
      </c:pivotFmt>
      <c:pivotFmt>
        <c:idx val="77"/>
        <c:marker>
          <c:symbol val="none"/>
        </c:marker>
      </c:pivotFmt>
      <c:pivotFmt>
        <c:idx val="78"/>
        <c:marker>
          <c:symbol val="none"/>
        </c:marker>
      </c:pivotFmt>
      <c:pivotFmt>
        <c:idx val="79"/>
        <c:marker>
          <c:symbol val="none"/>
        </c:marker>
      </c:pivotFmt>
      <c:pivotFmt>
        <c:idx val="80"/>
        <c:marker>
          <c:symbol val="none"/>
        </c:marker>
      </c:pivotFmt>
      <c:pivotFmt>
        <c:idx val="81"/>
        <c:marker>
          <c:symbol val="none"/>
        </c:marker>
      </c:pivotFmt>
      <c:pivotFmt>
        <c:idx val="82"/>
        <c:marker>
          <c:symbol val="none"/>
        </c:marker>
        <c:dLbl>
          <c:idx val="0"/>
          <c:delete val="1"/>
          <c:extLst>
            <c:ext xmlns:c15="http://schemas.microsoft.com/office/drawing/2012/chart" uri="{CE6537A1-D6FC-4f65-9D91-7224C49458BB}"/>
          </c:extLst>
        </c:dLbl>
      </c:pivotFmt>
      <c:pivotFmt>
        <c:idx val="83"/>
        <c:marker>
          <c:symbol val="none"/>
        </c:marker>
      </c:pivotFmt>
      <c:pivotFmt>
        <c:idx val="84"/>
        <c:marker>
          <c:symbol val="none"/>
        </c:marker>
      </c:pivotFmt>
      <c:pivotFmt>
        <c:idx val="85"/>
        <c:marker>
          <c:symbol val="none"/>
        </c:marker>
        <c:dLbl>
          <c:idx val="0"/>
          <c:delete val="1"/>
          <c:extLst>
            <c:ext xmlns:c15="http://schemas.microsoft.com/office/drawing/2012/chart" uri="{CE6537A1-D6FC-4f65-9D91-7224C49458BB}"/>
          </c:extLst>
        </c:dLbl>
      </c:pivotFmt>
      <c:pivotFmt>
        <c:idx val="86"/>
        <c:marker>
          <c:symbol val="none"/>
        </c:marker>
      </c:pivotFmt>
      <c:pivotFmt>
        <c:idx val="87"/>
        <c:marker>
          <c:symbol val="none"/>
        </c:marker>
      </c:pivotFmt>
      <c:pivotFmt>
        <c:idx val="88"/>
        <c:marker>
          <c:symbol val="none"/>
        </c:marker>
      </c:pivotFmt>
      <c:pivotFmt>
        <c:idx val="89"/>
        <c:marker>
          <c:symbol val="none"/>
        </c:marker>
      </c:pivotFmt>
      <c:pivotFmt>
        <c:idx val="90"/>
        <c:marker>
          <c:symbol val="none"/>
        </c:marker>
      </c:pivotFmt>
      <c:pivotFmt>
        <c:idx val="91"/>
        <c:marker>
          <c:symbol val="none"/>
        </c:marker>
      </c:pivotFmt>
      <c:pivotFmt>
        <c:idx val="92"/>
        <c:marker>
          <c:symbol val="none"/>
        </c:marker>
      </c:pivotFmt>
      <c:pivotFmt>
        <c:idx val="93"/>
        <c:marker>
          <c:symbol val="none"/>
        </c:marker>
      </c:pivotFmt>
      <c:pivotFmt>
        <c:idx val="94"/>
        <c:marker>
          <c:symbol val="none"/>
        </c:marker>
      </c:pivotFmt>
      <c:pivotFmt>
        <c:idx val="95"/>
        <c:marker>
          <c:symbol val="none"/>
        </c:marker>
      </c:pivotFmt>
      <c:pivotFmt>
        <c:idx val="96"/>
        <c:marker>
          <c:symbol val="none"/>
        </c:marker>
      </c:pivotFmt>
      <c:pivotFmt>
        <c:idx val="97"/>
        <c:marker>
          <c:symbol val="none"/>
        </c:marker>
      </c:pivotFmt>
      <c:pivotFmt>
        <c:idx val="98"/>
        <c:marker>
          <c:symbol val="none"/>
        </c:marker>
      </c:pivotFmt>
      <c:pivotFmt>
        <c:idx val="99"/>
        <c:marker>
          <c:symbol val="none"/>
        </c:marker>
      </c:pivotFmt>
      <c:pivotFmt>
        <c:idx val="100"/>
        <c:marker>
          <c:symbol val="none"/>
        </c:marker>
      </c:pivotFmt>
      <c:pivotFmt>
        <c:idx val="101"/>
        <c:marker>
          <c:symbol val="none"/>
        </c:marker>
      </c:pivotFmt>
      <c:pivotFmt>
        <c:idx val="102"/>
        <c:marker>
          <c:symbol val="none"/>
        </c:marker>
      </c:pivotFmt>
      <c:pivotFmt>
        <c:idx val="103"/>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5.6968996943360613E-2"/>
          <c:y val="0.10634048648652948"/>
          <c:w val="0.74723451607905"/>
          <c:h val="0.76603375007257624"/>
        </c:manualLayout>
      </c:layout>
      <c:bar3DChart>
        <c:barDir val="col"/>
        <c:grouping val="stacked"/>
        <c:varyColors val="0"/>
        <c:ser>
          <c:idx val="0"/>
          <c:order val="0"/>
          <c:tx>
            <c:strRef>
              <c:f>'Funds analysis'!$C$69:$C$70</c:f>
              <c:strCache>
                <c:ptCount val="1"/>
                <c:pt idx="0">
                  <c:v>AusAid</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1359743.9766673769</c:v>
                </c:pt>
                <c:pt idx="1">
                  <c:v>850647.02333262307</c:v>
                </c:pt>
                <c:pt idx="2">
                  <c:v>0</c:v>
                </c:pt>
              </c:numCache>
            </c:numRef>
          </c:val>
        </c:ser>
        <c:ser>
          <c:idx val="1"/>
          <c:order val="1"/>
          <c:tx>
            <c:strRef>
              <c:f>'Funds analysis'!$D$69:$D$70</c:f>
              <c:strCache>
                <c:ptCount val="1"/>
                <c:pt idx="0">
                  <c:v>DFID</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6118326.9454545453</c:v>
                </c:pt>
                <c:pt idx="1">
                  <c:v>3150351.6290135398</c:v>
                </c:pt>
                <c:pt idx="2">
                  <c:v>2829764.4255319149</c:v>
                </c:pt>
              </c:numCache>
            </c:numRef>
          </c:val>
        </c:ser>
        <c:ser>
          <c:idx val="2"/>
          <c:order val="2"/>
          <c:tx>
            <c:strRef>
              <c:f>'Funds analysis'!$E$69:$E$70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915051.76228571427</c:v>
                </c:pt>
                <c:pt idx="1">
                  <c:v>979937.53715090535</c:v>
                </c:pt>
                <c:pt idx="2">
                  <c:v>1400634.2605633803</c:v>
                </c:pt>
              </c:numCache>
            </c:numRef>
          </c:val>
        </c:ser>
        <c:ser>
          <c:idx val="3"/>
          <c:order val="3"/>
          <c:tx>
            <c:strRef>
              <c:f>'Funds analysis'!$F$69:$F$70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160000</c:v>
                </c:pt>
                <c:pt idx="1">
                  <c:v>0</c:v>
                </c:pt>
                <c:pt idx="2">
                  <c:v>0</c:v>
                </c:pt>
              </c:numCache>
            </c:numRef>
          </c:val>
        </c:ser>
        <c:ser>
          <c:idx val="4"/>
          <c:order val="4"/>
          <c:tx>
            <c:strRef>
              <c:f>'Funds analysis'!$G$69:$G$70</c:f>
              <c:strCache>
                <c:ptCount val="1"/>
                <c:pt idx="0">
                  <c:v>ICRC</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50000</c:v>
                </c:pt>
                <c:pt idx="1">
                  <c:v>0</c:v>
                </c:pt>
                <c:pt idx="2">
                  <c:v>0</c:v>
                </c:pt>
              </c:numCache>
            </c:numRef>
          </c:val>
        </c:ser>
        <c:ser>
          <c:idx val="5"/>
          <c:order val="5"/>
          <c:tx>
            <c:strRef>
              <c:f>'Funds analysis'!$H$69:$H$70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2796114.1614054306</c:v>
                </c:pt>
                <c:pt idx="1">
                  <c:v>3324171.1669636145</c:v>
                </c:pt>
                <c:pt idx="2">
                  <c:v>2430722.6716309548</c:v>
                </c:pt>
              </c:numCache>
            </c:numRef>
          </c:val>
        </c:ser>
        <c:ser>
          <c:idx val="6"/>
          <c:order val="6"/>
          <c:tx>
            <c:strRef>
              <c:f>'Funds analysis'!$I$69:$I$70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2418163</c:v>
                </c:pt>
                <c:pt idx="1">
                  <c:v>0</c:v>
                </c:pt>
                <c:pt idx="2">
                  <c:v>0</c:v>
                </c:pt>
              </c:numCache>
            </c:numRef>
          </c:val>
        </c:ser>
        <c:ser>
          <c:idx val="7"/>
          <c:order val="7"/>
          <c:tx>
            <c:strRef>
              <c:f>'Funds analysis'!$J$69:$J$70</c:f>
              <c:strCache>
                <c:ptCount val="1"/>
                <c:pt idx="0">
                  <c:v>UNHCR</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185000</c:v>
                </c:pt>
                <c:pt idx="1">
                  <c:v>0</c:v>
                </c:pt>
                <c:pt idx="2">
                  <c:v>0</c:v>
                </c:pt>
              </c:numCache>
            </c:numRef>
          </c:val>
        </c:ser>
        <c:ser>
          <c:idx val="8"/>
          <c:order val="8"/>
          <c:tx>
            <c:strRef>
              <c:f>'Funds analysis'!$K$69:$K$70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3146169</c:v>
                </c:pt>
                <c:pt idx="1">
                  <c:v>0</c:v>
                </c:pt>
                <c:pt idx="2">
                  <c:v>0</c:v>
                </c:pt>
              </c:numCache>
            </c:numRef>
          </c:val>
        </c:ser>
        <c:ser>
          <c:idx val="9"/>
          <c:order val="9"/>
          <c:tx>
            <c:strRef>
              <c:f>'Funds analysis'!$L$69:$L$70</c:f>
              <c:strCache>
                <c:ptCount val="1"/>
                <c:pt idx="0">
                  <c:v>SDC</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213220</c:v>
                </c:pt>
                <c:pt idx="1">
                  <c:v>0</c:v>
                </c:pt>
                <c:pt idx="2">
                  <c:v>0</c:v>
                </c:pt>
              </c:numCache>
            </c:numRef>
          </c:val>
        </c:ser>
        <c:ser>
          <c:idx val="10"/>
          <c:order val="10"/>
          <c:tx>
            <c:strRef>
              <c:f>'Funds analysis'!$M$69:$M$70</c:f>
              <c:strCache>
                <c:ptCount val="1"/>
                <c:pt idx="0">
                  <c:v>Finland</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4672.2786855670129</c:v>
                </c:pt>
                <c:pt idx="1">
                  <c:v>18485.972190721644</c:v>
                </c:pt>
                <c:pt idx="2">
                  <c:v>55661.05912371134</c:v>
                </c:pt>
              </c:numCache>
            </c:numRef>
          </c:val>
        </c:ser>
        <c:ser>
          <c:idx val="11"/>
          <c:order val="11"/>
          <c:tx>
            <c:strRef>
              <c:f>'Funds analysis'!$N$69:$N$70</c:f>
              <c:strCache>
                <c:ptCount val="1"/>
                <c:pt idx="0">
                  <c:v>Turkish</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463013.70956043957</c:v>
                </c:pt>
                <c:pt idx="2">
                  <c:v>52389.930439560441</c:v>
                </c:pt>
              </c:numCache>
            </c:numRef>
          </c:val>
        </c:ser>
        <c:ser>
          <c:idx val="12"/>
          <c:order val="12"/>
          <c:tx>
            <c:strRef>
              <c:f>'Funds analysis'!$O$69:$O$70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455617.28395061725</c:v>
                </c:pt>
                <c:pt idx="2">
                  <c:v>270382.71604938275</c:v>
                </c:pt>
              </c:numCache>
            </c:numRef>
          </c:val>
        </c:ser>
        <c:ser>
          <c:idx val="13"/>
          <c:order val="13"/>
          <c:tx>
            <c:strRef>
              <c:f>'Funds analysis'!$P$69:$P$70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564560.43956043955</c:v>
                </c:pt>
                <c:pt idx="2">
                  <c:v>185439.56043956045</c:v>
                </c:pt>
              </c:numCache>
            </c:numRef>
          </c:val>
        </c:ser>
        <c:ser>
          <c:idx val="14"/>
          <c:order val="14"/>
          <c:tx>
            <c:strRef>
              <c:f>'Funds analysis'!$Q$69:$Q$70</c:f>
              <c:strCache>
                <c:ptCount val="1"/>
                <c:pt idx="0">
                  <c:v>DANIDA</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50274.725274725271</c:v>
                </c:pt>
                <c:pt idx="2">
                  <c:v>49725.274725274729</c:v>
                </c:pt>
              </c:numCache>
            </c:numRef>
          </c:val>
        </c:ser>
        <c:ser>
          <c:idx val="15"/>
          <c:order val="15"/>
          <c:tx>
            <c:strRef>
              <c:f>'Funds analysis'!$R$69:$R$70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502906.06454851897</c:v>
                </c:pt>
                <c:pt idx="1">
                  <c:v>783907.11383747915</c:v>
                </c:pt>
                <c:pt idx="2">
                  <c:v>377504.34577434475</c:v>
                </c:pt>
              </c:numCache>
            </c:numRef>
          </c:val>
        </c:ser>
        <c:ser>
          <c:idx val="16"/>
          <c:order val="16"/>
          <c:tx>
            <c:strRef>
              <c:f>'Funds analysis'!$S$69:$S$70</c:f>
              <c:strCache>
                <c:ptCount val="1"/>
                <c:pt idx="0">
                  <c:v>EU</c:v>
                </c:pt>
              </c:strCache>
            </c:strRef>
          </c:tx>
          <c:invertIfNegative val="0"/>
          <c:cat>
            <c:strRef>
              <c:f>'Funds analysis'!$B$71:$B$73</c:f>
              <c:strCache>
                <c:ptCount val="3"/>
                <c:pt idx="0">
                  <c:v>Before 2014</c:v>
                </c:pt>
                <c:pt idx="1">
                  <c:v>2014</c:v>
                </c:pt>
                <c:pt idx="2">
                  <c:v>2015</c:v>
                </c:pt>
              </c:strCache>
            </c:strRef>
          </c:cat>
          <c:val>
            <c:numRef>
              <c:f>'Funds analysis'!$S$71:$S$73</c:f>
              <c:numCache>
                <c:formatCode>#,##0</c:formatCode>
                <c:ptCount val="3"/>
                <c:pt idx="0">
                  <c:v>291512.29050279339</c:v>
                </c:pt>
                <c:pt idx="1">
                  <c:v>235278.21229050274</c:v>
                </c:pt>
                <c:pt idx="2">
                  <c:v>630209.49720670388</c:v>
                </c:pt>
              </c:numCache>
            </c:numRef>
          </c:val>
        </c:ser>
        <c:dLbls>
          <c:showLegendKey val="0"/>
          <c:showVal val="0"/>
          <c:showCatName val="0"/>
          <c:showSerName val="0"/>
          <c:showPercent val="0"/>
          <c:showBubbleSize val="0"/>
        </c:dLbls>
        <c:gapWidth val="150"/>
        <c:shape val="box"/>
        <c:axId val="208549736"/>
        <c:axId val="207166624"/>
        <c:axId val="0"/>
      </c:bar3DChart>
      <c:catAx>
        <c:axId val="208549736"/>
        <c:scaling>
          <c:orientation val="minMax"/>
        </c:scaling>
        <c:delete val="0"/>
        <c:axPos val="b"/>
        <c:numFmt formatCode="General" sourceLinked="1"/>
        <c:majorTickMark val="out"/>
        <c:minorTickMark val="none"/>
        <c:tickLblPos val="nextTo"/>
        <c:crossAx val="207166624"/>
        <c:crosses val="autoZero"/>
        <c:auto val="0"/>
        <c:lblAlgn val="ctr"/>
        <c:lblOffset val="100"/>
        <c:noMultiLvlLbl val="0"/>
      </c:catAx>
      <c:valAx>
        <c:axId val="207166624"/>
        <c:scaling>
          <c:orientation val="minMax"/>
          <c:max val="20000000"/>
        </c:scaling>
        <c:delete val="0"/>
        <c:axPos val="l"/>
        <c:majorGridlines/>
        <c:numFmt formatCode="#,##0" sourceLinked="1"/>
        <c:majorTickMark val="out"/>
        <c:minorTickMark val="none"/>
        <c:tickLblPos val="nextTo"/>
        <c:txPr>
          <a:bodyPr rot="0"/>
          <a:lstStyle/>
          <a:p>
            <a:pPr>
              <a:defRPr/>
            </a:pPr>
            <a:endParaRPr lang="en-US"/>
          </a:p>
        </c:txPr>
        <c:crossAx val="208549736"/>
        <c:crosses val="autoZero"/>
        <c:crossBetween val="between"/>
        <c:dispUnits>
          <c:builtInUnit val="millions"/>
          <c:dispUnitsLbl>
            <c:layout>
              <c:manualLayout>
                <c:xMode val="edge"/>
                <c:yMode val="edge"/>
                <c:x val="3.6328652120631619E-2"/>
                <c:y val="0.43940392952841045"/>
              </c:manualLayout>
            </c:layout>
          </c:dispUnitsLbl>
        </c:dispUnits>
      </c:valAx>
      <c:spPr>
        <a:noFill/>
        <a:ln w="25400">
          <a:noFill/>
        </a:ln>
      </c:spPr>
    </c:plotArea>
    <c:legend>
      <c:legendPos val="r"/>
      <c:layout>
        <c:manualLayout>
          <c:xMode val="edge"/>
          <c:yMode val="edge"/>
          <c:x val="0.74753443786637963"/>
          <c:y val="2.8981127033224339E-2"/>
          <c:w val="0.24498991124807523"/>
          <c:h val="0.93190492968668603"/>
        </c:manualLayout>
      </c:layout>
      <c:overlay val="0"/>
    </c:legend>
    <c:plotVisOnly val="1"/>
    <c:dispBlanksAs val="gap"/>
    <c:showDLblsOverMax val="0"/>
  </c:chart>
  <c:spPr>
    <a:ln>
      <a:noFill/>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analysis!PivotTable4</c:name>
    <c:fmtId val="16"/>
  </c:pivotSource>
  <c:chart>
    <c:title>
      <c:tx>
        <c:rich>
          <a:bodyPr/>
          <a:lstStyle/>
          <a:p>
            <a:pPr>
              <a:defRPr/>
            </a:pPr>
            <a:r>
              <a:rPr lang="en-US" sz="1400" b="1" i="0" baseline="0">
                <a:effectLst/>
              </a:rPr>
              <a:t>FUND RECEIVED PER YEAR (US$)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25E-2"/>
          <c:y val="0.16667829956158528"/>
          <c:w val="0.89364539659815356"/>
          <c:h val="0.60647697777390019"/>
        </c:manualLayout>
      </c:layout>
      <c:bar3DChart>
        <c:barDir val="col"/>
        <c:grouping val="clustered"/>
        <c:varyColors val="0"/>
        <c:ser>
          <c:idx val="0"/>
          <c:order val="0"/>
          <c:tx>
            <c:strRef>
              <c:f>'Funds analysis'!$C$55:$C$56</c:f>
              <c:strCache>
                <c:ptCount val="1"/>
                <c:pt idx="0">
                  <c:v>Total</c:v>
                </c:pt>
              </c:strCache>
            </c:strRef>
          </c:tx>
          <c:invertIfNegative val="0"/>
          <c:cat>
            <c:strRef>
              <c:f>'Funds analysis'!$B$57:$B$61</c:f>
              <c:strCache>
                <c:ptCount val="4"/>
                <c:pt idx="0">
                  <c:v>2012</c:v>
                </c:pt>
                <c:pt idx="1">
                  <c:v>2013</c:v>
                </c:pt>
                <c:pt idx="2">
                  <c:v>2014</c:v>
                </c:pt>
                <c:pt idx="3">
                  <c:v>2015</c:v>
                </c:pt>
              </c:strCache>
            </c:strRef>
          </c:cat>
          <c:val>
            <c:numRef>
              <c:f>'Funds analysis'!$C$57:$C$61</c:f>
              <c:numCache>
                <c:formatCode>#,##0</c:formatCode>
                <c:ptCount val="4"/>
                <c:pt idx="0">
                  <c:v>9955415</c:v>
                </c:pt>
                <c:pt idx="1">
                  <c:v>13851998.870000001</c:v>
                </c:pt>
                <c:pt idx="2">
                  <c:v>8997928.1641603447</c:v>
                </c:pt>
                <c:pt idx="3">
                  <c:v>4304216</c:v>
                </c:pt>
              </c:numCache>
            </c:numRef>
          </c:val>
        </c:ser>
        <c:dLbls>
          <c:showLegendKey val="0"/>
          <c:showVal val="0"/>
          <c:showCatName val="0"/>
          <c:showSerName val="0"/>
          <c:showPercent val="0"/>
          <c:showBubbleSize val="0"/>
        </c:dLbls>
        <c:gapWidth val="150"/>
        <c:shape val="box"/>
        <c:axId val="228723032"/>
        <c:axId val="228723424"/>
        <c:axId val="0"/>
      </c:bar3DChart>
      <c:catAx>
        <c:axId val="228723032"/>
        <c:scaling>
          <c:orientation val="minMax"/>
        </c:scaling>
        <c:delete val="0"/>
        <c:axPos val="b"/>
        <c:numFmt formatCode="General" sourceLinked="1"/>
        <c:majorTickMark val="out"/>
        <c:minorTickMark val="none"/>
        <c:tickLblPos val="nextTo"/>
        <c:crossAx val="228723424"/>
        <c:crosses val="autoZero"/>
        <c:auto val="0"/>
        <c:lblAlgn val="ctr"/>
        <c:lblOffset val="100"/>
        <c:noMultiLvlLbl val="0"/>
      </c:catAx>
      <c:valAx>
        <c:axId val="228723424"/>
        <c:scaling>
          <c:orientation val="minMax"/>
          <c:max val="17000000"/>
          <c:min val="0"/>
        </c:scaling>
        <c:delete val="0"/>
        <c:axPos val="l"/>
        <c:majorGridlines/>
        <c:numFmt formatCode="#,##0" sourceLinked="1"/>
        <c:majorTickMark val="out"/>
        <c:minorTickMark val="none"/>
        <c:tickLblPos val="nextTo"/>
        <c:crossAx val="228723032"/>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analysis!PivotTable5</c:name>
    <c:fmtId val="13"/>
  </c:pivotSource>
  <c:chart>
    <c:title>
      <c:tx>
        <c:rich>
          <a:bodyPr/>
          <a:lstStyle/>
          <a:p>
            <a:pPr>
              <a:defRPr/>
            </a:pPr>
            <a:r>
              <a:rPr lang="en-US" sz="1400" b="1" i="0" baseline="0">
                <a:effectLst/>
              </a:rPr>
              <a:t>APPROXIMATE FUND ENGAGED PER YEAR(US$)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marker>
          <c:symbol val="none"/>
        </c:marker>
      </c:pivotFmt>
      <c:pivotFmt>
        <c:idx val="6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9.4348250438544431E-2"/>
          <c:y val="0.14674470923692678"/>
          <c:w val="0.78578234093287358"/>
          <c:h val="0.60647697777390019"/>
        </c:manualLayout>
      </c:layout>
      <c:bar3DChart>
        <c:barDir val="col"/>
        <c:grouping val="stacked"/>
        <c:varyColors val="0"/>
        <c:ser>
          <c:idx val="0"/>
          <c:order val="0"/>
          <c:tx>
            <c:strRef>
              <c:f>'Funds analysis'!$C$69:$C$70</c:f>
              <c:strCache>
                <c:ptCount val="1"/>
                <c:pt idx="0">
                  <c:v>AusAid</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1359743.9766673769</c:v>
                </c:pt>
                <c:pt idx="1">
                  <c:v>850647.02333262307</c:v>
                </c:pt>
                <c:pt idx="2">
                  <c:v>0</c:v>
                </c:pt>
              </c:numCache>
            </c:numRef>
          </c:val>
        </c:ser>
        <c:ser>
          <c:idx val="1"/>
          <c:order val="1"/>
          <c:tx>
            <c:strRef>
              <c:f>'Funds analysis'!$D$69:$D$70</c:f>
              <c:strCache>
                <c:ptCount val="1"/>
                <c:pt idx="0">
                  <c:v>DFID</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6118326.9454545453</c:v>
                </c:pt>
                <c:pt idx="1">
                  <c:v>3150351.6290135398</c:v>
                </c:pt>
                <c:pt idx="2">
                  <c:v>2829764.4255319149</c:v>
                </c:pt>
              </c:numCache>
            </c:numRef>
          </c:val>
        </c:ser>
        <c:ser>
          <c:idx val="2"/>
          <c:order val="2"/>
          <c:tx>
            <c:strRef>
              <c:f>'Funds analysis'!$E$69:$E$70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915051.76228571427</c:v>
                </c:pt>
                <c:pt idx="1">
                  <c:v>979937.53715090535</c:v>
                </c:pt>
                <c:pt idx="2">
                  <c:v>1400634.2605633803</c:v>
                </c:pt>
              </c:numCache>
            </c:numRef>
          </c:val>
        </c:ser>
        <c:ser>
          <c:idx val="3"/>
          <c:order val="3"/>
          <c:tx>
            <c:strRef>
              <c:f>'Funds analysis'!$F$69:$F$70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160000</c:v>
                </c:pt>
                <c:pt idx="1">
                  <c:v>0</c:v>
                </c:pt>
                <c:pt idx="2">
                  <c:v>0</c:v>
                </c:pt>
              </c:numCache>
            </c:numRef>
          </c:val>
        </c:ser>
        <c:ser>
          <c:idx val="4"/>
          <c:order val="4"/>
          <c:tx>
            <c:strRef>
              <c:f>'Funds analysis'!$G$69:$G$70</c:f>
              <c:strCache>
                <c:ptCount val="1"/>
                <c:pt idx="0">
                  <c:v>ICRC</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50000</c:v>
                </c:pt>
                <c:pt idx="1">
                  <c:v>0</c:v>
                </c:pt>
                <c:pt idx="2">
                  <c:v>0</c:v>
                </c:pt>
              </c:numCache>
            </c:numRef>
          </c:val>
        </c:ser>
        <c:ser>
          <c:idx val="5"/>
          <c:order val="5"/>
          <c:tx>
            <c:strRef>
              <c:f>'Funds analysis'!$H$69:$H$70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2796114.1614054306</c:v>
                </c:pt>
                <c:pt idx="1">
                  <c:v>3324171.1669636145</c:v>
                </c:pt>
                <c:pt idx="2">
                  <c:v>2430722.6716309548</c:v>
                </c:pt>
              </c:numCache>
            </c:numRef>
          </c:val>
        </c:ser>
        <c:ser>
          <c:idx val="6"/>
          <c:order val="6"/>
          <c:tx>
            <c:strRef>
              <c:f>'Funds analysis'!$I$69:$I$70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2418163</c:v>
                </c:pt>
                <c:pt idx="1">
                  <c:v>0</c:v>
                </c:pt>
                <c:pt idx="2">
                  <c:v>0</c:v>
                </c:pt>
              </c:numCache>
            </c:numRef>
          </c:val>
        </c:ser>
        <c:ser>
          <c:idx val="7"/>
          <c:order val="7"/>
          <c:tx>
            <c:strRef>
              <c:f>'Funds analysis'!$J$69:$J$70</c:f>
              <c:strCache>
                <c:ptCount val="1"/>
                <c:pt idx="0">
                  <c:v>UNHCR</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185000</c:v>
                </c:pt>
                <c:pt idx="1">
                  <c:v>0</c:v>
                </c:pt>
                <c:pt idx="2">
                  <c:v>0</c:v>
                </c:pt>
              </c:numCache>
            </c:numRef>
          </c:val>
        </c:ser>
        <c:ser>
          <c:idx val="8"/>
          <c:order val="8"/>
          <c:tx>
            <c:strRef>
              <c:f>'Funds analysis'!$K$69:$K$70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3146169</c:v>
                </c:pt>
                <c:pt idx="1">
                  <c:v>0</c:v>
                </c:pt>
                <c:pt idx="2">
                  <c:v>0</c:v>
                </c:pt>
              </c:numCache>
            </c:numRef>
          </c:val>
        </c:ser>
        <c:ser>
          <c:idx val="9"/>
          <c:order val="9"/>
          <c:tx>
            <c:strRef>
              <c:f>'Funds analysis'!$L$69:$L$70</c:f>
              <c:strCache>
                <c:ptCount val="1"/>
                <c:pt idx="0">
                  <c:v>SDC</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213220</c:v>
                </c:pt>
                <c:pt idx="1">
                  <c:v>0</c:v>
                </c:pt>
                <c:pt idx="2">
                  <c:v>0</c:v>
                </c:pt>
              </c:numCache>
            </c:numRef>
          </c:val>
        </c:ser>
        <c:ser>
          <c:idx val="10"/>
          <c:order val="10"/>
          <c:tx>
            <c:strRef>
              <c:f>'Funds analysis'!$M$69:$M$70</c:f>
              <c:strCache>
                <c:ptCount val="1"/>
                <c:pt idx="0">
                  <c:v>Finland</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4672.2786855670129</c:v>
                </c:pt>
                <c:pt idx="1">
                  <c:v>18485.972190721644</c:v>
                </c:pt>
                <c:pt idx="2">
                  <c:v>55661.05912371134</c:v>
                </c:pt>
              </c:numCache>
            </c:numRef>
          </c:val>
        </c:ser>
        <c:ser>
          <c:idx val="11"/>
          <c:order val="11"/>
          <c:tx>
            <c:strRef>
              <c:f>'Funds analysis'!$N$69:$N$70</c:f>
              <c:strCache>
                <c:ptCount val="1"/>
                <c:pt idx="0">
                  <c:v>Turkish</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463013.70956043957</c:v>
                </c:pt>
                <c:pt idx="2">
                  <c:v>52389.930439560441</c:v>
                </c:pt>
              </c:numCache>
            </c:numRef>
          </c:val>
        </c:ser>
        <c:ser>
          <c:idx val="12"/>
          <c:order val="12"/>
          <c:tx>
            <c:strRef>
              <c:f>'Funds analysis'!$O$69:$O$70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455617.28395061725</c:v>
                </c:pt>
                <c:pt idx="2">
                  <c:v>270382.71604938275</c:v>
                </c:pt>
              </c:numCache>
            </c:numRef>
          </c:val>
        </c:ser>
        <c:ser>
          <c:idx val="13"/>
          <c:order val="13"/>
          <c:tx>
            <c:strRef>
              <c:f>'Funds analysis'!$P$69:$P$70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564560.43956043955</c:v>
                </c:pt>
                <c:pt idx="2">
                  <c:v>185439.56043956045</c:v>
                </c:pt>
              </c:numCache>
            </c:numRef>
          </c:val>
        </c:ser>
        <c:ser>
          <c:idx val="14"/>
          <c:order val="14"/>
          <c:tx>
            <c:strRef>
              <c:f>'Funds analysis'!$Q$69:$Q$70</c:f>
              <c:strCache>
                <c:ptCount val="1"/>
                <c:pt idx="0">
                  <c:v>DANIDA</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50274.725274725271</c:v>
                </c:pt>
                <c:pt idx="2">
                  <c:v>49725.274725274729</c:v>
                </c:pt>
              </c:numCache>
            </c:numRef>
          </c:val>
        </c:ser>
        <c:ser>
          <c:idx val="15"/>
          <c:order val="15"/>
          <c:tx>
            <c:strRef>
              <c:f>'Funds analysis'!$R$69:$R$70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502906.06454851897</c:v>
                </c:pt>
                <c:pt idx="1">
                  <c:v>783907.11383747915</c:v>
                </c:pt>
                <c:pt idx="2">
                  <c:v>377504.34577434475</c:v>
                </c:pt>
              </c:numCache>
            </c:numRef>
          </c:val>
        </c:ser>
        <c:ser>
          <c:idx val="16"/>
          <c:order val="16"/>
          <c:tx>
            <c:strRef>
              <c:f>'Funds analysis'!$S$69:$S$70</c:f>
              <c:strCache>
                <c:ptCount val="1"/>
                <c:pt idx="0">
                  <c:v>EU</c:v>
                </c:pt>
              </c:strCache>
            </c:strRef>
          </c:tx>
          <c:invertIfNegative val="0"/>
          <c:cat>
            <c:strRef>
              <c:f>'Funds analysis'!$B$71:$B$73</c:f>
              <c:strCache>
                <c:ptCount val="3"/>
                <c:pt idx="0">
                  <c:v>Before 2014</c:v>
                </c:pt>
                <c:pt idx="1">
                  <c:v>2014</c:v>
                </c:pt>
                <c:pt idx="2">
                  <c:v>2015</c:v>
                </c:pt>
              </c:strCache>
            </c:strRef>
          </c:cat>
          <c:val>
            <c:numRef>
              <c:f>'Funds analysis'!$S$71:$S$73</c:f>
              <c:numCache>
                <c:formatCode>#,##0</c:formatCode>
                <c:ptCount val="3"/>
                <c:pt idx="0">
                  <c:v>291512.29050279339</c:v>
                </c:pt>
                <c:pt idx="1">
                  <c:v>235278.21229050274</c:v>
                </c:pt>
                <c:pt idx="2">
                  <c:v>630209.49720670388</c:v>
                </c:pt>
              </c:numCache>
            </c:numRef>
          </c:val>
        </c:ser>
        <c:dLbls>
          <c:showLegendKey val="0"/>
          <c:showVal val="0"/>
          <c:showCatName val="0"/>
          <c:showSerName val="0"/>
          <c:showPercent val="0"/>
          <c:showBubbleSize val="0"/>
        </c:dLbls>
        <c:gapWidth val="150"/>
        <c:shape val="box"/>
        <c:axId val="228724208"/>
        <c:axId val="228724600"/>
        <c:axId val="0"/>
      </c:bar3DChart>
      <c:catAx>
        <c:axId val="228724208"/>
        <c:scaling>
          <c:orientation val="minMax"/>
        </c:scaling>
        <c:delete val="0"/>
        <c:axPos val="b"/>
        <c:numFmt formatCode="General" sourceLinked="1"/>
        <c:majorTickMark val="out"/>
        <c:minorTickMark val="none"/>
        <c:tickLblPos val="nextTo"/>
        <c:crossAx val="228724600"/>
        <c:crosses val="autoZero"/>
        <c:auto val="0"/>
        <c:lblAlgn val="ctr"/>
        <c:lblOffset val="100"/>
        <c:noMultiLvlLbl val="0"/>
      </c:catAx>
      <c:valAx>
        <c:axId val="228724600"/>
        <c:scaling>
          <c:orientation val="minMax"/>
          <c:max val="20000000"/>
        </c:scaling>
        <c:delete val="0"/>
        <c:axPos val="l"/>
        <c:majorGridlines/>
        <c:numFmt formatCode="#,##0" sourceLinked="1"/>
        <c:majorTickMark val="out"/>
        <c:minorTickMark val="none"/>
        <c:tickLblPos val="nextTo"/>
        <c:crossAx val="228724208"/>
        <c:crosses val="autoZero"/>
        <c:crossBetween val="between"/>
        <c:majorUnit val="5000000"/>
        <c:minorUnit val="500000"/>
      </c:valAx>
      <c:spPr>
        <a:noFill/>
        <a:ln w="25400">
          <a:noFill/>
        </a:ln>
      </c:spPr>
    </c:plotArea>
    <c:legend>
      <c:legendPos val="r"/>
      <c:layout>
        <c:manualLayout>
          <c:xMode val="edge"/>
          <c:yMode val="edge"/>
          <c:x val="0.8235935583428956"/>
          <c:y val="9.9687916917362077E-2"/>
          <c:w val="9.0979305978712455E-2"/>
          <c:h val="0.78098961467025929"/>
        </c:manualLayout>
      </c:layout>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analysis!PivotTable1</c:name>
    <c:fmtId val="4"/>
  </c:pivotSource>
  <c:chart>
    <c:title>
      <c:tx>
        <c:rich>
          <a:bodyPr/>
          <a:lstStyle/>
          <a:p>
            <a:pPr>
              <a:defRPr sz="1100"/>
            </a:pPr>
            <a:r>
              <a:rPr lang="en-US" sz="1400" b="1" i="0" baseline="0">
                <a:effectLst/>
              </a:rPr>
              <a:t>TYPOLOGY OF THE BENEFICIARIES TARGETTED</a:t>
            </a:r>
            <a:endParaRPr lang="en-US" sz="1400">
              <a:solidFill>
                <a:srgbClr val="FF0000"/>
              </a:solidFill>
              <a:effectLst/>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view3D>
      <c:rotX val="20"/>
      <c:rotY val="10"/>
      <c:rAngAx val="0"/>
    </c:view3D>
    <c:floor>
      <c:thickness val="0"/>
    </c:floor>
    <c:sideWall>
      <c:thickness val="0"/>
    </c:sideWall>
    <c:backWall>
      <c:thickness val="0"/>
    </c:backWall>
    <c:plotArea>
      <c:layout/>
      <c:bar3DChart>
        <c:barDir val="col"/>
        <c:grouping val="stacked"/>
        <c:varyColors val="0"/>
        <c:ser>
          <c:idx val="0"/>
          <c:order val="0"/>
          <c:tx>
            <c:strRef>
              <c:f>'Funds analysis'!$C$101:$C$102</c:f>
              <c:strCache>
                <c:ptCount val="1"/>
                <c:pt idx="0">
                  <c:v>% funding  IDP</c:v>
                </c:pt>
              </c:strCache>
            </c:strRef>
          </c:tx>
          <c:invertIfNegative val="0"/>
          <c:cat>
            <c:strRef>
              <c:f>'Funds analysis'!$B$103:$B$107</c:f>
              <c:strCache>
                <c:ptCount val="4"/>
                <c:pt idx="0">
                  <c:v>2012</c:v>
                </c:pt>
                <c:pt idx="1">
                  <c:v>2013</c:v>
                </c:pt>
                <c:pt idx="2">
                  <c:v>2014</c:v>
                </c:pt>
                <c:pt idx="3">
                  <c:v>2015</c:v>
                </c:pt>
              </c:strCache>
            </c:strRef>
          </c:cat>
          <c:val>
            <c:numRef>
              <c:f>'Funds analysis'!$C$103:$C$107</c:f>
              <c:numCache>
                <c:formatCode>0%</c:formatCode>
                <c:ptCount val="4"/>
                <c:pt idx="0">
                  <c:v>0.86250000000000004</c:v>
                </c:pt>
                <c:pt idx="1">
                  <c:v>0.91714285714285726</c:v>
                </c:pt>
                <c:pt idx="2">
                  <c:v>0.51985795189624062</c:v>
                </c:pt>
                <c:pt idx="3">
                  <c:v>0.52076458801472658</c:v>
                </c:pt>
              </c:numCache>
            </c:numRef>
          </c:val>
        </c:ser>
        <c:ser>
          <c:idx val="1"/>
          <c:order val="1"/>
          <c:tx>
            <c:strRef>
              <c:f>'Funds analysis'!$D$101:$D$102</c:f>
              <c:strCache>
                <c:ptCount val="1"/>
                <c:pt idx="0">
                  <c:v>% of funding  to affected village</c:v>
                </c:pt>
              </c:strCache>
            </c:strRef>
          </c:tx>
          <c:invertIfNegative val="0"/>
          <c:cat>
            <c:strRef>
              <c:f>'Funds analysis'!$B$103:$B$107</c:f>
              <c:strCache>
                <c:ptCount val="4"/>
                <c:pt idx="0">
                  <c:v>2012</c:v>
                </c:pt>
                <c:pt idx="1">
                  <c:v>2013</c:v>
                </c:pt>
                <c:pt idx="2">
                  <c:v>2014</c:v>
                </c:pt>
                <c:pt idx="3">
                  <c:v>2015</c:v>
                </c:pt>
              </c:strCache>
            </c:strRef>
          </c:cat>
          <c:val>
            <c:numRef>
              <c:f>'Funds analysis'!$D$103:$D$107</c:f>
              <c:numCache>
                <c:formatCode>0%</c:formatCode>
                <c:ptCount val="4"/>
                <c:pt idx="0">
                  <c:v>0</c:v>
                </c:pt>
                <c:pt idx="1">
                  <c:v>2.2499999999999999E-2</c:v>
                </c:pt>
                <c:pt idx="2">
                  <c:v>0.25738323945605601</c:v>
                </c:pt>
                <c:pt idx="3">
                  <c:v>0.15000000000000002</c:v>
                </c:pt>
              </c:numCache>
            </c:numRef>
          </c:val>
        </c:ser>
        <c:ser>
          <c:idx val="2"/>
          <c:order val="2"/>
          <c:tx>
            <c:strRef>
              <c:f>'Funds analysis'!$E$101:$E$102</c:f>
              <c:strCache>
                <c:ptCount val="1"/>
                <c:pt idx="0">
                  <c:v> % of funding  to surrounding host community</c:v>
                </c:pt>
              </c:strCache>
            </c:strRef>
          </c:tx>
          <c:invertIfNegative val="0"/>
          <c:cat>
            <c:strRef>
              <c:f>'Funds analysis'!$B$103:$B$107</c:f>
              <c:strCache>
                <c:ptCount val="4"/>
                <c:pt idx="0">
                  <c:v>2012</c:v>
                </c:pt>
                <c:pt idx="1">
                  <c:v>2013</c:v>
                </c:pt>
                <c:pt idx="2">
                  <c:v>2014</c:v>
                </c:pt>
                <c:pt idx="3">
                  <c:v>2015</c:v>
                </c:pt>
              </c:strCache>
            </c:strRef>
          </c:cat>
          <c:val>
            <c:numRef>
              <c:f>'Funds analysis'!$E$103:$E$107</c:f>
              <c:numCache>
                <c:formatCode>0%</c:formatCode>
                <c:ptCount val="4"/>
                <c:pt idx="0">
                  <c:v>0.12222222222222223</c:v>
                </c:pt>
                <c:pt idx="1">
                  <c:v>6.4500000000000002E-2</c:v>
                </c:pt>
                <c:pt idx="2">
                  <c:v>0.22275880864770342</c:v>
                </c:pt>
                <c:pt idx="3">
                  <c:v>0.3292354119852734</c:v>
                </c:pt>
              </c:numCache>
            </c:numRef>
          </c:val>
        </c:ser>
        <c:dLbls>
          <c:showLegendKey val="0"/>
          <c:showVal val="0"/>
          <c:showCatName val="0"/>
          <c:showSerName val="0"/>
          <c:showPercent val="0"/>
          <c:showBubbleSize val="0"/>
        </c:dLbls>
        <c:gapWidth val="100"/>
        <c:shape val="box"/>
        <c:axId val="228725384"/>
        <c:axId val="228725776"/>
        <c:axId val="0"/>
      </c:bar3DChart>
      <c:catAx>
        <c:axId val="228725384"/>
        <c:scaling>
          <c:orientation val="minMax"/>
        </c:scaling>
        <c:delete val="0"/>
        <c:axPos val="b"/>
        <c:numFmt formatCode="General" sourceLinked="1"/>
        <c:majorTickMark val="out"/>
        <c:minorTickMark val="none"/>
        <c:tickLblPos val="nextTo"/>
        <c:crossAx val="228725776"/>
        <c:crosses val="autoZero"/>
        <c:auto val="1"/>
        <c:lblAlgn val="ctr"/>
        <c:lblOffset val="100"/>
        <c:noMultiLvlLbl val="0"/>
      </c:catAx>
      <c:valAx>
        <c:axId val="228725776"/>
        <c:scaling>
          <c:orientation val="minMax"/>
        </c:scaling>
        <c:delete val="0"/>
        <c:axPos val="l"/>
        <c:majorGridlines/>
        <c:numFmt formatCode="0%" sourceLinked="1"/>
        <c:majorTickMark val="out"/>
        <c:minorTickMark val="none"/>
        <c:tickLblPos val="nextTo"/>
        <c:crossAx val="228725384"/>
        <c:crosses val="autoZero"/>
        <c:crossBetween val="between"/>
      </c:valAx>
      <c:spPr>
        <a:noFill/>
        <a:ln w="25400">
          <a:noFill/>
        </a:ln>
      </c:spPr>
    </c:plotArea>
    <c:legend>
      <c:legendPos val="b"/>
      <c:overlay val="0"/>
    </c:legend>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analysis!PivotTable3</c:name>
    <c:fmtId val="3"/>
  </c:pivotSource>
  <c:chart>
    <c:title>
      <c:tx>
        <c:rich>
          <a:bodyPr/>
          <a:lstStyle/>
          <a:p>
            <a:pPr>
              <a:defRPr sz="1100"/>
            </a:pPr>
            <a:r>
              <a:rPr lang="en-US" sz="1400" b="1" i="0" baseline="0">
                <a:effectLst/>
              </a:rPr>
              <a:t>Funds repartition by sub-sector</a:t>
            </a:r>
            <a:endParaRPr lang="en-US" sz="1400">
              <a:effectLst/>
            </a:endParaRPr>
          </a:p>
        </c:rich>
      </c:tx>
      <c:layout>
        <c:manualLayout>
          <c:xMode val="edge"/>
          <c:yMode val="edge"/>
          <c:x val="0.33706601778944362"/>
          <c:y val="7.1428571428571425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1"/>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2"/>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3"/>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'Funds analysis'!$C$118</c:f>
              <c:strCache>
                <c:ptCount val="1"/>
                <c:pt idx="0">
                  <c:v>Total</c:v>
                </c:pt>
              </c:strCache>
            </c:strRef>
          </c:tx>
          <c:explosion val="10"/>
          <c:dLbls>
            <c:dLbl>
              <c:idx val="0"/>
              <c:layout>
                <c:manualLayout>
                  <c:x val="-0.17732531515143826"/>
                  <c:y val="4.483478627671544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5164212929266199"/>
                  <c:y val="-0.2487637362637363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0.17848789322376718"/>
                  <c:y val="8.455005624296974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'Funds analysis'!$B$119:$B$121</c:f>
              <c:strCache>
                <c:ptCount val="3"/>
                <c:pt idx="0">
                  <c:v> Approximate % of fund dedicated to sanitation</c:v>
                </c:pt>
                <c:pt idx="1">
                  <c:v> Approximate % fund dedicated to Water access</c:v>
                </c:pt>
                <c:pt idx="2">
                  <c:v> Approximate % of fund dedicated to HP</c:v>
                </c:pt>
              </c:strCache>
            </c:strRef>
          </c:cat>
          <c:val>
            <c:numRef>
              <c:f>'Funds analysis'!$C$119:$C$121</c:f>
              <c:numCache>
                <c:formatCode>0%</c:formatCode>
                <c:ptCount val="3"/>
                <c:pt idx="0">
                  <c:v>0.39735591353415772</c:v>
                </c:pt>
                <c:pt idx="1">
                  <c:v>0.26298370314950653</c:v>
                </c:pt>
                <c:pt idx="2">
                  <c:v>0.33764114464990336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Wash_Matrix_Rakhine_Master.xlsx]Funds analysis!PivotTable9</c:name>
    <c:fmtId val="56"/>
  </c:pivotSource>
  <c:chart>
    <c:title>
      <c:tx>
        <c:rich>
          <a:bodyPr/>
          <a:lstStyle/>
          <a:p>
            <a:pPr>
              <a:defRPr sz="1400"/>
            </a:pPr>
            <a:r>
              <a:rPr lang="en-US" sz="1400"/>
              <a:t>DONORS</a:t>
            </a:r>
            <a:r>
              <a:rPr lang="en-US" sz="1400" baseline="0"/>
              <a:t> FUNDING  </a:t>
            </a:r>
            <a:r>
              <a:rPr lang="en-US" sz="1400" baseline="0">
                <a:solidFill>
                  <a:srgbClr val="FF0000"/>
                </a:solidFill>
              </a:rPr>
              <a:t>IN 2015</a:t>
            </a:r>
          </a:p>
        </c:rich>
      </c:tx>
      <c:layout>
        <c:manualLayout>
          <c:xMode val="edge"/>
          <c:yMode val="edge"/>
          <c:x val="0.38693936494810505"/>
          <c:y val="5.289532293986636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pivotFmt>
      <c:pivotFmt>
        <c:idx val="40"/>
        <c:marker>
          <c:symbol val="none"/>
        </c:marker>
        <c:dLbl>
          <c:idx val="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analysis'!$C$35:$C$36</c:f>
              <c:strCache>
                <c:ptCount val="1"/>
                <c:pt idx="0">
                  <c:v>Total</c:v>
                </c:pt>
              </c:strCache>
            </c:strRef>
          </c:tx>
          <c:explosion val="22"/>
          <c:dLbls>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'Funds analysis'!$B$37:$B$41</c:f>
              <c:strCache>
                <c:ptCount val="4"/>
                <c:pt idx="0">
                  <c:v>DFID</c:v>
                </c:pt>
                <c:pt idx="1">
                  <c:v>ECHO</c:v>
                </c:pt>
                <c:pt idx="2">
                  <c:v>OFDA</c:v>
                </c:pt>
                <c:pt idx="3">
                  <c:v>ERF</c:v>
                </c:pt>
              </c:strCache>
            </c:strRef>
          </c:cat>
          <c:val>
            <c:numRef>
              <c:f>'Funds analysis'!$C$37:$C$41</c:f>
              <c:numCache>
                <c:formatCode>#,##0</c:formatCode>
                <c:ptCount val="4"/>
                <c:pt idx="0">
                  <c:v>2095794</c:v>
                </c:pt>
                <c:pt idx="1">
                  <c:v>562920</c:v>
                </c:pt>
                <c:pt idx="2">
                  <c:v>1347500</c:v>
                </c:pt>
                <c:pt idx="3">
                  <c:v>298002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1" i="1"/>
              <a:t>309,000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1.6838747991273009E-2"/>
                  <c:y val="0.20853029697135519"/>
                </c:manualLayout>
              </c:layout>
              <c:showLegendKey val="0"/>
              <c:showVal val="1"/>
              <c:showCatName val="0"/>
              <c:showSerName val="0"/>
              <c:showPercent val="0"/>
              <c:showBubbleSize val="0"/>
              <c:extLst>
                <c:ext xmlns:c15="http://schemas.microsoft.com/office/drawing/2012/chart" uri="{CE6537A1-D6FC-4f65-9D91-7224C49458BB}">
                  <c15:layout>
                    <c:manualLayout>
                      <c:w val="0.25548369964086182"/>
                      <c:h val="0.23588807273798751"/>
                    </c:manualLayout>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2015'!$C$43:$C$46</c:f>
              <c:numCache>
                <c:formatCode>0%</c:formatCode>
                <c:ptCount val="4"/>
                <c:pt idx="0">
                  <c:v>1.1015726745019121</c:v>
                </c:pt>
                <c:pt idx="1">
                  <c:v>-0.1015726745019121</c:v>
                </c:pt>
                <c:pt idx="2">
                  <c:v>0.5</c:v>
                </c:pt>
                <c:pt idx="3">
                  <c:v>0.5</c:v>
                </c:pt>
              </c:numCache>
            </c:numRef>
          </c:val>
        </c:ser>
        <c:ser>
          <c:idx val="1"/>
          <c:order val="1"/>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Water target pop.:</a:t>
            </a:r>
            <a:endParaRPr lang="en-US" sz="600">
              <a:solidFill>
                <a:schemeClr val="bg1">
                  <a:lumMod val="50000"/>
                </a:schemeClr>
              </a:solidFill>
              <a:effectLst/>
            </a:endParaRPr>
          </a:p>
          <a:p>
            <a:pPr>
              <a:defRPr sz="600" b="0">
                <a:solidFill>
                  <a:schemeClr val="bg1">
                    <a:lumMod val="50000"/>
                  </a:schemeClr>
                </a:solidFill>
              </a:defRPr>
            </a:pPr>
            <a:r>
              <a:rPr lang="en-US" sz="600" b="1" i="1" baseline="0">
                <a:solidFill>
                  <a:schemeClr val="bg1">
                    <a:lumMod val="50000"/>
                  </a:schemeClr>
                </a:solidFill>
                <a:effectLst/>
              </a:rPr>
              <a:t>309,000</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Water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0425815256270557"/>
                  <c:y val="0.1553621809678855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2015'!$C$50:$C$53</c:f>
              <c:numCache>
                <c:formatCode>0%</c:formatCode>
                <c:ptCount val="4"/>
                <c:pt idx="0">
                  <c:v>0.75560338925843251</c:v>
                </c:pt>
                <c:pt idx="1">
                  <c:v>0.24439661074156749</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Sanitation target:</a:t>
            </a:r>
            <a:endParaRPr lang="en-US" sz="600">
              <a:solidFill>
                <a:schemeClr val="bg1">
                  <a:lumMod val="50000"/>
                </a:schemeClr>
              </a:solidFill>
              <a:effectLst/>
            </a:endParaRPr>
          </a:p>
          <a:p>
            <a:pPr>
              <a:defRPr sz="600" b="0">
                <a:solidFill>
                  <a:schemeClr val="bg1">
                    <a:lumMod val="50000"/>
                  </a:schemeClr>
                </a:solidFill>
              </a:defRPr>
            </a:pPr>
            <a:endParaRPr lang="en-US" sz="600" b="0" i="0" baseline="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Sanitation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9311916003565885E-2"/>
                  <c:y val="0.1688248547498203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2015'!$C$57:$C$60</c:f>
              <c:numCache>
                <c:formatCode>0%</c:formatCode>
                <c:ptCount val="4"/>
                <c:pt idx="0">
                  <c:v>0.80355163084487602</c:v>
                </c:pt>
                <c:pt idx="1">
                  <c:v>0.19644836915512398</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HP target:</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309,000</a:t>
            </a:r>
          </a:p>
          <a:p>
            <a:pPr>
              <a:defRPr sz="600" b="0">
                <a:solidFill>
                  <a:schemeClr val="bg1">
                    <a:lumMod val="50000"/>
                  </a:schemeClr>
                </a:solidFill>
              </a:defRPr>
            </a:pPr>
            <a:r>
              <a:rPr lang="en-US" sz="600" b="0" i="0" baseline="0">
                <a:solidFill>
                  <a:schemeClr val="bg1">
                    <a:lumMod val="50000"/>
                  </a:schemeClr>
                </a:solidFill>
                <a:effectLst/>
              </a:rPr>
              <a:t>Hygiene knowledge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9720325708205272"/>
                  <c:y val="0.1021967885456526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2015'!$C$64:$C$67</c:f>
              <c:numCache>
                <c:formatCode>0%</c:formatCode>
                <c:ptCount val="4"/>
                <c:pt idx="0">
                  <c:v>0.34532049701770168</c:v>
                </c:pt>
                <c:pt idx="1">
                  <c:v>0.65467950298229827</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2.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 Type="http://schemas.openxmlformats.org/officeDocument/2006/relationships/chart" Target="../charts/chart15.xml"/><Relationship Id="rId21" Type="http://schemas.openxmlformats.org/officeDocument/2006/relationships/chart" Target="../charts/chart33.xml"/><Relationship Id="rId34" Type="http://schemas.openxmlformats.org/officeDocument/2006/relationships/chart" Target="../charts/chart46.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33" Type="http://schemas.openxmlformats.org/officeDocument/2006/relationships/chart" Target="../charts/chart45.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29" Type="http://schemas.openxmlformats.org/officeDocument/2006/relationships/chart" Target="../charts/chart41.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32" Type="http://schemas.openxmlformats.org/officeDocument/2006/relationships/chart" Target="../charts/chart44.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40.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43.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9.xml"/><Relationship Id="rId30"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4</xdr:col>
      <xdr:colOff>409574</xdr:colOff>
      <xdr:row>3</xdr:row>
      <xdr:rowOff>57952</xdr:rowOff>
    </xdr:from>
    <xdr:to>
      <xdr:col>10</xdr:col>
      <xdr:colOff>266699</xdr:colOff>
      <xdr:row>32</xdr:row>
      <xdr:rowOff>171449</xdr:rowOff>
    </xdr:to>
    <xdr:pic>
      <xdr:nvPicPr>
        <xdr:cNvPr id="29" name="Picture 28"/>
        <xdr:cNvPicPr>
          <a:picLocks noChangeAspect="1"/>
        </xdr:cNvPicPr>
      </xdr:nvPicPr>
      <xdr:blipFill>
        <a:blip xmlns:r="http://schemas.openxmlformats.org/officeDocument/2006/relationships" r:embed="rId1"/>
        <a:stretch>
          <a:fillRect/>
        </a:stretch>
      </xdr:blipFill>
      <xdr:spPr>
        <a:xfrm>
          <a:off x="2847974" y="629452"/>
          <a:ext cx="3514725" cy="5637997"/>
        </a:xfrm>
        <a:prstGeom prst="rect">
          <a:avLst/>
        </a:prstGeom>
      </xdr:spPr>
    </xdr:pic>
    <xdr:clientData/>
  </xdr:twoCellAnchor>
  <xdr:twoCellAnchor>
    <xdr:from>
      <xdr:col>0</xdr:col>
      <xdr:colOff>152399</xdr:colOff>
      <xdr:row>4</xdr:row>
      <xdr:rowOff>47623</xdr:rowOff>
    </xdr:from>
    <xdr:to>
      <xdr:col>4</xdr:col>
      <xdr:colOff>504824</xdr:colOff>
      <xdr:row>13</xdr:row>
      <xdr:rowOff>76200</xdr:rowOff>
    </xdr:to>
    <xdr:sp macro="" textlink="">
      <xdr:nvSpPr>
        <xdr:cNvPr id="4" name="TextBox 3"/>
        <xdr:cNvSpPr txBox="1"/>
      </xdr:nvSpPr>
      <xdr:spPr>
        <a:xfrm>
          <a:off x="152399" y="809623"/>
          <a:ext cx="2790825" cy="174307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Wingdings" panose="05000000000000000000" pitchFamily="2" charset="2"/>
            <a:buChar char="Ø"/>
          </a:pPr>
          <a:r>
            <a:rPr lang="en-US" sz="700">
              <a:solidFill>
                <a:schemeClr val="dk1"/>
              </a:solidFill>
              <a:effectLst/>
              <a:latin typeface="+mn-lt"/>
              <a:ea typeface="+mn-ea"/>
              <a:cs typeface="+mn-cs"/>
            </a:rPr>
            <a:t>Latrine reconstruction/rehabilitation continue following flood impact in IDP camps</a:t>
          </a:r>
        </a:p>
        <a:p>
          <a:pPr marL="171450" indent="-171450">
            <a:buFont typeface="Wingdings" panose="05000000000000000000" pitchFamily="2" charset="2"/>
            <a:buChar char="Ø"/>
          </a:pPr>
          <a:endParaRPr lang="en-US" sz="700">
            <a:effectLst/>
          </a:endParaRPr>
        </a:p>
        <a:p>
          <a:pPr marL="171450" indent="-171450" eaLnBrk="1" fontAlgn="auto" latinLnBrk="0" hangingPunct="1">
            <a:buFont typeface="Wingdings" panose="05000000000000000000" pitchFamily="2" charset="2"/>
            <a:buChar char="Ø"/>
          </a:pPr>
          <a:r>
            <a:rPr lang="en-US" sz="700">
              <a:solidFill>
                <a:schemeClr val="dk1"/>
              </a:solidFill>
              <a:effectLst/>
              <a:latin typeface="+mn-lt"/>
              <a:ea typeface="+mn-ea"/>
              <a:cs typeface="+mn-cs"/>
            </a:rPr>
            <a:t>Village flood response focused on pond rehabilitation and distribution of household water filters</a:t>
          </a:r>
        </a:p>
        <a:p>
          <a:pPr marL="171450" indent="-171450" eaLnBrk="1" fontAlgn="auto" latinLnBrk="0" hangingPunct="1">
            <a:buFont typeface="Wingdings" panose="05000000000000000000" pitchFamily="2" charset="2"/>
            <a:buChar char="Ø"/>
          </a:pPr>
          <a:endParaRPr lang="en-US" sz="700">
            <a:effectLst/>
          </a:endParaRPr>
        </a:p>
        <a:p>
          <a:pPr marL="171450" indent="-171450">
            <a:buFont typeface="Wingdings" panose="05000000000000000000" pitchFamily="2" charset="2"/>
            <a:buChar char="Ø"/>
          </a:pPr>
          <a:r>
            <a:rPr lang="en-US" sz="700">
              <a:solidFill>
                <a:schemeClr val="dk1"/>
              </a:solidFill>
              <a:effectLst/>
              <a:latin typeface="+mn-lt"/>
              <a:ea typeface="+mn-ea"/>
              <a:cs typeface="+mn-cs"/>
            </a:rPr>
            <a:t>Collaborations with Education agencies formalised pat month identified to be better operationalised next months</a:t>
          </a:r>
        </a:p>
        <a:p>
          <a:pPr marL="171450" indent="-171450">
            <a:buFont typeface="Wingdings" panose="05000000000000000000" pitchFamily="2" charset="2"/>
            <a:buChar char="Ø"/>
          </a:pPr>
          <a:endParaRPr lang="en-US" sz="700">
            <a:effectLst/>
          </a:endParaRPr>
        </a:p>
        <a:p>
          <a:pPr marL="171450" indent="-171450">
            <a:buFont typeface="Wingdings" panose="05000000000000000000" pitchFamily="2" charset="2"/>
            <a:buChar char="Ø"/>
          </a:pPr>
          <a:r>
            <a:rPr lang="en-US" sz="700">
              <a:solidFill>
                <a:schemeClr val="dk1"/>
              </a:solidFill>
              <a:effectLst/>
              <a:latin typeface="+mn-lt"/>
              <a:ea typeface="+mn-ea"/>
              <a:cs typeface="+mn-cs"/>
            </a:rPr>
            <a:t>Continuous advocacy for integrated latrines with Shelter</a:t>
          </a:r>
          <a:r>
            <a:rPr lang="en-US" sz="700" baseline="0">
              <a:solidFill>
                <a:schemeClr val="dk1"/>
              </a:solidFill>
              <a:effectLst/>
              <a:latin typeface="+mn-lt"/>
              <a:ea typeface="+mn-ea"/>
              <a:cs typeface="+mn-cs"/>
            </a:rPr>
            <a:t>, in habitat appraoch defined</a:t>
          </a:r>
          <a:r>
            <a:rPr lang="en-US" sz="700">
              <a:solidFill>
                <a:schemeClr val="dk1"/>
              </a:solidFill>
              <a:effectLst/>
              <a:latin typeface="+mn-lt"/>
              <a:ea typeface="+mn-ea"/>
              <a:cs typeface="+mn-cs"/>
            </a:rPr>
            <a:t> ending displacement project, now well applyied  with individual shelters in Kyauktaw township</a:t>
          </a:r>
        </a:p>
        <a:p>
          <a:pPr marL="171450" indent="-171450">
            <a:buFont typeface="Wingdings" panose="05000000000000000000" pitchFamily="2" charset="2"/>
            <a:buChar char="Ø"/>
          </a:pPr>
          <a:endParaRPr lang="en-US" sz="700">
            <a:solidFill>
              <a:schemeClr val="dk1"/>
            </a:solidFill>
            <a:effectLst/>
            <a:latin typeface="+mn-lt"/>
            <a:ea typeface="+mn-ea"/>
            <a:cs typeface="+mn-cs"/>
          </a:endParaRPr>
        </a:p>
        <a:p>
          <a:pPr marL="171450" indent="-171450">
            <a:buFont typeface="Wingdings" panose="05000000000000000000" pitchFamily="2" charset="2"/>
            <a:buChar char="Ø"/>
          </a:pPr>
          <a:r>
            <a:rPr lang="en-US" sz="700">
              <a:solidFill>
                <a:schemeClr val="dk1"/>
              </a:solidFill>
              <a:effectLst/>
              <a:latin typeface="+mn-lt"/>
              <a:ea typeface="+mn-ea"/>
              <a:cs typeface="+mn-cs"/>
            </a:rPr>
            <a:t>Strongest integration</a:t>
          </a:r>
          <a:r>
            <a:rPr lang="en-US" sz="700" baseline="0">
              <a:solidFill>
                <a:schemeClr val="dk1"/>
              </a:solidFill>
              <a:effectLst/>
              <a:latin typeface="+mn-lt"/>
              <a:ea typeface="+mn-ea"/>
              <a:cs typeface="+mn-cs"/>
            </a:rPr>
            <a:t> of Wash data </a:t>
          </a:r>
          <a:r>
            <a:rPr lang="en-US" sz="700">
              <a:solidFill>
                <a:schemeClr val="dk1"/>
              </a:solidFill>
              <a:effectLst/>
              <a:latin typeface="+mn-lt"/>
              <a:ea typeface="+mn-ea"/>
              <a:cs typeface="+mn-cs"/>
            </a:rPr>
            <a:t>related to Maugndaw district Wash project</a:t>
          </a:r>
          <a:endParaRPr lang="en-US" sz="700">
            <a:effectLst/>
          </a:endParaRPr>
        </a:p>
        <a:p>
          <a:pPr marL="171450" lvl="0" indent="-171450">
            <a:spcBef>
              <a:spcPts val="600"/>
            </a:spcBef>
            <a:buFont typeface="Wingdings" panose="05000000000000000000" pitchFamily="2" charset="2"/>
            <a:buChar char="Ø"/>
          </a:pPr>
          <a:endParaRPr lang="en-GB" sz="700" baseline="0">
            <a:solidFill>
              <a:sysClr val="windowText" lastClr="000000"/>
            </a:solidFill>
            <a:effectLst/>
            <a:latin typeface="+mn-lt"/>
            <a:ea typeface="+mn-ea"/>
            <a:cs typeface="+mn-cs"/>
          </a:endParaRPr>
        </a:p>
      </xdr:txBody>
    </xdr:sp>
    <xdr:clientData/>
  </xdr:twoCellAnchor>
  <xdr:twoCellAnchor editAs="oneCell">
    <xdr:from>
      <xdr:col>0</xdr:col>
      <xdr:colOff>114299</xdr:colOff>
      <xdr:row>0</xdr:row>
      <xdr:rowOff>128587</xdr:rowOff>
    </xdr:from>
    <xdr:to>
      <xdr:col>2</xdr:col>
      <xdr:colOff>141457</xdr:colOff>
      <xdr:row>2</xdr:row>
      <xdr:rowOff>159067</xdr:rowOff>
    </xdr:to>
    <xdr:pic>
      <xdr:nvPicPr>
        <xdr:cNvPr id="11"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99" y="128587"/>
          <a:ext cx="125112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56030</xdr:colOff>
      <xdr:row>3</xdr:row>
      <xdr:rowOff>9525</xdr:rowOff>
    </xdr:from>
    <xdr:to>
      <xdr:col>14</xdr:col>
      <xdr:colOff>1015207</xdr:colOff>
      <xdr:row>9</xdr:row>
      <xdr:rowOff>136525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xdr:row>
      <xdr:rowOff>6350</xdr:rowOff>
    </xdr:from>
    <xdr:to>
      <xdr:col>14</xdr:col>
      <xdr:colOff>1035050</xdr:colOff>
      <xdr:row>2</xdr:row>
      <xdr:rowOff>81026</xdr:rowOff>
    </xdr:to>
    <xdr:sp macro="" textlink="">
      <xdr:nvSpPr>
        <xdr:cNvPr id="7" name="TextBox 6"/>
        <xdr:cNvSpPr txBox="1"/>
      </xdr:nvSpPr>
      <xdr:spPr>
        <a:xfrm>
          <a:off x="1219200" y="196850"/>
          <a:ext cx="8350250"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RAKHINE STATE</a:t>
          </a:r>
          <a:r>
            <a:rPr lang="en-US" sz="1100" b="1" baseline="0">
              <a:solidFill>
                <a:schemeClr val="bg1"/>
              </a:solidFill>
            </a:rPr>
            <a:t> MONTHLY SNAPSHOT			October 2015</a:t>
          </a:r>
          <a:endParaRPr lang="en-US" sz="1100" b="1">
            <a:solidFill>
              <a:schemeClr val="bg1"/>
            </a:solidFill>
          </a:endParaRPr>
        </a:p>
      </xdr:txBody>
    </xdr:sp>
    <xdr:clientData/>
  </xdr:twoCellAnchor>
  <xdr:twoCellAnchor editAs="oneCell">
    <xdr:from>
      <xdr:col>11</xdr:col>
      <xdr:colOff>42022</xdr:colOff>
      <xdr:row>25</xdr:row>
      <xdr:rowOff>15478</xdr:rowOff>
    </xdr:from>
    <xdr:to>
      <xdr:col>14</xdr:col>
      <xdr:colOff>994388</xdr:colOff>
      <xdr:row>31</xdr:row>
      <xdr:rowOff>136128</xdr:rowOff>
    </xdr:to>
    <xdr:graphicFrame macro="">
      <xdr:nvGraphicFramePr>
        <xdr:cNvPr id="19"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174625</xdr:colOff>
      <xdr:row>13</xdr:row>
      <xdr:rowOff>130175</xdr:rowOff>
    </xdr:from>
    <xdr:to>
      <xdr:col>4</xdr:col>
      <xdr:colOff>438150</xdr:colOff>
      <xdr:row>20</xdr:row>
      <xdr:rowOff>38101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180976</xdr:colOff>
      <xdr:row>20</xdr:row>
      <xdr:rowOff>101600</xdr:rowOff>
    </xdr:from>
    <xdr:to>
      <xdr:col>4</xdr:col>
      <xdr:colOff>542925</xdr:colOff>
      <xdr:row>26</xdr:row>
      <xdr:rowOff>66675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180975</xdr:colOff>
      <xdr:row>26</xdr:row>
      <xdr:rowOff>158749</xdr:rowOff>
    </xdr:from>
    <xdr:to>
      <xdr:col>6</xdr:col>
      <xdr:colOff>363682</xdr:colOff>
      <xdr:row>33</xdr:row>
      <xdr:rowOff>82550</xdr:rowOff>
    </xdr:to>
    <xdr:graphicFrame macro="">
      <xdr:nvGraphicFramePr>
        <xdr:cNvPr id="2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158750</xdr:colOff>
      <xdr:row>2</xdr:row>
      <xdr:rowOff>165100</xdr:rowOff>
    </xdr:from>
    <xdr:to>
      <xdr:col>4</xdr:col>
      <xdr:colOff>381000</xdr:colOff>
      <xdr:row>3</xdr:row>
      <xdr:rowOff>180975</xdr:rowOff>
    </xdr:to>
    <xdr:sp macro="" textlink="">
      <xdr:nvSpPr>
        <xdr:cNvPr id="8" name="TextBox 7"/>
        <xdr:cNvSpPr txBox="1"/>
      </xdr:nvSpPr>
      <xdr:spPr>
        <a:xfrm>
          <a:off x="158750" y="546100"/>
          <a:ext cx="2660650" cy="206375"/>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HIGHLIGHTS OF THE MONTH</a:t>
          </a:r>
          <a:endParaRPr lang="en-US">
            <a:effectLst/>
          </a:endParaRPr>
        </a:p>
        <a:p>
          <a:pPr algn="ctr"/>
          <a:endParaRPr lang="en-US" sz="1100"/>
        </a:p>
      </xdr:txBody>
    </xdr:sp>
    <xdr:clientData/>
  </xdr:twoCellAnchor>
  <xdr:twoCellAnchor>
    <xdr:from>
      <xdr:col>0</xdr:col>
      <xdr:colOff>160866</xdr:colOff>
      <xdr:row>33</xdr:row>
      <xdr:rowOff>140758</xdr:rowOff>
    </xdr:from>
    <xdr:to>
      <xdr:col>2</xdr:col>
      <xdr:colOff>41803</xdr:colOff>
      <xdr:row>38</xdr:row>
      <xdr:rowOff>145522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357187</xdr:colOff>
      <xdr:row>38</xdr:row>
      <xdr:rowOff>0</xdr:rowOff>
    </xdr:from>
    <xdr:to>
      <xdr:col>1</xdr:col>
      <xdr:colOff>409575</xdr:colOff>
      <xdr:row>38</xdr:row>
      <xdr:rowOff>119062</xdr:rowOff>
    </xdr:to>
    <xdr:sp macro="" textlink="'Cluster indicator 2015'!G13">
      <xdr:nvSpPr>
        <xdr:cNvPr id="2" name="TextBox 1"/>
        <xdr:cNvSpPr txBox="1"/>
      </xdr:nvSpPr>
      <xdr:spPr>
        <a:xfrm>
          <a:off x="357187" y="7239000"/>
          <a:ext cx="661988"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9DAB150-D7D0-4A34-B248-F96C6D64BA1E}" type="TxLink">
            <a:rPr lang="en-US" sz="1100" b="0" i="0" u="none" strike="noStrike">
              <a:solidFill>
                <a:sysClr val="windowText" lastClr="000000"/>
              </a:solidFill>
              <a:latin typeface="Calibri"/>
            </a:rPr>
            <a:pPr/>
            <a:t>345,950</a:t>
          </a:fld>
          <a:endParaRPr lang="en-US" sz="1100" b="0" i="1">
            <a:solidFill>
              <a:sysClr val="windowText" lastClr="000000"/>
            </a:solidFill>
          </a:endParaRPr>
        </a:p>
      </xdr:txBody>
    </xdr:sp>
    <xdr:clientData/>
  </xdr:twoCellAnchor>
  <xdr:twoCellAnchor>
    <xdr:from>
      <xdr:col>7</xdr:col>
      <xdr:colOff>579437</xdr:colOff>
      <xdr:row>33</xdr:row>
      <xdr:rowOff>85725</xdr:rowOff>
    </xdr:from>
    <xdr:to>
      <xdr:col>10</xdr:col>
      <xdr:colOff>587375</xdr:colOff>
      <xdr:row>38</xdr:row>
      <xdr:rowOff>138114</xdr:rowOff>
    </xdr:to>
    <xdr:sp macro="" textlink="">
      <xdr:nvSpPr>
        <xdr:cNvPr id="3" name="TextBox 2"/>
        <xdr:cNvSpPr txBox="1"/>
      </xdr:nvSpPr>
      <xdr:spPr>
        <a:xfrm>
          <a:off x="4846637" y="6372225"/>
          <a:ext cx="1836738" cy="1004889"/>
        </a:xfrm>
        <a:prstGeom prst="rect">
          <a:avLst/>
        </a:prstGeom>
        <a:solidFill>
          <a:sysClr val="window" lastClr="FFFFFF"/>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rgbClr val="FF0000"/>
              </a:solidFill>
            </a:rPr>
            <a:t>Limitations of the analysis:</a:t>
          </a:r>
        </a:p>
        <a:p>
          <a:endParaRPr lang="en-US" sz="600" b="1" i="1">
            <a:solidFill>
              <a:srgbClr val="FF0000"/>
            </a:solidFill>
          </a:endParaRPr>
        </a:p>
        <a:p>
          <a:pPr marL="171450" lvl="0" indent="-171450">
            <a:buFont typeface="Wingdings" panose="05000000000000000000" pitchFamily="2" charset="2"/>
            <a:buChar char="ü"/>
          </a:pPr>
          <a:r>
            <a:rPr lang="en-US" sz="600" i="1">
              <a:solidFill>
                <a:srgbClr val="FF0000"/>
              </a:solidFill>
            </a:rPr>
            <a:t>Lack of data on sanitation</a:t>
          </a:r>
          <a:r>
            <a:rPr lang="en-US" sz="600" i="1" baseline="0">
              <a:solidFill>
                <a:srgbClr val="FF0000"/>
              </a:solidFill>
            </a:rPr>
            <a:t> for villages where activities recently started</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water does not report closely enough about safe drinking water </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Pond water is not refelcted not considered improved safe drinking water</a:t>
          </a:r>
          <a:endParaRPr lang="en-US" sz="600" i="1">
            <a:solidFill>
              <a:srgbClr val="FF0000"/>
            </a:solidFill>
          </a:endParaRPr>
        </a:p>
      </xdr:txBody>
    </xdr:sp>
    <xdr:clientData/>
  </xdr:twoCellAnchor>
  <xdr:twoCellAnchor>
    <xdr:from>
      <xdr:col>2</xdr:col>
      <xdr:colOff>104775</xdr:colOff>
      <xdr:row>33</xdr:row>
      <xdr:rowOff>157163</xdr:rowOff>
    </xdr:from>
    <xdr:to>
      <xdr:col>3</xdr:col>
      <xdr:colOff>585787</xdr:colOff>
      <xdr:row>38</xdr:row>
      <xdr:rowOff>161924</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57150</xdr:colOff>
      <xdr:row>33</xdr:row>
      <xdr:rowOff>157162</xdr:rowOff>
    </xdr:from>
    <xdr:to>
      <xdr:col>5</xdr:col>
      <xdr:colOff>538162</xdr:colOff>
      <xdr:row>38</xdr:row>
      <xdr:rowOff>161923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423862</xdr:colOff>
      <xdr:row>37</xdr:row>
      <xdr:rowOff>4763</xdr:rowOff>
    </xdr:from>
    <xdr:to>
      <xdr:col>5</xdr:col>
      <xdr:colOff>261938</xdr:colOff>
      <xdr:row>37</xdr:row>
      <xdr:rowOff>123825</xdr:rowOff>
    </xdr:to>
    <xdr:sp macro="" textlink="#REF!">
      <xdr:nvSpPr>
        <xdr:cNvPr id="5" name="TextBox 4"/>
        <xdr:cNvSpPr txBox="1"/>
      </xdr:nvSpPr>
      <xdr:spPr>
        <a:xfrm>
          <a:off x="2862262" y="7053263"/>
          <a:ext cx="447676"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A3293D5-4314-4936-AD44-A8EF5ABC0024}" type="TxLink">
            <a:rPr lang="en-US" sz="600" b="1" i="1" u="none" strike="noStrike">
              <a:solidFill>
                <a:schemeClr val="bg1">
                  <a:lumMod val="50000"/>
                </a:schemeClr>
              </a:solidFill>
              <a:latin typeface="Calibri"/>
            </a:rPr>
            <a:pPr/>
            <a:t>233,272</a:t>
          </a:fld>
          <a:endParaRPr lang="en-US" sz="600" b="1" i="1">
            <a:solidFill>
              <a:schemeClr val="bg1">
                <a:lumMod val="50000"/>
              </a:schemeClr>
            </a:solidFill>
          </a:endParaRPr>
        </a:p>
      </xdr:txBody>
    </xdr:sp>
    <xdr:clientData/>
  </xdr:twoCellAnchor>
  <xdr:twoCellAnchor>
    <xdr:from>
      <xdr:col>6</xdr:col>
      <xdr:colOff>52387</xdr:colOff>
      <xdr:row>33</xdr:row>
      <xdr:rowOff>161925</xdr:rowOff>
    </xdr:from>
    <xdr:to>
      <xdr:col>7</xdr:col>
      <xdr:colOff>533399</xdr:colOff>
      <xdr:row>38</xdr:row>
      <xdr:rowOff>166686</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206192</xdr:colOff>
      <xdr:row>15</xdr:row>
      <xdr:rowOff>157726</xdr:rowOff>
    </xdr:from>
    <xdr:to>
      <xdr:col>5</xdr:col>
      <xdr:colOff>591674</xdr:colOff>
      <xdr:row>19</xdr:row>
      <xdr:rowOff>73682</xdr:rowOff>
    </xdr:to>
    <xdr:sp macro="" textlink="">
      <xdr:nvSpPr>
        <xdr:cNvPr id="6" name="Curved Right Arrow 5"/>
        <xdr:cNvSpPr/>
      </xdr:nvSpPr>
      <xdr:spPr>
        <a:xfrm rot="653179">
          <a:off x="3254192" y="3015226"/>
          <a:ext cx="385482" cy="677956"/>
        </a:xfrm>
        <a:prstGeom prst="curvedRightArrow">
          <a:avLst>
            <a:gd name="adj1" fmla="val 27674"/>
            <a:gd name="adj2" fmla="val 5000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6</xdr:col>
      <xdr:colOff>111221</xdr:colOff>
      <xdr:row>14</xdr:row>
      <xdr:rowOff>55468</xdr:rowOff>
    </xdr:from>
    <xdr:to>
      <xdr:col>6</xdr:col>
      <xdr:colOff>600075</xdr:colOff>
      <xdr:row>16</xdr:row>
      <xdr:rowOff>38100</xdr:rowOff>
    </xdr:to>
    <xdr:sp macro="" textlink="">
      <xdr:nvSpPr>
        <xdr:cNvPr id="9" name="Rectangle 8"/>
        <xdr:cNvSpPr/>
      </xdr:nvSpPr>
      <xdr:spPr>
        <a:xfrm>
          <a:off x="3768821" y="2722468"/>
          <a:ext cx="488854" cy="363632"/>
        </a:xfrm>
        <a:prstGeom prst="rect">
          <a:avLst/>
        </a:prstGeom>
        <a:noFill/>
        <a:ln w="31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11</xdr:col>
      <xdr:colOff>42022</xdr:colOff>
      <xdr:row>17</xdr:row>
      <xdr:rowOff>14008</xdr:rowOff>
    </xdr:from>
    <xdr:to>
      <xdr:col>14</xdr:col>
      <xdr:colOff>1002723</xdr:colOff>
      <xdr:row>24</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11</xdr:col>
      <xdr:colOff>49026</xdr:colOff>
      <xdr:row>10</xdr:row>
      <xdr:rowOff>22514</xdr:rowOff>
    </xdr:from>
    <xdr:to>
      <xdr:col>14</xdr:col>
      <xdr:colOff>1004815</xdr:colOff>
      <xdr:row>16</xdr:row>
      <xdr:rowOff>136813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266701</xdr:colOff>
      <xdr:row>2</xdr:row>
      <xdr:rowOff>161925</xdr:rowOff>
    </xdr:from>
    <xdr:to>
      <xdr:col>10</xdr:col>
      <xdr:colOff>590551</xdr:colOff>
      <xdr:row>15</xdr:row>
      <xdr:rowOff>143573</xdr:rowOff>
    </xdr:to>
    <xdr:pic>
      <xdr:nvPicPr>
        <xdr:cNvPr id="31" name="Picture 3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753101" y="542925"/>
          <a:ext cx="933450" cy="2458148"/>
        </a:xfrm>
        <a:prstGeom prst="rect">
          <a:avLst/>
        </a:prstGeom>
        <a:effectLst>
          <a:outerShdw blurRad="50800" dist="38100" dir="2700000" algn="tl" rotWithShape="0">
            <a:prstClr val="black">
              <a:alpha val="40000"/>
            </a:prstClr>
          </a:outerShdw>
        </a:effectLst>
      </xdr:spPr>
    </xdr:pic>
    <xdr:clientData/>
  </xdr:twoCellAnchor>
  <xdr:twoCellAnchor editAs="oneCell">
    <xdr:from>
      <xdr:col>11</xdr:col>
      <xdr:colOff>76200</xdr:colOff>
      <xdr:row>31</xdr:row>
      <xdr:rowOff>161925</xdr:rowOff>
    </xdr:from>
    <xdr:to>
      <xdr:col>14</xdr:col>
      <xdr:colOff>1019175</xdr:colOff>
      <xdr:row>38</xdr:row>
      <xdr:rowOff>104775</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2.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0.15721</cdr:x>
      <cdr:y>0.84411</cdr:y>
    </cdr:from>
    <cdr:to>
      <cdr:x>0.78457</cdr:x>
      <cdr:y>0.9403</cdr:y>
    </cdr:to>
    <cdr:sp macro="" textlink="'Cluster indicator 2015'!$D$19">
      <cdr:nvSpPr>
        <cdr:cNvPr id="2" name="TextBox 1"/>
        <cdr:cNvSpPr txBox="1"/>
      </cdr:nvSpPr>
      <cdr:spPr>
        <a:xfrm xmlns:a="http://schemas.openxmlformats.org/drawingml/2006/main">
          <a:off x="171450" y="808035"/>
          <a:ext cx="684211" cy="920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36F9860-9E76-467D-88CE-BD8DE74B03F9}" type="TxLink">
            <a:rPr lang="en-US" sz="1100" b="0" i="0" u="none" strike="noStrike">
              <a:solidFill>
                <a:srgbClr val="000000"/>
              </a:solidFill>
              <a:latin typeface="Calibri"/>
            </a:rPr>
            <a:pPr/>
            <a:t>255,805</a:t>
          </a:fld>
          <a:endParaRPr lang="en-US" sz="600" b="1" i="1">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0.20961</cdr:x>
      <cdr:y>0.83416</cdr:y>
    </cdr:from>
    <cdr:to>
      <cdr:x>0.80204</cdr:x>
      <cdr:y>0.9602</cdr:y>
    </cdr:to>
    <cdr:sp macro="" textlink="'Cluster indicator 2015'!$D$26">
      <cdr:nvSpPr>
        <cdr:cNvPr id="2" name="TextBox 1"/>
        <cdr:cNvSpPr txBox="1"/>
      </cdr:nvSpPr>
      <cdr:spPr>
        <a:xfrm xmlns:a="http://schemas.openxmlformats.org/drawingml/2006/main">
          <a:off x="228600" y="798509"/>
          <a:ext cx="646111" cy="12065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3032CD0-3F27-4A22-8E48-A76BE3231A1E}" type="TxLink">
            <a:rPr lang="en-US" sz="1100" b="0" i="0" u="none" strike="noStrike">
              <a:solidFill>
                <a:srgbClr val="000000"/>
              </a:solidFill>
              <a:latin typeface="Calibri"/>
            </a:rPr>
            <a:pPr/>
            <a:t>190,710</a:t>
          </a:fld>
          <a:endParaRPr lang="en-US" sz="600" b="1" i="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0.26638</cdr:x>
      <cdr:y>0.83914</cdr:y>
    </cdr:from>
    <cdr:to>
      <cdr:x>0.91266</cdr:x>
      <cdr:y>0.94528</cdr:y>
    </cdr:to>
    <cdr:sp macro="" textlink="'Cluster indicator 2015'!$D$33">
      <cdr:nvSpPr>
        <cdr:cNvPr id="2" name="TextBox 1"/>
        <cdr:cNvSpPr txBox="1"/>
      </cdr:nvSpPr>
      <cdr:spPr>
        <a:xfrm xmlns:a="http://schemas.openxmlformats.org/drawingml/2006/main">
          <a:off x="290513" y="803276"/>
          <a:ext cx="704850" cy="1015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51A8FB2-D4AE-40CE-8403-E0A88065A8F3}" type="TxLink">
            <a:rPr lang="en-US" sz="1100" b="0" i="0" u="none" strike="noStrike">
              <a:solidFill>
                <a:srgbClr val="000000"/>
              </a:solidFill>
              <a:latin typeface="Calibri"/>
            </a:rPr>
            <a:pPr/>
            <a:t>107,858</a:t>
          </a:fld>
          <a:endParaRPr lang="en-US" sz="600" b="1" i="1">
            <a:solidFill>
              <a:sysClr val="windowText" lastClr="00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920750</xdr:colOff>
      <xdr:row>385</xdr:row>
      <xdr:rowOff>88899</xdr:rowOff>
    </xdr:from>
    <xdr:to>
      <xdr:col>10</xdr:col>
      <xdr:colOff>654843</xdr:colOff>
      <xdr:row>393</xdr:row>
      <xdr:rowOff>195262</xdr:rowOff>
    </xdr:to>
    <xdr:graphicFrame macro="">
      <xdr:nvGraphicFramePr>
        <xdr:cNvPr id="2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1447643</xdr:colOff>
      <xdr:row>435</xdr:row>
      <xdr:rowOff>71437</xdr:rowOff>
    </xdr:from>
    <xdr:to>
      <xdr:col>10</xdr:col>
      <xdr:colOff>904874</xdr:colOff>
      <xdr:row>449</xdr:row>
      <xdr:rowOff>58419</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741680</xdr:colOff>
      <xdr:row>739</xdr:row>
      <xdr:rowOff>30480</xdr:rowOff>
    </xdr:from>
    <xdr:to>
      <xdr:col>6</xdr:col>
      <xdr:colOff>1249680</xdr:colOff>
      <xdr:row>740</xdr:row>
      <xdr:rowOff>121920</xdr:rowOff>
    </xdr:to>
    <xdr:sp macro="" textlink="">
      <xdr:nvSpPr>
        <xdr:cNvPr id="12" name="TextBox 11"/>
        <xdr:cNvSpPr txBox="1"/>
      </xdr:nvSpPr>
      <xdr:spPr>
        <a:xfrm>
          <a:off x="7620000" y="133543040"/>
          <a:ext cx="508000" cy="27432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a:p>
      </xdr:txBody>
    </xdr:sp>
    <xdr:clientData/>
  </xdr:twoCellAnchor>
  <xdr:twoCellAnchor editAs="oneCell">
    <xdr:from>
      <xdr:col>1</xdr:col>
      <xdr:colOff>1100296</xdr:colOff>
      <xdr:row>502</xdr:row>
      <xdr:rowOff>176371</xdr:rowOff>
    </xdr:from>
    <xdr:to>
      <xdr:col>8</xdr:col>
      <xdr:colOff>394273</xdr:colOff>
      <xdr:row>588</xdr:row>
      <xdr:rowOff>23813</xdr:rowOff>
    </xdr:to>
    <xdr:graphicFrame macro="">
      <xdr:nvGraphicFramePr>
        <xdr:cNvPr id="3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26987</xdr:colOff>
      <xdr:row>70</xdr:row>
      <xdr:rowOff>83343</xdr:rowOff>
    </xdr:from>
    <xdr:to>
      <xdr:col>10</xdr:col>
      <xdr:colOff>690561</xdr:colOff>
      <xdr:row>79</xdr:row>
      <xdr:rowOff>153192</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4080</xdr:colOff>
      <xdr:row>87</xdr:row>
      <xdr:rowOff>103867</xdr:rowOff>
    </xdr:from>
    <xdr:to>
      <xdr:col>10</xdr:col>
      <xdr:colOff>616252</xdr:colOff>
      <xdr:row>102</xdr:row>
      <xdr:rowOff>11792</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1226345</xdr:colOff>
      <xdr:row>124</xdr:row>
      <xdr:rowOff>190954</xdr:rowOff>
    </xdr:from>
    <xdr:to>
      <xdr:col>10</xdr:col>
      <xdr:colOff>585714</xdr:colOff>
      <xdr:row>135</xdr:row>
      <xdr:rowOff>178593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1301750</xdr:colOff>
      <xdr:row>231</xdr:row>
      <xdr:rowOff>146050</xdr:rowOff>
    </xdr:from>
    <xdr:to>
      <xdr:col>10</xdr:col>
      <xdr:colOff>523874</xdr:colOff>
      <xdr:row>246</xdr:row>
      <xdr:rowOff>166687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920750</xdr:colOff>
      <xdr:row>367</xdr:row>
      <xdr:rowOff>47625</xdr:rowOff>
    </xdr:from>
    <xdr:to>
      <xdr:col>10</xdr:col>
      <xdr:colOff>536839</xdr:colOff>
      <xdr:row>382</xdr:row>
      <xdr:rowOff>158750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1416843</xdr:colOff>
      <xdr:row>176</xdr:row>
      <xdr:rowOff>127000</xdr:rowOff>
    </xdr:from>
    <xdr:to>
      <xdr:col>10</xdr:col>
      <xdr:colOff>761999</xdr:colOff>
      <xdr:row>182</xdr:row>
      <xdr:rowOff>573881</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1238250</xdr:colOff>
      <xdr:row>264</xdr:row>
      <xdr:rowOff>82549</xdr:rowOff>
    </xdr:from>
    <xdr:to>
      <xdr:col>10</xdr:col>
      <xdr:colOff>606426</xdr:colOff>
      <xdr:row>277</xdr:row>
      <xdr:rowOff>47624</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1238250</xdr:colOff>
      <xdr:row>279</xdr:row>
      <xdr:rowOff>31750</xdr:rowOff>
    </xdr:from>
    <xdr:to>
      <xdr:col>10</xdr:col>
      <xdr:colOff>641350</xdr:colOff>
      <xdr:row>289</xdr:row>
      <xdr:rowOff>69850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1428751</xdr:colOff>
      <xdr:row>682</xdr:row>
      <xdr:rowOff>114300</xdr:rowOff>
    </xdr:from>
    <xdr:to>
      <xdr:col>10</xdr:col>
      <xdr:colOff>882651</xdr:colOff>
      <xdr:row>698</xdr:row>
      <xdr:rowOff>9525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xdr:col>
      <xdr:colOff>1447800</xdr:colOff>
      <xdr:row>700</xdr:row>
      <xdr:rowOff>161924</xdr:rowOff>
    </xdr:from>
    <xdr:to>
      <xdr:col>10</xdr:col>
      <xdr:colOff>890058</xdr:colOff>
      <xdr:row>712</xdr:row>
      <xdr:rowOff>146049</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154781</xdr:colOff>
      <xdr:row>310</xdr:row>
      <xdr:rowOff>27782</xdr:rowOff>
    </xdr:from>
    <xdr:to>
      <xdr:col>10</xdr:col>
      <xdr:colOff>994833</xdr:colOff>
      <xdr:row>316</xdr:row>
      <xdr:rowOff>4764</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5</xdr:col>
      <xdr:colOff>1396999</xdr:colOff>
      <xdr:row>213</xdr:row>
      <xdr:rowOff>31750</xdr:rowOff>
    </xdr:from>
    <xdr:to>
      <xdr:col>10</xdr:col>
      <xdr:colOff>548217</xdr:colOff>
      <xdr:row>221</xdr:row>
      <xdr:rowOff>123826</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xdr:col>
      <xdr:colOff>31749</xdr:colOff>
      <xdr:row>143</xdr:row>
      <xdr:rowOff>127000</xdr:rowOff>
    </xdr:from>
    <xdr:to>
      <xdr:col>10</xdr:col>
      <xdr:colOff>554415</xdr:colOff>
      <xdr:row>157</xdr:row>
      <xdr:rowOff>111126</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257175</xdr:colOff>
      <xdr:row>7</xdr:row>
      <xdr:rowOff>31750</xdr:rowOff>
    </xdr:from>
    <xdr:to>
      <xdr:col>10</xdr:col>
      <xdr:colOff>47624</xdr:colOff>
      <xdr:row>17</xdr:row>
      <xdr:rowOff>61912</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5</xdr:col>
      <xdr:colOff>1472519</xdr:colOff>
      <xdr:row>105</xdr:row>
      <xdr:rowOff>70301</xdr:rowOff>
    </xdr:from>
    <xdr:to>
      <xdr:col>10</xdr:col>
      <xdr:colOff>619427</xdr:colOff>
      <xdr:row>113</xdr:row>
      <xdr:rowOff>587374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xdr:col>
      <xdr:colOff>1440657</xdr:colOff>
      <xdr:row>161</xdr:row>
      <xdr:rowOff>104774</xdr:rowOff>
    </xdr:from>
    <xdr:to>
      <xdr:col>10</xdr:col>
      <xdr:colOff>604310</xdr:colOff>
      <xdr:row>170</xdr:row>
      <xdr:rowOff>35719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xdr:col>
      <xdr:colOff>1246188</xdr:colOff>
      <xdr:row>251</xdr:row>
      <xdr:rowOff>118268</xdr:rowOff>
    </xdr:from>
    <xdr:to>
      <xdr:col>10</xdr:col>
      <xdr:colOff>514880</xdr:colOff>
      <xdr:row>259</xdr:row>
      <xdr:rowOff>19843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xdr:col>
      <xdr:colOff>1143000</xdr:colOff>
      <xdr:row>343</xdr:row>
      <xdr:rowOff>133351</xdr:rowOff>
    </xdr:from>
    <xdr:to>
      <xdr:col>10</xdr:col>
      <xdr:colOff>543984</xdr:colOff>
      <xdr:row>356</xdr:row>
      <xdr:rowOff>123825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xdr:col>
      <xdr:colOff>488157</xdr:colOff>
      <xdr:row>456</xdr:row>
      <xdr:rowOff>83343</xdr:rowOff>
    </xdr:from>
    <xdr:to>
      <xdr:col>10</xdr:col>
      <xdr:colOff>773906</xdr:colOff>
      <xdr:row>458</xdr:row>
      <xdr:rowOff>195262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xdr:col>
      <xdr:colOff>845343</xdr:colOff>
      <xdr:row>474</xdr:row>
      <xdr:rowOff>121443</xdr:rowOff>
    </xdr:from>
    <xdr:to>
      <xdr:col>10</xdr:col>
      <xdr:colOff>547687</xdr:colOff>
      <xdr:row>476</xdr:row>
      <xdr:rowOff>952499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833437</xdr:colOff>
      <xdr:row>487</xdr:row>
      <xdr:rowOff>141816</xdr:rowOff>
    </xdr:from>
    <xdr:to>
      <xdr:col>10</xdr:col>
      <xdr:colOff>563561</xdr:colOff>
      <xdr:row>498</xdr:row>
      <xdr:rowOff>166687</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xdr:col>
      <xdr:colOff>1250157</xdr:colOff>
      <xdr:row>293</xdr:row>
      <xdr:rowOff>177799</xdr:rowOff>
    </xdr:from>
    <xdr:to>
      <xdr:col>10</xdr:col>
      <xdr:colOff>773905</xdr:colOff>
      <xdr:row>303</xdr:row>
      <xdr:rowOff>107156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317500</xdr:colOff>
      <xdr:row>22</xdr:row>
      <xdr:rowOff>200025</xdr:rowOff>
    </xdr:from>
    <xdr:to>
      <xdr:col>10</xdr:col>
      <xdr:colOff>38100</xdr:colOff>
      <xdr:row>36</xdr:row>
      <xdr:rowOff>174626</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857250</xdr:colOff>
      <xdr:row>404</xdr:row>
      <xdr:rowOff>3571</xdr:rowOff>
    </xdr:from>
    <xdr:to>
      <xdr:col>10</xdr:col>
      <xdr:colOff>547686</xdr:colOff>
      <xdr:row>418</xdr:row>
      <xdr:rowOff>47625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xdr:col>
      <xdr:colOff>624415</xdr:colOff>
      <xdr:row>799</xdr:row>
      <xdr:rowOff>119062</xdr:rowOff>
    </xdr:from>
    <xdr:to>
      <xdr:col>11</xdr:col>
      <xdr:colOff>84666</xdr:colOff>
      <xdr:row>811</xdr:row>
      <xdr:rowOff>84665</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xdr:col>
      <xdr:colOff>719668</xdr:colOff>
      <xdr:row>784</xdr:row>
      <xdr:rowOff>142873</xdr:rowOff>
    </xdr:from>
    <xdr:to>
      <xdr:col>10</xdr:col>
      <xdr:colOff>904875</xdr:colOff>
      <xdr:row>794</xdr:row>
      <xdr:rowOff>95250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1460500</xdr:colOff>
      <xdr:row>191</xdr:row>
      <xdr:rowOff>91280</xdr:rowOff>
    </xdr:from>
    <xdr:to>
      <xdr:col>10</xdr:col>
      <xdr:colOff>555626</xdr:colOff>
      <xdr:row>205</xdr:row>
      <xdr:rowOff>23812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1500187</xdr:colOff>
      <xdr:row>745</xdr:row>
      <xdr:rowOff>0</xdr:rowOff>
    </xdr:from>
    <xdr:to>
      <xdr:col>10</xdr:col>
      <xdr:colOff>666747</xdr:colOff>
      <xdr:row>759</xdr:row>
      <xdr:rowOff>178593</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1488281</xdr:colOff>
      <xdr:row>765</xdr:row>
      <xdr:rowOff>92868</xdr:rowOff>
    </xdr:from>
    <xdr:to>
      <xdr:col>10</xdr:col>
      <xdr:colOff>690561</xdr:colOff>
      <xdr:row>780</xdr:row>
      <xdr:rowOff>107155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5</xdr:col>
      <xdr:colOff>321468</xdr:colOff>
      <xdr:row>41</xdr:row>
      <xdr:rowOff>166687</xdr:rowOff>
    </xdr:from>
    <xdr:to>
      <xdr:col>10</xdr:col>
      <xdr:colOff>59530</xdr:colOff>
      <xdr:row>58</xdr:row>
      <xdr:rowOff>35718</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5</xdr:col>
      <xdr:colOff>1345406</xdr:colOff>
      <xdr:row>720</xdr:row>
      <xdr:rowOff>32015</xdr:rowOff>
    </xdr:from>
    <xdr:to>
      <xdr:col>10</xdr:col>
      <xdr:colOff>714375</xdr:colOff>
      <xdr:row>728</xdr:row>
      <xdr:rowOff>105833</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751840</xdr:colOff>
      <xdr:row>3</xdr:row>
      <xdr:rowOff>10160</xdr:rowOff>
    </xdr:from>
    <xdr:to>
      <xdr:col>9</xdr:col>
      <xdr:colOff>304800</xdr:colOff>
      <xdr:row>22</xdr:row>
      <xdr:rowOff>63500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330200</xdr:colOff>
      <xdr:row>131</xdr:row>
      <xdr:rowOff>29210</xdr:rowOff>
    </xdr:from>
    <xdr:to>
      <xdr:col>16</xdr:col>
      <xdr:colOff>25400</xdr:colOff>
      <xdr:row>142</xdr:row>
      <xdr:rowOff>182880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327660</xdr:colOff>
      <xdr:row>145</xdr:row>
      <xdr:rowOff>105410</xdr:rowOff>
    </xdr:from>
    <xdr:to>
      <xdr:col>15</xdr:col>
      <xdr:colOff>642620</xdr:colOff>
      <xdr:row>157</xdr:row>
      <xdr:rowOff>25400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736600</xdr:colOff>
      <xdr:row>51</xdr:row>
      <xdr:rowOff>365760</xdr:rowOff>
    </xdr:from>
    <xdr:to>
      <xdr:col>8</xdr:col>
      <xdr:colOff>520700</xdr:colOff>
      <xdr:row>64</xdr:row>
      <xdr:rowOff>81280</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596900</xdr:colOff>
      <xdr:row>73</xdr:row>
      <xdr:rowOff>152400</xdr:rowOff>
    </xdr:from>
    <xdr:to>
      <xdr:col>11</xdr:col>
      <xdr:colOff>50800</xdr:colOff>
      <xdr:row>92</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93980</xdr:colOff>
      <xdr:row>93</xdr:row>
      <xdr:rowOff>200660</xdr:rowOff>
    </xdr:from>
    <xdr:to>
      <xdr:col>18</xdr:col>
      <xdr:colOff>977900</xdr:colOff>
      <xdr:row>110</xdr:row>
      <xdr:rowOff>165100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802640</xdr:colOff>
      <xdr:row>113</xdr:row>
      <xdr:rowOff>10160</xdr:rowOff>
    </xdr:from>
    <xdr:to>
      <xdr:col>11</xdr:col>
      <xdr:colOff>190500</xdr:colOff>
      <xdr:row>127</xdr:row>
      <xdr:rowOff>88900</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16</xdr:col>
      <xdr:colOff>599440</xdr:colOff>
      <xdr:row>144</xdr:row>
      <xdr:rowOff>91440</xdr:rowOff>
    </xdr:from>
    <xdr:ext cx="184731" cy="264560"/>
    <xdr:sp macro="" textlink="">
      <xdr:nvSpPr>
        <xdr:cNvPr id="9" name="TextBox 8"/>
        <xdr:cNvSpPr txBox="1"/>
      </xdr:nvSpPr>
      <xdr:spPr>
        <a:xfrm>
          <a:off x="15062200" y="2552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2540</xdr:colOff>
      <xdr:row>146</xdr:row>
      <xdr:rowOff>17780</xdr:rowOff>
    </xdr:from>
    <xdr:to>
      <xdr:col>15</xdr:col>
      <xdr:colOff>365760</xdr:colOff>
      <xdr:row>147</xdr:row>
      <xdr:rowOff>78740</xdr:rowOff>
    </xdr:to>
    <xdr:sp macro="" textlink="">
      <xdr:nvSpPr>
        <xdr:cNvPr id="10" name="TextBox 9"/>
        <xdr:cNvSpPr txBox="1"/>
      </xdr:nvSpPr>
      <xdr:spPr>
        <a:xfrm>
          <a:off x="8740140" y="32567880"/>
          <a:ext cx="5176520" cy="467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NB OF BENEFICIARIES, IN HOST COMMUNITIES, PLAN IN PROJECT</a:t>
          </a:r>
        </a:p>
      </xdr:txBody>
    </xdr:sp>
    <xdr:clientData/>
  </xdr:twoCellAnchor>
  <xdr:twoCellAnchor editAs="oneCell">
    <xdr:from>
      <xdr:col>3</xdr:col>
      <xdr:colOff>728980</xdr:colOff>
      <xdr:row>26</xdr:row>
      <xdr:rowOff>190500</xdr:rowOff>
    </xdr:from>
    <xdr:to>
      <xdr:col>9</xdr:col>
      <xdr:colOff>386080</xdr:colOff>
      <xdr:row>44</xdr:row>
      <xdr:rowOff>190500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0.26124</cdr:x>
      <cdr:y>0.02246</cdr:y>
    </cdr:from>
    <cdr:to>
      <cdr:x>0.72274</cdr:x>
      <cdr:y>0.08371</cdr:y>
    </cdr:to>
    <cdr:sp macro="" textlink="">
      <cdr:nvSpPr>
        <cdr:cNvPr id="2" name="TextBox 1"/>
        <cdr:cNvSpPr txBox="1"/>
      </cdr:nvSpPr>
      <cdr:spPr>
        <a:xfrm xmlns:a="http://schemas.openxmlformats.org/drawingml/2006/main">
          <a:off x="1703995" y="123453"/>
          <a:ext cx="3010245" cy="33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DONORS FUNDING</a:t>
          </a:r>
          <a:endParaRPr lang="en-US" sz="1400" b="1">
            <a:solidFill>
              <a:srgbClr val="FF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doum/Documents/WASH%20CLUSTER%20COORDINATOR%20RAKHINE/06%20-%20REPORTING/01%20-%204W/2014%20-%2010/4Ws%20Wash_Matrix_Rakhine_October_OG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tlwin/Downloads/Wash_Matrix__Rakhine_Consoli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CalculateSheet"/>
      <sheetName val="List"/>
      <sheetName val="consolidate_washcoverage"/>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 Analysis"/>
      <sheetName val="Funds analysis"/>
      <sheetName val="Cluster indicator 2015"/>
      <sheetName val="Database"/>
      <sheetName val="Agency funds received"/>
      <sheetName val="List"/>
      <sheetName val="CalculateSheet (2)"/>
      <sheetName val="Oct Analysis"/>
      <sheetName val="Oct Database"/>
      <sheetName val="Sep Database"/>
      <sheetName val="Sep Analysis"/>
      <sheetName val="CalculateSheet"/>
      <sheetName val="temp Database"/>
    </sheetNames>
    <sheetDataSet>
      <sheetData sheetId="0"/>
      <sheetData sheetId="1"/>
      <sheetData sheetId="2"/>
      <sheetData sheetId="3"/>
      <sheetData sheetId="4"/>
      <sheetData sheetId="5"/>
      <sheetData sheetId="6"/>
      <sheetData sheetId="7">
        <row r="3">
          <cell r="B3" t="str">
            <v>Yes</v>
          </cell>
        </row>
      </sheetData>
      <sheetData sheetId="8"/>
      <sheetData sheetId="9"/>
      <sheetData sheetId="10"/>
      <sheetData sheetId="11"/>
      <sheetData sheetId="12"/>
      <sheetData sheetId="13">
        <row r="3">
          <cell r="B3" t="str">
            <v>Yes</v>
          </cell>
        </row>
      </sheetData>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Olivier Le Guillou" refreshedDate="42302.541542476851" createdVersion="4" refreshedVersion="5" minRefreshableVersion="3" recordCount="285">
  <cacheSource type="worksheet">
    <worksheetSource ref="B4:CQ289" sheet="Database"/>
  </cacheSource>
  <cacheFields count="111">
    <cacheField name="Township" numFmtId="166">
      <sharedItems count="12">
        <s v="Buthidaung"/>
        <s v="Kyauk Phyu"/>
        <s v="Kyauk Taw"/>
        <s v="Maungdaw"/>
        <s v="Minbya"/>
        <s v="Mrauk-U"/>
        <s v="Myebon"/>
        <s v="Pauktaw"/>
        <s v="Ponna Gyun"/>
        <s v="Ramree"/>
        <s v="Rathedaung"/>
        <s v="Sittwe"/>
      </sharedItems>
    </cacheField>
    <cacheField name="Village Track P_Code" numFmtId="166">
      <sharedItems containsBlank="1"/>
    </cacheField>
    <cacheField name="Village Track Name" numFmtId="166">
      <sharedItems containsBlank="1"/>
    </cacheField>
    <cacheField name="P_Code" numFmtId="0">
      <sharedItems containsBlank="1" containsMixedTypes="1" containsNumber="1" containsInteger="1" minValue="196130" maxValue="217974"/>
    </cacheField>
    <cacheField name="Site" numFmtId="0">
      <sharedItems count="296">
        <s v="Ah Lel Ywa"/>
        <s v="Aung Pa"/>
        <s v="Ba Da Nar"/>
        <s v="Baw Li "/>
        <s v="Chaung Pauk"/>
        <s v="Doe Tan"/>
        <s v="Done Thein"/>
        <s v="Gan Gaw Myaing ( Na Ta La )"/>
        <s v="Gaung Gyi"/>
        <s v="Godzilla (Hteik Tu Pauk Myauk)"/>
        <s v="Gudar Pyin"/>
        <s v="Gwa Sone Muslim"/>
        <s v="Gwa Sone Rakhine"/>
        <s v="Hla Tha Ma"/>
        <s v="Inn Chaung (Daing Net)"/>
        <s v="Inn Chaung (Muslim)"/>
        <s v="Ka Doe Seik"/>
        <s v="Kan Pyin"/>
        <s v="Kar Di (Kywe Cho Maw)"/>
        <s v="Kha Yu Chaung (Muslim)"/>
        <s v="Kin Taung (Taung + Myauk)"/>
        <s v="Kyar Nyo Pyin (Muslim)"/>
        <s v="Kyar Nyo Pyin (Rakhine)_x000a_+ Pyar Yae"/>
        <s v="Kyauk Pyin Seik"/>
        <s v="Kyauk Sar Dine"/>
        <s v="Kyauk Yan (Rakhine)"/>
        <s v="Kyauk Yit Muslim"/>
        <s v="Kyauk Yit RK"/>
        <s v="Kyet Mauk Taung Myuak"/>
        <s v="Langui"/>
        <s v="Laung Chaung (Daing Net)"/>
        <s v="Let Thar Ywa"/>
        <s v="Let Wea Det"/>
        <s v="Maw Staw Bis"/>
        <s v="Myauk Ywa"/>
        <s v="Myauk Ywa (Kyet Mauk Taung)"/>
        <s v="Myaung Nar"/>
        <s v="Nan Yah Gone Ahtet"/>
        <s v="Nwar Yone Taung"/>
        <s v="Nyaung Chaung"/>
        <s v="Palay Taung Ywa Thit"/>
        <s v="Phyar Pyin"/>
        <s v="Play Taung South"/>
        <s v="Play Taung Ywa Gyi North"/>
        <s v="Prine Taung"/>
        <s v="San Go Taung"/>
        <s v="Say Taung"/>
        <s v="Say Tha Ma"/>
        <s v="Shat Shar Taung"/>
        <s v="Si Tar (Pa Zun Chaung)"/>
        <s v="Taung Chaung"/>
        <s v="Taung Maw"/>
        <s v="Taung Ywa"/>
        <s v="Taungchay Ywa Muslim"/>
        <s v="Tha Pyay Seik"/>
        <s v="Tha Yet Taung"/>
        <s v="Thaing Ta Poke"/>
        <s v="Than Chay  RK"/>
        <s v="Thein Tan (Muslim)"/>
        <s v="Thein Tan (Rakhine)"/>
        <s v="Thein Taung pyin (Dine Net)"/>
        <s v="Thein Taung pyin (Muslim)"/>
        <s v="U Yin Thar"/>
        <s v="Wa Khote Chaung"/>
        <s v="Wet Ma Kya"/>
        <s v="Ywa Gyi (Tha Yet Kin Ma Nu)"/>
        <s v="Zan Kha Ma"/>
        <s v="Zay Teit Taung"/>
        <s v="Zedi Taung (Muslim)"/>
        <s v="Baw Ya Par"/>
        <s v="Chin Ywar Min Pyin"/>
        <s v="Ka Nyin Taw"/>
        <s v="Kyauk Ka Lay"/>
        <s v="Kyauk Ta Lone "/>
        <s v="Nga/Oke"/>
        <s v="Pyu Chaing"/>
        <s v="Rakhine Min Pyin"/>
        <s v="Wa Hmyaung"/>
        <s v="War Net Chun"/>
        <s v="Yae Myet"/>
        <s v="Ah Lel"/>
        <s v="Ah Lel Kyun"/>
        <s v="Ah Pauk Wa"/>
        <s v="Doke Kan Chaung"/>
        <s v="Goke Pi Htaunt"/>
        <s v="Hla Nyo Kan"/>
        <s v="Im Bar Yi"/>
        <s v="Khaung Htoke"/>
        <s v="Lan Paik Khwin"/>
        <s v="Let Saung Kauk"/>
        <s v="Ni Din"/>
        <s v="Paung Mae"/>
        <s v="Shwe Hlaing"/>
        <s v="Shwe Hlaing Rakhine"/>
        <s v="Taung Bwe"/>
        <s v="Taung Pauk"/>
        <s v="Tha Pon"/>
        <s v="U Saung Tan (lower)"/>
        <s v="Ward 6"/>
        <s v="Yun Nyar"/>
        <s v="Ywar Thit Kay"/>
        <s v="A Nauk Ywa"/>
        <s v="Alay Mushee"/>
        <s v="ANauk Ywa"/>
        <s v="Ashit Ywa"/>
        <s v="Ba Gone Nar"/>
        <s v="Chin Pyin"/>
        <s v="Din Gar"/>
        <s v="DPA"/>
        <s v="Fatar"/>
        <s v="Hin Thar Ra"/>
        <s v="Hindu"/>
        <s v="Kaing Gyi"/>
        <s v="Kan Kyar Myauk"/>
        <s v="Kan Kyar Taung "/>
        <s v="Kan Pyi Tha Zi"/>
        <s v="Kan Tha Ya"/>
        <s v="Kha Yai Myaing"/>
        <s v="Khat Pa Kaung"/>
        <s v="Koun Tan"/>
        <s v="Kyauk Pan Du (NTL)"/>
        <s v="Kyaung Taung"/>
        <s v="Kywe Ta Ma"/>
        <s v="Lam Bar Gone Nah"/>
        <s v="Lu Fan Pyin"/>
        <s v="Ma Gyi Koung"/>
        <s v="Mardilla"/>
        <s v="Middle"/>
        <s v="Muslim_x000a_ (Aley Ywa)"/>
        <s v="Muslim_x000a_ (Myaunk Ywa)"/>
        <s v="Muslim_x000a_ (Taung Ywa)"/>
        <s v="Myaunk Ywa"/>
        <s v="Ngwe Taung"/>
        <s v="Nur Ru Lar"/>
        <s v="Phas Kawri"/>
        <s v="Phwe Ra"/>
        <s v="Rakhine"/>
        <s v="Rakhine Ywa"/>
        <s v="Raza Bil"/>
        <s v="San Pai Pin Yin"/>
        <s v="Saw Kina Ma"/>
        <s v="Shwe Yin Aye"/>
        <s v="Tat Oo Anauk"/>
        <s v="Taung Pine Nyar"/>
        <s v="Thar Yar Koung"/>
        <s v="Thit Taw Ywa"/>
        <s v="Wai Thar Le"/>
        <s v="West"/>
        <s v="Yai Mya"/>
        <s v="Ywa Gyi"/>
        <s v="Ywa Haung"/>
        <s v="Ywa Ma"/>
        <s v="Ywa Thar Yar"/>
        <s v="Zaw Ma Tat"/>
        <s v="Zumar Ywa"/>
        <s v="Aung Taing"/>
        <s v="Chait Taung"/>
        <s v="Chait Taung - San Htoe Tan"/>
        <s v="Chait Taung - Tha Dar"/>
        <s v="Paik Thay"/>
        <s v="Sam Ba Le"/>
        <s v="Set Yone Maw"/>
        <s v="Tha Yet Oak"/>
        <s v="Pa Rein"/>
        <s v="Pu Yain Kone"/>
        <s v="Raw Ma Ni Sin Oe"/>
        <s v="Yai Thei"/>
        <s v="Yai-Thei-Thi Kyar"/>
        <s v="Ah Ngu Ywar Haung"/>
        <s v="Ah Ngu Ywar Thit"/>
        <s v="Aung Le Byin"/>
        <s v="Dagon"/>
        <s v="Gaung Hpyu"/>
        <s v="Kan Thar Htwat Wa"/>
        <s v="Kyauk Nga Nwar"/>
        <s v="Nga Shwe Pyin"/>
        <s v="Ohn Taw"/>
        <s v="Pyin Taw Che"/>
        <s v="Taung Paw"/>
        <s v="Taung Pyin"/>
        <s v="Wet Gaung"/>
        <s v="Yet Chaung"/>
        <s v="A Nauk Ywe"/>
        <s v="Ba Wunn Chaung Wa Su"/>
        <s v="Kyein Ni Pyin"/>
        <s v="Nget Chaung 1"/>
        <s v="Nget Chaung 2"/>
        <s v="Pyar Tha Kywe "/>
        <s v="Sin Aing"/>
        <s v="Sin Tet Maw"/>
        <s v="Sin Tet Maw (Host)"/>
        <s v="Sin Tet Maw Rakhine(Baw Da Li)"/>
        <s v="Kyauk Seik"/>
        <s v="Met Ka Lar Kya"/>
        <s v="Nat Seik"/>
        <s v="Sa Par Htar"/>
        <s v="Tan Khoe"/>
        <s v="Tan Zwei"/>
        <s v="Yoe Ngu"/>
        <s v="Ramree Town"/>
        <s v="Ah Du"/>
        <s v="Ah Htet Nan Yar"/>
        <s v="Ah Nauk Pyin"/>
        <s v="Auk Nan Yar"/>
        <s v="Aung Zay Gone"/>
        <s v="Be Lar Mi"/>
        <s v="Chein Khar Li"/>
        <s v="Chin Ywa(Pyaing Taung)"/>
        <s v="Chut Pyin"/>
        <s v="Doe Wai Chaung"/>
        <s v="Koe Tan Kauk"/>
        <s v="Kyun Paw (Pauk Taw)"/>
        <s v="Maw Htet"/>
        <s v="Navy Seik"/>
        <s v="Ni Lin Paw"/>
        <s v="Nyaung Pin Gyi"/>
        <s v="Nyaung Pin Hla"/>
        <s v="Padauk Myaing"/>
        <s v="Pann Phaw Pyin"/>
        <s v="Pauk Pin Yin"/>
        <s v="Pyaing Taung"/>
        <s v="Pyin Chay"/>
        <s v="Sa Hpo Gyun"/>
        <s v="Shwe Laung Tin"/>
        <s v="Sin Oe"/>
        <s v="Than Du"/>
        <s v="Ah Lar Than"/>
        <s v="Aung Daing "/>
        <s v="Bar Sa Yar Host"/>
        <s v="Basara"/>
        <s v="Baw Du Pha"/>
        <s v="Baw Du Pha Village"/>
        <s v="Dar Pai"/>
        <s v="Dar Paing Village"/>
        <s v="Daung Pyauk Kay"/>
        <s v="Hmansi ( from Kaung Doke Khar)"/>
        <s v="Kaung Doke Khar (excl. Hmanzi)"/>
        <s v="Kyet Taw Pyin"/>
        <s v="Maw Ti Ngar (TKP west)"/>
        <s v="Me la zi Kone"/>
        <s v="Nga/ Pun Ywar Gyi"/>
        <s v="Nga/ Pun Ywar Shey"/>
        <s v="Ohn Taw Chay"/>
        <s v="Ohn Taw Gyi"/>
        <s v="Ohn Taw Gyi North"/>
        <s v="Ohn Taw Gyi South"/>
        <s v="Ohn Yee Paw"/>
        <s v="Pa Lin Pyin (Muslim)"/>
        <s v="Pa Lin Pyin (Rakhine, Fisher)"/>
        <s v="Pa Lin Pyin (Rakhine, Main)"/>
        <s v="Phwe Yar Gone"/>
        <s v="Pyar Lay Chaung (New)"/>
        <s v="Pyar Lay Chaung (Old)"/>
        <s v="Sat Roe Kya 1"/>
        <s v="Sat Roe Kya 2"/>
        <s v="Say Tha Mar Gyi"/>
        <s v="Say Tha Mar Nge"/>
        <s v="Set Yone Su 1"/>
        <s v="Set Yone Su 3"/>
        <s v="Thea Chaung "/>
        <s v="Thea Chaung Village"/>
        <s v="Thet Kel Pyin"/>
        <s v="Thet Kel Pyin "/>
        <s v="Thin Pone Tan"/>
        <s v="Zaw Pu Gyar"/>
        <s v="Hmansi" u="1"/>
        <s v="Pyue Chawin" u="1"/>
        <s v="Tan Pin Yin " u="1"/>
        <s v="Chin Min Pyin" u="1"/>
        <s v="Wanat Chawin" u="1"/>
        <s v="Pyar Lay Chaung" u="1"/>
        <s v="Chin" u="1"/>
        <s v="Sin Ai" u="1"/>
        <s v="Yae Myat" u="1"/>
        <s v="Ah Lel Mu" u="1"/>
        <s v="Kyauk Pyin" u="1"/>
        <s v="Kyauk Ka Lei" u="1"/>
        <s v="Ag Lay Pyin &amp;_x000a_Net Chaung" u="1"/>
        <s v="Sin Tet Maw (IDP in Shelter)" u="1"/>
        <s v="Ohn Taw Gyi North (S1, S3, S6)" u="1"/>
        <s v="Pa Lin Pyin (Rakhine)" u="1"/>
        <s v="Wa Myaung" u="1"/>
        <s v="Nga Oak" u="1"/>
        <s v="Thet Kel Pyin (IDP in shelter)" u="1"/>
        <s v="Sin Tet Maw (Rakhine)" u="1"/>
        <s v="Basara host" u="1"/>
        <s v="Sa Pho Gyun" u="1"/>
        <s v="Ba Wunn Chaung Wa Su Ward" u="1"/>
        <s v="Lan Pite Lkhin" u="1"/>
        <s v="Say Tha Mar Chay" u="1"/>
        <s v="Ohn Taw Gyi 2" u="1"/>
        <s v="Goat Pi Htaunt" u="1"/>
        <s v="Pa Rein  Gone" u="1"/>
        <s v="Thae Pon" u="1"/>
        <s v="Ohn Taw Gyi South (S1, S4, S5, BDP2)" u="1"/>
        <s v="Kyauk Taw Pyin" u="1"/>
      </sharedItems>
    </cacheField>
    <cacheField name="GPS x" numFmtId="0">
      <sharedItems containsBlank="1" containsMixedTypes="1" containsNumber="1" minValue="92.340199999999996" maxValue="93.865170000000006"/>
    </cacheField>
    <cacheField name="GPS y" numFmtId="0">
      <sharedItems containsBlank="1" containsMixedTypes="1" containsNumber="1" minValue="19.088283000000001" maxValue="21.057600000000001"/>
    </cacheField>
    <cacheField name="Location type" numFmtId="0">
      <sharedItems count="2">
        <s v="Village"/>
        <s v="Camp"/>
      </sharedItems>
    </cacheField>
    <cacheField name="Type" numFmtId="166">
      <sharedItems count="8">
        <s v="Muslim"/>
        <s v="Mixed"/>
        <s v="Rakhine"/>
        <s v="Daing Net"/>
        <s v="Kah Mee"/>
        <s v="Myo "/>
        <s v="Hindu"/>
        <s v="Maramargyi"/>
      </sharedItems>
    </cacheField>
    <cacheField name="Typology beneficiaries" numFmtId="166">
      <sharedItems count="9">
        <s v="Village (development)"/>
        <s v="Surrounding community"/>
        <s v="Camp with IDPs"/>
        <s v="Village with affected HH"/>
        <s v="Village with IDPs"/>
        <s v="Displacement ended"/>
        <s v="IDP in Camp" u="1"/>
        <s v="Direct Affected Village" u="1"/>
        <s v="IDP in Village" u="1"/>
      </sharedItems>
    </cacheField>
    <cacheField name="Nb of affected household" numFmtId="1">
      <sharedItems containsSemiMixedTypes="0" containsString="0" containsNumber="1" containsInteger="1" minValue="0" maxValue="2629"/>
    </cacheField>
    <cacheField name="IDPs Pop or directly affected population" numFmtId="1">
      <sharedItems containsSemiMixedTypes="0" containsString="0" containsNumber="1" containsInteger="1" minValue="0" maxValue="13655"/>
    </cacheField>
    <cacheField name="Total PoP" numFmtId="0">
      <sharedItems containsSemiMixedTypes="0" containsString="0" containsNumber="1" containsInteger="1" minValue="1" maxValue="13774"/>
    </cacheField>
    <cacheField name="Flooding Affected" numFmtId="1">
      <sharedItems containsBlank="1"/>
    </cacheField>
    <cacheField name="Locality size" numFmtId="166">
      <sharedItems count="5">
        <s v="1. Small"/>
        <s v="3. Large"/>
        <s v="2. Medium"/>
        <s v="4. Big"/>
        <s v="5. Massive"/>
      </sharedItems>
    </cacheField>
    <cacheField name="Donor" numFmtId="166">
      <sharedItems containsBlank="1" count="11">
        <s v="E.U."/>
        <s v="UNICEF"/>
        <s v="None"/>
        <s v="ERF"/>
        <m/>
        <s v="ECHO/UNICEF"/>
        <s v="ECHO"/>
        <s v="DFAT/OFDA"/>
        <s v="OFDA"/>
        <s v="DFID"/>
        <s v="ERF (ext)" u="1"/>
      </sharedItems>
    </cacheField>
    <cacheField name="Camp manager defined by UNHCR" numFmtId="166">
      <sharedItems containsBlank="1"/>
    </cacheField>
    <cacheField name="Wash focal point Agency" numFmtId="166">
      <sharedItems count="10">
        <s v="CARE"/>
        <s v="ACF"/>
        <s v="Oxfam"/>
        <s v="None"/>
        <s v="RI"/>
        <s v="SI"/>
        <s v="DRC"/>
        <s v="SCI"/>
        <s v="IRC"/>
        <s v="CDN"/>
      </sharedItems>
    </cacheField>
    <cacheField name="Location Coverage" numFmtId="166">
      <sharedItems count="3">
        <s v="Covered"/>
        <s v="Not Covered"/>
        <s v="Gap" u="1"/>
      </sharedItems>
    </cacheField>
    <cacheField name="Ending date funds and project " numFmtId="0">
      <sharedItems containsNonDate="0" containsDate="1" containsString="0" containsBlank="1" minDate="2015-11-30T00:00:00" maxDate="2016-07-01T00:00:00"/>
    </cacheField>
    <cacheField name="EPR Back up NGO" numFmtId="0">
      <sharedItems containsBlank="1" containsMixedTypes="1" containsNumber="1" minValue="0" maxValue="10.75"/>
    </cacheField>
    <cacheField name="Source of Data" numFmtId="166">
      <sharedItems containsBlank="1" count="4">
        <s v="Focal NGO"/>
        <s v="Not documented"/>
        <s v="UNICEF"/>
        <m u="1"/>
      </sharedItems>
    </cacheField>
    <cacheField name="m3/day produced  _x000a_Water treatment station " numFmtId="1">
      <sharedItems containsSemiMixedTypes="0" containsString="0" containsNumber="1" minValue="0" maxValue="36"/>
    </cacheField>
    <cacheField name="m3 delivered during the month_x000a_Water/Boat trucking/emergency pumping " numFmtId="1">
      <sharedItems containsSemiMixedTypes="0" containsString="0" containsNumber="1" containsInteger="1" minValue="0" maxValue="0"/>
    </cacheField>
    <cacheField name="Exit strategy plan from emergency supply " numFmtId="1">
      <sharedItems/>
    </cacheField>
    <cacheField name="# Open wells (without hand pump)" numFmtId="1">
      <sharedItems containsString="0" containsBlank="1" containsNumber="1" containsInteger="1" minValue="0" maxValue="69"/>
    </cacheField>
    <cacheField name="# Hand pump (on well or borehole)" numFmtId="0">
      <sharedItems containsString="0" containsBlank="1" containsNumber="1" containsInteger="1" minValue="0" maxValue="239"/>
    </cacheField>
    <cacheField name="m3/day provided with overhead or storage tank with reticulation /Water  gravity system/SemiPermanend network" numFmtId="0">
      <sharedItems containsString="0" containsBlank="1" containsNumber="1" minValue="0" maxValue="33.15"/>
    </cacheField>
    <cacheField name="Nb of water pond used by the community" numFmtId="0">
      <sharedItems containsString="0" containsBlank="1" containsNumber="1" containsInteger="1" minValue="0" maxValue="17"/>
    </cacheField>
    <cacheField name="% of pond drying more than a month" numFmtId="0">
      <sharedItems containsNonDate="0" containsString="0" containsBlank="1"/>
    </cacheField>
    <cacheField name="% Water harvesting system HH coverage (RWHS)" numFmtId="9">
      <sharedItems containsString="0" containsBlank="1" containsNumber="1" minValue="0" maxValue="1"/>
    </cacheField>
    <cacheField name="% Ceramic filter coverage" numFmtId="9">
      <sharedItems containsString="0" containsBlank="1" containsNumb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13774"/>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13774"/>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13774"/>
    </cacheField>
    <cacheField name="Rank water need coverage (excluding HWTS)" numFmtId="9">
      <sharedItems/>
    </cacheField>
    <cacheField name="% of actual needs covered by emergency systems" numFmtId="9">
      <sharedItems containsSemiMixedTypes="0" containsString="0" containsNumber="1" minValue="0" maxValue="1"/>
    </cacheField>
    <cacheField name="Population for actual needs covered by emergency facilities " numFmtId="1">
      <sharedItems containsSemiMixedTypes="0" containsString="0" containsNumber="1" minValue="0" maxValue="2400"/>
    </cacheField>
    <cacheField name="Pond access" numFmtId="1">
      <sharedItems/>
    </cacheField>
    <cacheField name="Potential Number permanent water points missing" numFmtId="1">
      <sharedItems containsSemiMixedTypes="0" containsString="0" containsNumber="1" minValue="0" maxValue="37.496000000000002"/>
    </cacheField>
    <cacheField name="Number of people having CWF" numFmtId="1">
      <sharedItems containsSemiMixedTypes="0" containsString="0" containsNumber="1" minValue="0" maxValue="13655"/>
    </cacheField>
    <cacheField name="# of persons having RWHS acess" numFmtId="1">
      <sharedItems containsSemiMixedTypes="0" containsString="0" containsNumber="1" minValue="0" maxValue="12178"/>
    </cacheField>
    <cacheField name="% Estimation coverage needs at the end of project" numFmtId="9">
      <sharedItems containsString="0" containsBlank="1" containsNumber="1" minValue="0" maxValue="1"/>
    </cacheField>
    <cacheField name="Population for Estimation coverage needs at the end of project " numFmtId="1">
      <sharedItems containsSemiMixedTypes="0" containsString="0" containsNumber="1" minValue="0" maxValue="13774"/>
    </cacheField>
    <cacheField name="Comments" numFmtId="0">
      <sharedItems containsBlank="1"/>
    </cacheField>
    <cacheField name="# Emergency latrines functional" numFmtId="1">
      <sharedItems containsString="0" containsBlank="1" containsNumber="1" containsInteger="1" minValue="0" maxValue="10"/>
    </cacheField>
    <cacheField name="# Semi-permanent latrines functional in camps_x000a__x000a_# village latrines functional in villages" numFmtId="1">
      <sharedItems containsString="0" containsBlank="1" containsNumber="1" containsInteger="1" minValue="0" maxValue="600"/>
    </cacheField>
    <cacheField name="# of People per Latrine" numFmtId="1">
      <sharedItems containsSemiMixedTypes="0" containsString="0" containsNumber="1" minValue="0" maxValue="42"/>
    </cacheField>
    <cacheField name="Latrines organization" numFmtId="1">
      <sharedItems containsBlank="1" count="20">
        <s v="Share Household Latriens"/>
        <s v="Household latrines"/>
        <s v="Mixed"/>
        <s v="Gender Separate, clearly perceived"/>
        <s v="No Specification"/>
        <m/>
        <s v="Attributed per families"/>
        <s v="Gender Separate, but not clearly perceived"/>
        <s v="Community did not agree to latrine construction" u="1"/>
        <s v="11 communal blocks of 4" u="1"/>
        <s v="Separate, clearly perceived" u="1"/>
        <s v="15 communal blocks of 4" u="1"/>
        <s v="HH latrines" u="1"/>
        <s v="n/a" u="1"/>
        <s v="Latrine shared by families , not separated" u="1"/>
        <s v="Communal Latrines, Separate, clearly perceived" u="1"/>
        <s v="Separate, but not clearly perceived" u="1"/>
        <s v="Not separated yet" u="1"/>
        <s v="127 Household latrines + 2 blocks of 4 latrines in previous shelter area" u="1"/>
        <s v="Community refused latrines" u="1"/>
      </sharedItems>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1178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11780"/>
    </cacheField>
    <cacheField name="% needs coverage with emergency latrines" numFmtId="9">
      <sharedItems containsSemiMixedTypes="0" containsString="0" containsNumber="1" minValue="0" maxValue="4.6765393608729555E-2"/>
    </cacheField>
    <cacheField name="Population covered by emergency latrines" numFmtId="1">
      <sharedItems containsSemiMixedTypes="0" containsString="0" containsNumber="1" minValue="0" maxValue="60.000000000000021"/>
    </cacheField>
    <cacheField name="% of TLS needs covered" numFmtId="0">
      <sharedItems containsMixedTypes="1" containsNumber="1" minValue="0" maxValue="1" count="8">
        <s v="n/a"/>
        <s v="75-100%"/>
        <s v="25-50%"/>
        <s v="0-25%"/>
        <s v="50-75%"/>
        <n v="0" u="1"/>
        <n v="1" u="1"/>
        <n v="0.5" u="1"/>
      </sharedItems>
    </cacheField>
    <cacheField name="% Estimation coverage latrine needs at the end of project " numFmtId="9">
      <sharedItems containsBlank="1" containsMixedTypes="1" containsNumber="1" minValue="0" maxValue="1"/>
    </cacheField>
    <cacheField name="Population for Estimation coverage latrine need at the end of project " numFmtId="1">
      <sharedItems containsSemiMixedTypes="0" containsString="0" containsNumber="1" minValue="0" maxValue="13655"/>
    </cacheField>
    <cacheField name="# Semi permanent latrines missing" numFmtId="1">
      <sharedItems containsMixedTypes="1" containsNumber="1" minValue="0" maxValue="412.15"/>
    </cacheField>
    <cacheField name="# of individual bathing spaces (1 unit for 1HH)" numFmtId="1">
      <sharedItems containsMixedTypes="1" containsNumber="1" minValue="0" maxValue="2629"/>
    </cacheField>
    <cacheField name="% Coverage Bathing  space" numFmtId="9">
      <sharedItems containsMixedTypes="1" containsNumber="1" minValue="0" maxValue="1"/>
    </cacheField>
    <cacheField name="Population for Coverage Bathing " numFmtId="1">
      <sharedItems containsMixedTypes="1" containsNumber="1" minValue="0" maxValue="13655"/>
    </cacheField>
    <cacheField name="Nb of missing bathing space" numFmtId="1">
      <sharedItems containsMixedTypes="1" containsNumber="1" minValue="0" maxValue="2080"/>
    </cacheField>
    <cacheField name="% Estimation coverage bathroom needs at the end of project  with gender seperation" numFmtId="0">
      <sharedItems containsMixedTypes="1" containsNumber="1" minValue="0" maxValue="1"/>
    </cacheField>
    <cacheField name="Population for Estimation coverage bathroom needs at the end of project" numFmtId="1">
      <sharedItems containsMixedTypes="1" containsNumber="1" minValue="0" maxValue="14216"/>
    </cacheField>
    <cacheField name="# Hand washing station funtional" numFmtId="0">
      <sharedItems containsBlank="1" containsMixedTypes="1" containsNumber="1" containsInteger="1" minValue="0" maxValue="2280"/>
    </cacheField>
    <cacheField name="Coverage hand wash station %" numFmtId="9">
      <sharedItems containsMixedTypes="1" containsNumber="1" minValue="0" maxValue="1"/>
    </cacheField>
    <cacheField name="Nb of missing hand washing station" numFmtId="3">
      <sharedItems containsMixedTypes="1" containsNumber="1" minValue="0" maxValue="117.04"/>
    </cacheField>
    <cacheField name="% Estimation coverage hand wash station need at the end of project" numFmtId="0">
      <sharedItems containsBlank="1" containsMixedTypes="1" containsNumber="1" minValue="0" maxValue="1"/>
    </cacheField>
    <cacheField name="Population for Estimation coverage need at the end of project " numFmtId="3">
      <sharedItems containsBlank="1" containsMixedTypes="1" containsNumber="1" minValue="0" maxValue="13655"/>
    </cacheField>
    <cacheField name="Comments2" numFmtId="0">
      <sharedItems containsBlank="1"/>
    </cacheField>
    <cacheField name="Date Last Full Hygiene Kit distribution" numFmtId="0">
      <sharedItems containsDate="1" containsBlank="1" containsMixedTypes="1" minDate="2013-10-29T00:00:00" maxDate="2015-09-25T00:00:00"/>
    </cacheField>
    <cacheField name="Type of Hygiene kit distribution approach" numFmtId="0">
      <sharedItems containsNonDate="0" containsString="0" containsBlank="1"/>
    </cacheField>
    <cacheField name="% tagetetted" numFmtId="0">
      <sharedItems containsNonDate="0" containsString="0" containsBlank="1"/>
    </cacheField>
    <cacheField name="Next distribution to be done" numFmtId="168">
      <sharedItems containsDate="1" containsMixedTypes="1" minDate="2015-12-18T00:00:00" maxDate="2016-09-24T00:00:00"/>
    </cacheField>
    <cacheField name="# of Full Hygiene kit distributed during last distribution" numFmtId="1">
      <sharedItems containsBlank="1" containsMixedTypes="1" containsNumber="1" minValue="0" maxValue="2728"/>
    </cacheField>
    <cacheField name="# of months of consumables distributed since last full kit distribution" numFmtId="1">
      <sharedItems containsBlank="1" containsMixedTypes="1" containsNumber="1" containsInteger="1" minValue="0" maxValue="15"/>
    </cacheField>
    <cacheField name="Gap of full hygiene kit" numFmtId="1">
      <sharedItems containsMixedTypes="1" containsNumber="1" containsInteger="1" minValue="0" maxValue="2145"/>
    </cacheField>
    <cacheField name="Coverage Hygiene kits" numFmtId="9">
      <sharedItems containsMixedTypes="1" containsNumber="1" minValue="0" maxValue="1"/>
    </cacheField>
    <cacheField name="Population for Coverage Hygiene kits" numFmtId="1">
      <sharedItems containsMixedTypes="1" containsNumber="1" minValue="0" maxValue="13655"/>
    </cacheField>
    <cacheField name="Gap of month covered by consumables" numFmtId="1">
      <sharedItems containsMixedTypes="1" containsNumber="1" containsInteger="1" minValue="0" maxValue="22" count="23">
        <s v="n/a"/>
        <n v="7"/>
        <n v="16"/>
        <n v="0"/>
        <n v="4"/>
        <n v="22"/>
        <n v="10"/>
        <n v="3"/>
        <n v="20"/>
        <n v="6"/>
        <n v="21"/>
        <n v="5"/>
        <n v="13" u="1"/>
        <n v="14" u="1"/>
        <n v="15" u="1"/>
        <n v="2" u="1"/>
        <n v="17" u="1"/>
        <n v="18" u="1"/>
        <n v="19" u="1"/>
        <n v="1" u="1"/>
        <n v="9" u="1"/>
        <n v="11" u="1"/>
        <n v="12" u="1"/>
      </sharedItems>
    </cacheField>
    <cacheField name="Comments3" numFmtId="0">
      <sharedItems containsBlank="1"/>
    </cacheField>
    <cacheField name="Approximative % of household receiving monthly HP senzitisation directly with NGO" numFmtId="9">
      <sharedItems containsString="0" containsBlank="1" containsNumber="1" minValue="0" maxValue="1.3519000000000001"/>
    </cacheField>
    <cacheField name="Population Receivinh HH visit for HP" numFmtId="1">
      <sharedItems containsSemiMixedTypes="0" containsString="0" containsNumber="1" minValue="0" maxValue="12178"/>
    </cacheField>
    <cacheField name="Nb  community HP trainer trained by NGO" numFmtId="1">
      <sharedItems containsBlank="1" containsMixedTypes="1" containsNumber="1" containsInteger="1" minValue="0" maxValue="70"/>
    </cacheField>
    <cacheField name="Ratio between population and nb of community HP" numFmtId="166">
      <sharedItems/>
    </cacheField>
    <cacheField name="Waste management organise and efficient in camps" numFmtId="1">
      <sharedItems containsBlank="1" count="9">
        <s v="n/a"/>
        <s v="Not yet set up"/>
        <s v="Functional and efficient"/>
        <m/>
        <s v="Not yet planned"/>
        <s v="Set up but low results "/>
        <s v="Yes"/>
        <s v="No"/>
        <s v="Set and good results" u="1"/>
      </sharedItems>
    </cacheField>
    <cacheField name="Incinerator operational" numFmtId="1">
      <sharedItems containsBlank="1" count="6">
        <s v="n/a"/>
        <s v="No"/>
        <m/>
        <s v="Yes"/>
        <s v="Not yet set up"/>
        <s v="Set up but low results "/>
      </sharedItems>
    </cacheField>
    <cacheField name="Latrine/bathroom management organised with community and efficient" numFmtId="1">
      <sharedItems containsBlank="1" count="6">
        <s v="Not yet set up"/>
        <s v="Set up but low results "/>
        <s v="Functional and efficient"/>
        <m/>
        <s v="Not yet planned"/>
        <s v="n/a"/>
      </sharedItems>
    </cacheField>
    <cacheField name="Water facilities management  organised by community and efficient" numFmtId="1">
      <sharedItems containsBlank="1" count="6">
        <s v="Set up but low results "/>
        <s v="Functional and efficient"/>
        <m/>
        <s v="Not yet planned"/>
        <s v="Not yet set up"/>
        <s v="n/a"/>
      </sharedItems>
    </cacheField>
    <cacheField name="Comment" numFmtId="0">
      <sharedItems containsBlank="1"/>
    </cacheField>
    <cacheField name="Latrine coverage" numFmtId="0" formula="'Population for Latrine needs coverage '/'Total PoP'" databaseField="0"/>
    <cacheField name="Water coverage" numFmtId="0" formula="'Population for Potential % of actual need coverage including HWTS'/'Total PoP'" databaseField="0"/>
    <cacheField name="Bathroom coverage" numFmtId="0" formula="'Population for Coverage Bathing '/'Total PoP'" databaseField="0"/>
    <cacheField name="Permanent Water poiny %" numFmtId="0" formula="'Population for Access to safe drinking water through permanent water point'/'Total PoP'" databaseField="0"/>
    <cacheField name="Wash Emregency Facilities %" numFmtId="0" formula="'Population for actual needs covered by emergency facilities '/'Total PoP'" databaseField="0"/>
    <cacheField name="Household complementary Coverage %" numFmtId="0" formula=" ('Population for Potential % of actual need coverage including HWTS'-'Population for actual water needs coverage ')/'Total PoP'" databaseField="0"/>
    <cacheField name="Emergency Latrine %" numFmtId="0" formula="'Population covered by emergency latrines'/'Total PoP'" databaseField="0"/>
    <cacheField name="Covergae HK %" numFmtId="0" formula="'Population for Coverage Hygiene kits'/'Total PoP'" databaseField="0"/>
    <cacheField name="HH receiving monthly HP visit %" numFmtId="0" formula="'Population Receivinh HH visit for HP'/'Total PoP'" databaseField="0"/>
    <cacheField name="Water needs covered (including HHWT)" numFmtId="0" formula="'Population for Potential % of actual need coverage including HWTS'/'Total PoP'" databaseField="0"/>
    <cacheField name="Projection Water coverage increase %" numFmtId="0" formula=" ('Population for Estimation coverage needs at the end of project '-'Population for Potential % of actual need coverage including HWTS')/'Total PoP'" databaseField="0"/>
    <cacheField name="Actual Latrine coverage %" numFmtId="0" formula="'Population for Latrine needs coverage '/'Total PoP'" databaseField="0"/>
    <cacheField name="Estimated Latrine coverage increase projection" numFmtId="0" formula="('Population for Estimation coverage latrine need at the end of project '-'Population for Latrine needs coverage ')/'Total PoP'" databaseField="0"/>
    <cacheField name="Bathing space need coverage %" numFmtId="0" formula="'Population for Coverage Bathing '/'Total PoP'" databaseField="0"/>
    <cacheField name="Estimation Bathing space coverage increase projection" numFmtId="0" formula="('Population for Estimation coverage bathroom needs at the end of project'-'Population for Coverage Bathing ')/'Total PoP'" databaseField="0"/>
    <cacheField name="Semi-permanent latrine coverage %" numFmtId="0" formula="'Population for semi-permanent latrine coverage'/'Total PoP'" databaseField="0"/>
    <cacheField name="Field1" numFmtId="0" formula=" 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Olivier Le Guillou" refreshedDate="42302.541546759261" createdVersion="5" refreshedVersion="5" minRefreshableVersion="3" recordCount="70">
  <cacheSource type="worksheet">
    <worksheetSource ref="C4:AE74" sheet="Agency funds received"/>
  </cacheSource>
  <cacheFields count="29">
    <cacheField name="Agency leading the project" numFmtId="0">
      <sharedItems count="16">
        <s v="ABCD"/>
        <s v="CARE"/>
        <s v="CDN"/>
        <s v="DRC"/>
        <s v="DRD"/>
        <s v="ICRC"/>
        <s v="International Rescue Committee"/>
        <s v="Malteser International"/>
        <s v="MHAA"/>
        <s v="MRCS"/>
        <s v="Oxfam"/>
        <s v="Relief International "/>
        <s v="SCI"/>
        <s v="Solidarités International"/>
        <s v="Solidarities International"/>
        <s v="Unicef"/>
      </sharedItems>
    </cacheField>
    <cacheField name="Implementing or consortium partner  " numFmtId="0">
      <sharedItems containsBlank="1"/>
    </cacheField>
    <cacheField name="Donor" numFmtId="0">
      <sharedItems count="20">
        <s v="UNICEF"/>
        <s v="EU"/>
        <s v="OFDA"/>
        <s v="ERF"/>
        <s v="DANIDA"/>
        <s v="SIDA"/>
        <s v="ECHO"/>
        <s v="?"/>
        <s v="UNHCR"/>
        <s v="Germany"/>
        <s v="ICRC"/>
        <s v="DFID"/>
        <s v="CIDA"/>
        <s v="AusAid"/>
        <s v="Japan"/>
        <s v="Turkish"/>
        <s v="Finland"/>
        <s v="CERF"/>
        <s v="SDC"/>
        <s v="DFATD" u="1"/>
      </sharedItems>
    </cacheField>
    <cacheField name="cofunding donors" numFmtId="0">
      <sharedItems containsBlank="1"/>
    </cacheField>
    <cacheField name="Name of the project" numFmtId="0">
      <sharedItems containsBlank="1" longText="1"/>
    </cacheField>
    <cacheField name="Project start date _x000a_ dd/mm/yy" numFmtId="14">
      <sharedItems containsNonDate="0" containsDate="1" containsString="0" containsBlank="1" minDate="2012-01-01T00:00:00" maxDate="2015-09-02T00:00:00"/>
    </cacheField>
    <cacheField name="Project end date  dd/mm/yy" numFmtId="14">
      <sharedItems containsNonDate="0" containsDate="1" containsString="0" containsBlank="1" minDate="2012-11-12T00:00:00" maxDate="2018-01-01T00:00:00"/>
    </cacheField>
    <cacheField name="Status of the project" numFmtId="0">
      <sharedItems containsBlank="1"/>
    </cacheField>
    <cacheField name="Year fund received" numFmtId="0">
      <sharedItems containsString="0" containsBlank="1" containsNumber="1" containsInteger="1" minValue="1900" maxValue="2015" count="6">
        <n v="2012"/>
        <n v="2013"/>
        <n v="2014"/>
        <m/>
        <n v="2015"/>
        <n v="1900" u="1"/>
      </sharedItems>
    </cacheField>
    <cacheField name="Total Nb of wash beneficiaries" numFmtId="0">
      <sharedItems containsString="0" containsBlank="1" containsNumber="1" containsInteger="1" minValue="517" maxValue="117000"/>
    </cacheField>
    <cacheField name="Approximative % of Mulsim beneficiaries" numFmtId="9">
      <sharedItems containsBlank="1" containsMixedTypes="1" containsNumber="1" minValue="0" maxValue="1"/>
    </cacheField>
    <cacheField name="Approximate % of beneficiaries in camps" numFmtId="9">
      <sharedItems containsBlank="1" containsMixedTypes="1" containsNumber="1" minValue="0" maxValue="1"/>
    </cacheField>
    <cacheField name="Approximate % of beneficiaries in affected villages" numFmtId="9">
      <sharedItems containsString="0" containsBlank="1" containsNumber="1" minValue="0" maxValue="0.92"/>
    </cacheField>
    <cacheField name="Approximate % of beneficiaries in srurrounding host community" numFmtId="9">
      <sharedItems containsString="0" containsBlank="1" containsNumber="1" minValue="0" maxValue="1"/>
    </cacheField>
    <cacheField name="Nb of sanitation beneficiaries plan" numFmtId="0">
      <sharedItems containsString="0" containsBlank="1" containsNumber="1" containsInteger="1" minValue="0" maxValue="80751"/>
    </cacheField>
    <cacheField name="Nb of water access beneficiaries plan" numFmtId="0">
      <sharedItems containsString="0" containsBlank="1" containsNumber="1" containsInteger="1" minValue="0" maxValue="80751"/>
    </cacheField>
    <cacheField name="Nb of beneficiairies for HE" numFmtId="0">
      <sharedItems containsString="0" containsBlank="1" containsNumber="1" containsInteger="1" minValue="0" maxValue="81512"/>
    </cacheField>
    <cacheField name="Nb of sanitation beneficiaries plan2" numFmtId="0">
      <sharedItems containsBlank="1" containsMixedTypes="1" containsNumber="1" minValue="0" maxValue="65100"/>
    </cacheField>
    <cacheField name="Nb of water access beneficiaries plan2" numFmtId="0">
      <sharedItems containsBlank="1" containsMixedTypes="1" containsNumber="1" minValue="0" maxValue="65100"/>
    </cacheField>
    <cacheField name="Nb of beneficiairies for HE2" numFmtId="0">
      <sharedItems containsBlank="1" containsMixedTypes="1" containsNumber="1" containsInteger="1" minValue="0" maxValue="65100"/>
    </cacheField>
    <cacheField name="Total budget of the project US$. For only WASH related cost (including related support costs)" numFmtId="3">
      <sharedItems containsSemiMixedTypes="0" containsString="0" containsNumber="1" minValue="7671" maxValue="3984393"/>
    </cacheField>
    <cacheField name="Approximate fund before 2014 regarding project date implementation" numFmtId="3">
      <sharedItems containsSemiMixedTypes="0" containsString="0" containsNumber="1" minValue="0" maxValue="3549731.9454545453"/>
    </cacheField>
    <cacheField name="Approximate fund 2014 regarding project date implementation" numFmtId="3">
      <sharedItems containsSemiMixedTypes="0" containsString="0" containsNumber="1" minValue="0" maxValue="7194000" count="67">
        <n v="0"/>
        <n v="235278.21229050274"/>
        <n v="532752.51962616818"/>
        <n v="342757.36222910217"/>
        <n v="248937.5520504732"/>
        <n v="44896.726027397257"/>
        <n v="386402.21268656716"/>
        <n v="50274.725274725271"/>
        <n v="74286.352941176505"/>
        <n v="346490.73943661968"/>
        <n v="16294.650205761311"/>
        <n v="215757"/>
        <n v="77280.219780219777"/>
        <n v="243588.63302752294"/>
        <n v="267432.62633552484"/>
        <n v="222640.20942408376"/>
        <n v="196467.21515151515"/>
        <n v="163878.42148760331"/>
        <n v="309421.48760330578"/>
        <n v="244087.44525547445"/>
        <n v="2715690.5744680851"/>
        <n v="455617.28395061725"/>
        <n v="785568.36902800656"/>
        <n v="434661.05454545451"/>
        <n v="250196.19230769231"/>
        <n v="154700"/>
        <n v="892443.72990353708"/>
        <n v="792744.11605415854"/>
        <n v="212656.57793406592"/>
        <n v="188810"/>
        <n v="564560.43956043955"/>
        <n v="700000"/>
        <n v="603401.70580296894"/>
        <n v="600450.8310249307"/>
        <n v="463013.70956043957"/>
        <n v="18485.972190721644"/>
        <n v="275877" u="1"/>
        <n v="443278.68852459016" u="1"/>
        <n v="7194000" u="1"/>
        <n v="984288.44206773618" u="1"/>
        <n v="483553.50553505536" u="1"/>
        <n v="750000" u="1"/>
        <n v="409180.32786885247" u="1"/>
        <n v="137010.67615658359" u="1"/>
        <n v="599670.51070840191" u="1"/>
        <n v="788461.53846153838" u="1"/>
        <n v="74147.031314432985" u="1"/>
        <n v="717647.0588235294" u="1"/>
        <n v="278800" u="1"/>
        <n v="5663361.7021276597" u="1"/>
        <n v="21876.243093922647" u="1"/>
        <n v="164798.33454545453" u="1"/>
        <n v="43608.801955990217" u="1"/>
        <n v="95762.502369668277" u="1"/>
        <n v="1000000" u="1"/>
        <n v="261302" u="1"/>
        <n v="100000" u="1"/>
        <n v="520632" u="1"/>
        <n v="334570.52416034281" u="1"/>
        <n v="579670.32967032969" u="1"/>
        <n v="1308779.1372549019" u="1"/>
        <n v="337074.76610978524" u="1"/>
        <n v="515403.64" u="1"/>
        <n v="16361.983471074374" u="1"/>
        <n v="65900" u="1"/>
        <n v="5120000" u="1"/>
        <n v="480000" u="1"/>
      </sharedItems>
    </cacheField>
    <cacheField name="Approximate Fund 2015 regarding project date implementation" numFmtId="3">
      <sharedItems containsSemiMixedTypes="0" containsString="0" containsNumber="1" minValue="0" maxValue="2095794"/>
    </cacheField>
    <cacheField name="Approximate fund % dedicated to camps population only" numFmtId="9">
      <sharedItems containsString="0" containsBlank="1" containsNumber="1" minValue="0" maxValue="1"/>
    </cacheField>
    <cacheField name="Approximate % of fund dedicated to sanitation" numFmtId="9">
      <sharedItems containsString="0" containsBlank="1" containsNumber="1" minValue="0" maxValue="1"/>
    </cacheField>
    <cacheField name="Approximate % fund dedicated to Water access" numFmtId="9">
      <sharedItems containsString="0" containsBlank="1" containsNumber="1" minValue="0" maxValue="1"/>
    </cacheField>
    <cacheField name="Approximate % of fund dedicated to HP" numFmtId="9">
      <sharedItems containsString="0" containsBlank="1" containsNumber="1" minValue="0" maxValue="1"/>
    </cacheField>
    <cacheField name="Miscellaneous Comments on projec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Olivier Le Guillou" refreshedDate="42302.541547337962" createdVersion="5" refreshedVersion="5" minRefreshableVersion="3" recordCount="194">
  <cacheSource type="worksheet">
    <worksheetSource ref="B4:CQ198" sheet="Database"/>
  </cacheSource>
  <cacheFields count="95">
    <cacheField name="Township" numFmtId="166">
      <sharedItems/>
    </cacheField>
    <cacheField name="Village Track P_Code" numFmtId="166">
      <sharedItems containsBlank="1"/>
    </cacheField>
    <cacheField name="Village Track Name" numFmtId="166">
      <sharedItems containsBlank="1"/>
    </cacheField>
    <cacheField name="P_Code" numFmtId="0">
      <sharedItems containsBlank="1" containsMixedTypes="1" containsNumber="1" containsInteger="1" minValue="196429" maxValue="217974"/>
    </cacheField>
    <cacheField name="Site" numFmtId="0">
      <sharedItems/>
    </cacheField>
    <cacheField name="GPS x" numFmtId="0">
      <sharedItems containsString="0" containsBlank="1" containsNumber="1" minValue="92.340199999999996" maxValue="93.857592999999994"/>
    </cacheField>
    <cacheField name="GPS y" numFmtId="0">
      <sharedItems containsString="0" containsBlank="1" containsNumber="1" minValue="19.088283000000001" maxValue="21.057600000000001"/>
    </cacheField>
    <cacheField name="Location type" numFmtId="0">
      <sharedItems containsBlank="1" count="3">
        <s v="Village"/>
        <s v="Camp"/>
        <m u="1"/>
      </sharedItems>
    </cacheField>
    <cacheField name="Type" numFmtId="166">
      <sharedItems/>
    </cacheField>
    <cacheField name="Typology beneficiaries" numFmtId="166">
      <sharedItems containsBlank="1" count="7">
        <s v="Village (development)"/>
        <s v="Surrounding community"/>
        <s v="Camp with IDPs"/>
        <s v="Village with affected HH"/>
        <s v="Village with IDPs"/>
        <s v="Displacement ended"/>
        <m u="1"/>
      </sharedItems>
    </cacheField>
    <cacheField name="Nb of affected household" numFmtId="1">
      <sharedItems containsSemiMixedTypes="0" containsString="0" containsNumber="1" containsInteger="1" minValue="0" maxValue="1154"/>
    </cacheField>
    <cacheField name="IDPs Pop or directly affected population" numFmtId="1">
      <sharedItems containsSemiMixedTypes="0" containsString="0" containsNumber="1" containsInteger="1" minValue="0" maxValue="4272"/>
    </cacheField>
    <cacheField name="Total PoP" numFmtId="0">
      <sharedItems containsSemiMixedTypes="0" containsString="0" containsNumber="1" containsInteger="1" minValue="1" maxValue="5040"/>
    </cacheField>
    <cacheField name="Flooding Affected" numFmtId="1">
      <sharedItems containsBlank="1"/>
    </cacheField>
    <cacheField name="Locality size" numFmtId="166">
      <sharedItems/>
    </cacheField>
    <cacheField name="Donor" numFmtId="166">
      <sharedItems containsBlank="1"/>
    </cacheField>
    <cacheField name="Camp manager defined by UNHCR" numFmtId="166">
      <sharedItems containsBlank="1"/>
    </cacheField>
    <cacheField name="Wash focal point Agency" numFmtId="166">
      <sharedItems/>
    </cacheField>
    <cacheField name="Location Coverage" numFmtId="166">
      <sharedItems/>
    </cacheField>
    <cacheField name="Ending date funds and project " numFmtId="15">
      <sharedItems containsNonDate="0" containsDate="1" containsString="0" containsBlank="1" minDate="2015-11-30T00:00:00" maxDate="2016-06-01T00:00:00"/>
    </cacheField>
    <cacheField name="EPR Back up NGO" numFmtId="0">
      <sharedItems containsString="0" containsBlank="1" containsNumber="1" containsInteger="1" minValue="0" maxValue="0"/>
    </cacheField>
    <cacheField name="Source of Data" numFmtId="166">
      <sharedItems/>
    </cacheField>
    <cacheField name="m3/day produced  _x000a_Water treatment station " numFmtId="1">
      <sharedItems containsSemiMixedTypes="0" containsString="0" containsNumber="1" containsInteger="1" minValue="0" maxValue="36"/>
    </cacheField>
    <cacheField name="m3 delivered during the month_x000a_Water/Boat trucking/emergency pumping " numFmtId="1">
      <sharedItems containsSemiMixedTypes="0" containsString="0" containsNumber="1" containsInteger="1" minValue="0" maxValue="0"/>
    </cacheField>
    <cacheField name="Exit strategy plan from emergency supply " numFmtId="1">
      <sharedItems/>
    </cacheField>
    <cacheField name="# Open wells (without hand pump)" numFmtId="1">
      <sharedItems containsString="0" containsBlank="1" containsNumber="1" containsInteger="1" minValue="0" maxValue="15"/>
    </cacheField>
    <cacheField name="# Hand pump (on well or borehole)" numFmtId="0">
      <sharedItems containsString="0" containsBlank="1" containsNumber="1" containsInteger="1" minValue="0" maxValue="90"/>
    </cacheField>
    <cacheField name="m3/day provided with overhead or storage tank with reticulation /Water  gravity system/SemiPermanend network" numFmtId="1">
      <sharedItems containsString="0" containsBlank="1" containsNumber="1" containsInteger="1" minValue="0" maxValue="21"/>
    </cacheField>
    <cacheField name="Nb of water pond used by the community" numFmtId="0">
      <sharedItems containsString="0" containsBlank="1" containsNumber="1" containsInteger="1" minValue="0" maxValue="17"/>
    </cacheField>
    <cacheField name="% of pond drying more than a month" numFmtId="0">
      <sharedItems containsNonDate="0" containsString="0" containsBlank="1"/>
    </cacheField>
    <cacheField name="% Water harvesting system HH coverage (RWHS)" numFmtId="9">
      <sharedItems containsString="0" containsBlank="1" containsNumber="1" minValue="0" maxValue="1"/>
    </cacheField>
    <cacheField name="% Ceramic filter coverage" numFmtId="9">
      <sharedItems containsString="0" containsBlank="1" containsNumb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5040"/>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5040"/>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5040"/>
    </cacheField>
    <cacheField name="Rank water need coverage (excluding HWTS)" numFmtId="9">
      <sharedItems/>
    </cacheField>
    <cacheField name="% of actual needs covered by emergency systems" numFmtId="9">
      <sharedItems containsSemiMixedTypes="0" containsString="0" containsNumber="1" minValue="0" maxValue="0.5617977528089888"/>
    </cacheField>
    <cacheField name="Population for actual needs covered by emergency facilities " numFmtId="1">
      <sharedItems containsSemiMixedTypes="0" containsString="0" containsNumber="1" containsInteger="1" minValue="0" maxValue="2400"/>
    </cacheField>
    <cacheField name="Pond access" numFmtId="1">
      <sharedItems/>
    </cacheField>
    <cacheField name="Potential Number permanent water points missing" numFmtId="1">
      <sharedItems containsSemiMixedTypes="0" containsString="0" containsNumber="1" minValue="0" maxValue="13.956"/>
    </cacheField>
    <cacheField name="Number of people having CWF" numFmtId="1">
      <sharedItems containsSemiMixedTypes="0" containsString="0" containsNumber="1" containsInteger="1" minValue="0" maxValue="2701"/>
    </cacheField>
    <cacheField name="# of persons having RWHS acess" numFmtId="1">
      <sharedItems containsSemiMixedTypes="0" containsString="0" containsNumber="1" minValue="0" maxValue="1274"/>
    </cacheField>
    <cacheField name="% Estimation coverage needs at the end of project" numFmtId="9">
      <sharedItems containsString="0" containsBlank="1" containsNumber="1" minValue="0" maxValue="1"/>
    </cacheField>
    <cacheField name="Population for Estimation coverage needs at the end of project " numFmtId="1">
      <sharedItems containsSemiMixedTypes="0" containsString="0" containsNumber="1" minValue="0" maxValue="5040"/>
    </cacheField>
    <cacheField name="Comments" numFmtId="0">
      <sharedItems containsBlank="1"/>
    </cacheField>
    <cacheField name="# Emergency latrines functional" numFmtId="1">
      <sharedItems containsString="0" containsBlank="1" containsNumber="1" containsInteger="1" minValue="0" maxValue="10"/>
    </cacheField>
    <cacheField name="# Semi-permanent latrines functional in camps_x000a__x000a_# village latrines functional in villages" numFmtId="1">
      <sharedItems containsString="0" containsBlank="1" containsNumber="1" containsInteger="1" minValue="0" maxValue="371"/>
    </cacheField>
    <cacheField name="# of People per Latrine" numFmtId="1">
      <sharedItems containsSemiMixedTypes="0" containsString="0" containsNumber="1" containsInteger="1" minValue="6" maxValue="42"/>
    </cacheField>
    <cacheField name="Latrines organization" numFmtId="1">
      <sharedItems containsBlank="1"/>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400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4000"/>
    </cacheField>
    <cacheField name="% needs coverage with emergency latrines" numFmtId="9">
      <sharedItems containsSemiMixedTypes="0" containsString="0" containsNumber="1" containsInteger="1" minValue="0" maxValue="0"/>
    </cacheField>
    <cacheField name="Population covered by emergency latrines" numFmtId="1">
      <sharedItems containsSemiMixedTypes="0" containsString="0" containsNumber="1" containsInteger="1" minValue="0" maxValue="0"/>
    </cacheField>
    <cacheField name="% of TLS needs covered" numFmtId="0">
      <sharedItems/>
    </cacheField>
    <cacheField name="% Estimation coverage latrine needs at the end of project " numFmtId="9">
      <sharedItems containsBlank="1" containsMixedTypes="1" containsNumber="1" minValue="0" maxValue="1"/>
    </cacheField>
    <cacheField name="Population for Estimation coverage latrine need at the end of project " numFmtId="1">
      <sharedItems containsSemiMixedTypes="0" containsString="0" containsNumber="1" minValue="0" maxValue="4272"/>
    </cacheField>
    <cacheField name="# Semi permanent latrines missing" numFmtId="1">
      <sharedItems containsMixedTypes="1" containsNumber="1" minValue="0" maxValue="83.6"/>
    </cacheField>
    <cacheField name="# of individual bathing spaces (1 unit for 1HH)" numFmtId="1">
      <sharedItems containsMixedTypes="1" containsNumber="1" minValue="0" maxValue="474.79999999999995"/>
    </cacheField>
    <cacheField name="% Coverage Bathing  space" numFmtId="9">
      <sharedItems containsMixedTypes="1" containsNumber="1" minValue="0" maxValue="0.98440577563865217"/>
    </cacheField>
    <cacheField name="Population for Coverage Bathing " numFmtId="1">
      <sharedItems containsMixedTypes="1" containsNumber="1" minValue="0" maxValue="2658.8799999999997"/>
    </cacheField>
    <cacheField name="Nb of missing bathing space" numFmtId="1">
      <sharedItems containsMixedTypes="1" containsNumber="1" minValue="7.5214285714286575" maxValue="762.85714285714289"/>
    </cacheField>
    <cacheField name="% Estimation coverage bathroom needs at the end of project  with gender seperation" numFmtId="0">
      <sharedItems containsMixedTypes="1" containsNumber="1" minValue="0" maxValue="1"/>
    </cacheField>
    <cacheField name="Population for Estimation coverage bathroom needs at the end of project" numFmtId="1">
      <sharedItems containsMixedTypes="1" containsNumber="1" minValue="0" maxValue="2186.25"/>
    </cacheField>
    <cacheField name="# Hand washing station funtional" numFmtId="0">
      <sharedItems containsBlank="1" containsMixedTypes="1" containsNumber="1" containsInteger="1" minValue="0" maxValue="20"/>
    </cacheField>
    <cacheField name="Coverage hand wash station %" numFmtId="9">
      <sharedItems containsMixedTypes="1" containsNumber="1" minValue="0" maxValue="1"/>
    </cacheField>
    <cacheField name="Nb of missing hand washing station" numFmtId="3">
      <sharedItems containsMixedTypes="1" containsNumber="1" minValue="0" maxValue="42.72"/>
    </cacheField>
    <cacheField name="% Estimation coverage hand wash station need at the end of project" numFmtId="9">
      <sharedItems containsMixedTypes="1" containsNumber="1" minValue="0" maxValue="1"/>
    </cacheField>
    <cacheField name="Population for Estimation coverage need at the end of project " numFmtId="3">
      <sharedItems containsMixedTypes="1" containsNumber="1" minValue="0" maxValue="4272"/>
    </cacheField>
    <cacheField name="Comments2" numFmtId="0">
      <sharedItems containsBlank="1"/>
    </cacheField>
    <cacheField name="Date Last Full Hygiene Kit distribution" numFmtId="0">
      <sharedItems containsDate="1" containsBlank="1" containsMixedTypes="1" minDate="2013-12-13T00:00:00" maxDate="2015-09-15T00:00:00"/>
    </cacheField>
    <cacheField name="Type of Hygiene kit distribution approach" numFmtId="0">
      <sharedItems containsNonDate="0" containsString="0" containsBlank="1"/>
    </cacheField>
    <cacheField name="% tagetetted" numFmtId="0">
      <sharedItems containsNonDate="0" containsString="0" containsBlank="1"/>
    </cacheField>
    <cacheField name="Next distribution to be done" numFmtId="168">
      <sharedItems containsDate="1" containsMixedTypes="1" minDate="2016-01-25T00:00:00" maxDate="2016-09-14T00:00:00"/>
    </cacheField>
    <cacheField name="# of Full Hygiene kit distributed during last distribution" numFmtId="1">
      <sharedItems containsString="0" containsBlank="1" containsNumber="1" containsInteger="1" minValue="0" maxValue="1120"/>
    </cacheField>
    <cacheField name="# of months of consumables distributed since last full kit distribution" numFmtId="1">
      <sharedItems containsString="0" containsBlank="1" containsNumber="1" containsInteger="1" minValue="0" maxValue="9"/>
    </cacheField>
    <cacheField name="Gap of full hygiene kit" numFmtId="1">
      <sharedItems containsMixedTypes="1" containsNumber="1" containsInteger="1" minValue="0" maxValue="1154"/>
    </cacheField>
    <cacheField name="Coverage Hygiene kits" numFmtId="9">
      <sharedItems containsMixedTypes="1" containsNumber="1" containsInteger="1" minValue="0" maxValue="1"/>
    </cacheField>
    <cacheField name="Population for Coverage Hygiene kits" numFmtId="1">
      <sharedItems containsMixedTypes="1" containsNumber="1" containsInteger="1" minValue="0" maxValue="2701"/>
    </cacheField>
    <cacheField name="Gap of month covered by consumables" numFmtId="1">
      <sharedItems containsMixedTypes="1" containsNumber="1" containsInteger="1" minValue="0" maxValue="16"/>
    </cacheField>
    <cacheField name="Comments3" numFmtId="0">
      <sharedItems containsBlank="1"/>
    </cacheField>
    <cacheField name="Approximative % of household receiving monthly HP senzitisation directly with NGO" numFmtId="9">
      <sharedItems containsString="0" containsBlank="1" containsNumber="1" minValue="0" maxValue="1"/>
    </cacheField>
    <cacheField name="Population Receivinh HH visit for HP" numFmtId="1">
      <sharedItems containsSemiMixedTypes="0" containsString="0" containsNumber="1" minValue="0" maxValue="2701"/>
    </cacheField>
    <cacheField name="Nb  community HP trainer trained by NGO" numFmtId="1">
      <sharedItems containsString="0" containsBlank="1" containsNumber="1" containsInteger="1" minValue="0" maxValue="11"/>
    </cacheField>
    <cacheField name="Ratio between population and nb of community HP" numFmtId="166">
      <sharedItems/>
    </cacheField>
    <cacheField name="Waste management organise and efficient in camps" numFmtId="1">
      <sharedItems containsBlank="1"/>
    </cacheField>
    <cacheField name="Incinerator operational" numFmtId="1">
      <sharedItems containsBlank="1"/>
    </cacheField>
    <cacheField name="Latrine/bathroom management organised with community and efficient" numFmtId="1">
      <sharedItems containsBlank="1"/>
    </cacheField>
    <cacheField name="Water facilities management  organised by community and efficient" numFmtId="1">
      <sharedItems containsBlank="1"/>
    </cacheField>
    <cacheField name="Comment" numFmtId="0">
      <sharedItems containsBlank="1"/>
    </cacheField>
    <cacheField name="% HHWTS coverage" numFmtId="0" formula="'Number of people having CWF'/'Total PoP'"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5">
  <r>
    <x v="0"/>
    <s v="MMR012010042"/>
    <s v="Ah Lel Chaung"/>
    <s v="198334"/>
    <x v="0"/>
    <m/>
    <m/>
    <x v="0"/>
    <x v="0"/>
    <x v="0"/>
    <n v="0"/>
    <n v="0"/>
    <n v="422"/>
    <m/>
    <x v="0"/>
    <x v="0"/>
    <m/>
    <x v="0"/>
    <x v="0"/>
    <d v="2016-01-07T00:00:00"/>
    <m/>
    <x v="0"/>
    <n v="0"/>
    <n v="0"/>
    <s v="No"/>
    <n v="0"/>
    <n v="0"/>
    <n v="0"/>
    <n v="5"/>
    <m/>
    <n v="0"/>
    <n v="0"/>
    <n v="0"/>
    <n v="0"/>
    <n v="0"/>
    <n v="0"/>
    <n v="0"/>
    <n v="0"/>
    <s v="0-10%"/>
    <n v="0"/>
    <n v="0"/>
    <s v="yes"/>
    <n v="1.6879999999999999"/>
    <n v="0"/>
    <n v="0"/>
    <n v="0.9"/>
    <n v="379.8"/>
    <s v=" Planned Pond renovation with hand pump installation "/>
    <n v="0"/>
    <n v="15"/>
    <n v="42"/>
    <x v="0"/>
    <n v="1"/>
    <n v="422"/>
    <n v="1"/>
    <n v="422"/>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9"/>
    <s v="Hpa Yar Pyin Aung Pa"/>
    <s v="198443"/>
    <x v="1"/>
    <m/>
    <m/>
    <x v="0"/>
    <x v="0"/>
    <x v="0"/>
    <n v="0"/>
    <n v="0"/>
    <n v="2430"/>
    <m/>
    <x v="1"/>
    <x v="0"/>
    <m/>
    <x v="1"/>
    <x v="0"/>
    <d v="2016-01-07T00:00:00"/>
    <m/>
    <x v="0"/>
    <n v="0"/>
    <n v="0"/>
    <s v="No"/>
    <n v="0"/>
    <n v="3"/>
    <n v="0"/>
    <n v="3"/>
    <m/>
    <n v="0"/>
    <n v="0"/>
    <n v="0.30864197530864196"/>
    <n v="750"/>
    <n v="0.30864197530864196"/>
    <n v="750"/>
    <n v="0.30864197530864196"/>
    <n v="750"/>
    <s v="30-45%"/>
    <n v="0"/>
    <n v="0"/>
    <s v="yes"/>
    <n v="6.7200000000000006"/>
    <n v="0"/>
    <n v="0"/>
    <n v="0.31"/>
    <n v="753.3"/>
    <m/>
    <n v="0"/>
    <n v="155"/>
    <n v="42"/>
    <x v="1"/>
    <n v="1"/>
    <n v="2430"/>
    <n v="1"/>
    <n v="2430"/>
    <n v="0"/>
    <n v="0"/>
    <x v="0"/>
    <s v="n/a"/>
    <n v="0"/>
    <s v="n/a"/>
    <s v="n/a"/>
    <s v="n/a"/>
    <s v="n/a"/>
    <s v="n/a"/>
    <s v="n/a"/>
    <s v="n/a"/>
    <s v="n/a"/>
    <s v="n/a"/>
    <s v="n/a"/>
    <n v="1"/>
    <s v="n/a"/>
    <s v="Latrines at each HH"/>
    <s v="n/a"/>
    <m/>
    <m/>
    <s v="n/a"/>
    <n v="0"/>
    <n v="0"/>
    <s v="n/a"/>
    <s v="n/a"/>
    <s v="n/a"/>
    <x v="0"/>
    <s v="HH latrine kits to be distributed"/>
    <n v="0.5"/>
    <n v="1215"/>
    <n v="0"/>
    <s v="Low coverage"/>
    <x v="0"/>
    <x v="0"/>
    <x v="0"/>
    <x v="0"/>
    <m/>
  </r>
  <r>
    <x v="0"/>
    <s v="MMR012010013"/>
    <s v="Inn Chaung"/>
    <s v="198185"/>
    <x v="2"/>
    <m/>
    <m/>
    <x v="0"/>
    <x v="0"/>
    <x v="0"/>
    <n v="0"/>
    <n v="0"/>
    <n v="2526"/>
    <m/>
    <x v="1"/>
    <x v="0"/>
    <m/>
    <x v="0"/>
    <x v="0"/>
    <d v="2016-01-07T00:00:00"/>
    <m/>
    <x v="0"/>
    <n v="0"/>
    <n v="0"/>
    <s v="No"/>
    <n v="0"/>
    <n v="10"/>
    <n v="0"/>
    <n v="8"/>
    <m/>
    <n v="0"/>
    <n v="0"/>
    <n v="0.98970704671417264"/>
    <n v="2500"/>
    <n v="0.98970704671417264"/>
    <n v="2500"/>
    <n v="0.98970704671417264"/>
    <n v="2500"/>
    <s v="80-100%"/>
    <n v="0"/>
    <n v="0"/>
    <s v="yes"/>
    <n v="0.1039999999999992"/>
    <n v="0"/>
    <n v="0"/>
    <n v="0.99"/>
    <n v="2500.7399999999998"/>
    <s v=" Planned Pond renovation with hand pump installation "/>
    <n v="0"/>
    <n v="60"/>
    <n v="42"/>
    <x v="0"/>
    <n v="0.99762470308788598"/>
    <n v="2520"/>
    <n v="0.99762470308788598"/>
    <n v="252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5"/>
    <s v="Wet Ma Kya (a) Zay Di Taung"/>
    <s v="198427"/>
    <x v="3"/>
    <m/>
    <m/>
    <x v="0"/>
    <x v="1"/>
    <x v="0"/>
    <n v="0"/>
    <n v="0"/>
    <n v="547"/>
    <m/>
    <x v="2"/>
    <x v="0"/>
    <m/>
    <x v="0"/>
    <x v="0"/>
    <d v="2016-01-07T00:00:00"/>
    <m/>
    <x v="0"/>
    <n v="0"/>
    <n v="0"/>
    <s v="No"/>
    <n v="0"/>
    <n v="0"/>
    <n v="0"/>
    <n v="2"/>
    <m/>
    <n v="0"/>
    <n v="0"/>
    <n v="0"/>
    <n v="0"/>
    <n v="0"/>
    <n v="0"/>
    <n v="0"/>
    <n v="0"/>
    <s v="0-10%"/>
    <n v="0"/>
    <n v="0"/>
    <s v="yes"/>
    <n v="2.1880000000000002"/>
    <n v="0"/>
    <n v="0"/>
    <n v="0.9"/>
    <n v="492.3"/>
    <s v=" Planned Pond renovation with hand pump installation "/>
    <n v="0"/>
    <n v="15"/>
    <n v="42"/>
    <x v="0"/>
    <n v="1"/>
    <n v="547"/>
    <n v="1"/>
    <n v="547"/>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0"/>
    <s v="Lay Myo"/>
    <s v="198367"/>
    <x v="4"/>
    <m/>
    <m/>
    <x v="0"/>
    <x v="0"/>
    <x v="0"/>
    <n v="0"/>
    <n v="0"/>
    <n v="639"/>
    <m/>
    <x v="2"/>
    <x v="0"/>
    <m/>
    <x v="0"/>
    <x v="0"/>
    <d v="2016-01-07T00:00:00"/>
    <m/>
    <x v="0"/>
    <n v="0"/>
    <n v="0"/>
    <s v="No"/>
    <n v="2"/>
    <n v="0"/>
    <n v="0"/>
    <n v="2"/>
    <m/>
    <n v="0"/>
    <n v="0"/>
    <n v="0.78247261345852892"/>
    <n v="500"/>
    <n v="0.78247261345852892"/>
    <n v="500"/>
    <n v="0.78247261345852892"/>
    <n v="500"/>
    <s v="60-80%"/>
    <n v="0"/>
    <n v="0"/>
    <s v="yes"/>
    <n v="0.55600000000000005"/>
    <n v="0"/>
    <n v="0"/>
    <n v="0.9"/>
    <n v="575.1"/>
    <s v=" Planned Pond renovation with hand pump installation "/>
    <n v="0"/>
    <n v="10"/>
    <n v="42"/>
    <x v="0"/>
    <n v="0.65727699530516437"/>
    <n v="420.00000000000006"/>
    <n v="0.65727699530516437"/>
    <n v="420.00000000000006"/>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37"/>
    <s v="Let Wea Det Pu Zun Chaung"/>
    <s v="198317"/>
    <x v="5"/>
    <m/>
    <m/>
    <x v="0"/>
    <x v="0"/>
    <x v="0"/>
    <n v="0"/>
    <n v="0"/>
    <n v="155"/>
    <m/>
    <x v="0"/>
    <x v="0"/>
    <m/>
    <x v="0"/>
    <x v="0"/>
    <d v="2016-01-07T00:00:00"/>
    <m/>
    <x v="0"/>
    <n v="0"/>
    <n v="0"/>
    <s v="No"/>
    <n v="0"/>
    <n v="0"/>
    <n v="0"/>
    <n v="1"/>
    <m/>
    <n v="0"/>
    <n v="0"/>
    <n v="0"/>
    <n v="0"/>
    <n v="0"/>
    <n v="0"/>
    <n v="0"/>
    <n v="0"/>
    <s v="0-10%"/>
    <n v="0"/>
    <n v="0"/>
    <s v="yes"/>
    <n v="0.62"/>
    <n v="0"/>
    <n v="0"/>
    <n v="0.9"/>
    <n v="139.5"/>
    <s v=" Planned Pond renovation with hand pump installation "/>
    <n v="0"/>
    <n v="2"/>
    <n v="42"/>
    <x v="0"/>
    <n v="0.54193548387096779"/>
    <n v="84.000000000000014"/>
    <n v="0.54193548387096779"/>
    <n v="84.000000000000014"/>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47"/>
    <s v="Kin Taung (a) Kyar Nyo Pyin"/>
    <s v="217876"/>
    <x v="6"/>
    <m/>
    <m/>
    <x v="0"/>
    <x v="2"/>
    <x v="0"/>
    <n v="0"/>
    <n v="0"/>
    <n v="153"/>
    <m/>
    <x v="0"/>
    <x v="0"/>
    <m/>
    <x v="0"/>
    <x v="0"/>
    <d v="2016-01-07T00:00:00"/>
    <m/>
    <x v="0"/>
    <n v="0"/>
    <n v="0"/>
    <s v="No"/>
    <n v="0"/>
    <n v="0"/>
    <n v="0"/>
    <n v="3"/>
    <m/>
    <n v="0"/>
    <n v="0"/>
    <n v="0"/>
    <n v="0"/>
    <n v="0"/>
    <n v="0"/>
    <n v="0"/>
    <n v="0"/>
    <s v="0-10%"/>
    <n v="0"/>
    <n v="0"/>
    <s v="yes"/>
    <n v="0.61199999999999999"/>
    <n v="0"/>
    <n v="0"/>
    <n v="0.9"/>
    <n v="137.70000000000002"/>
    <s v="1- pond renovated with hand pumps"/>
    <n v="0"/>
    <n v="5"/>
    <n v="42"/>
    <x v="0"/>
    <n v="1"/>
    <n v="153"/>
    <n v="1"/>
    <n v="153"/>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NA"/>
    <s v="NA"/>
    <m/>
    <x v="7"/>
    <m/>
    <m/>
    <x v="0"/>
    <x v="2"/>
    <x v="0"/>
    <n v="0"/>
    <n v="0"/>
    <n v="574"/>
    <m/>
    <x v="2"/>
    <x v="0"/>
    <m/>
    <x v="1"/>
    <x v="0"/>
    <d v="2016-01-07T00:00:00"/>
    <m/>
    <x v="0"/>
    <n v="0"/>
    <n v="0"/>
    <s v="No"/>
    <n v="0"/>
    <n v="3"/>
    <n v="0"/>
    <n v="0"/>
    <m/>
    <n v="0"/>
    <n v="0"/>
    <n v="1"/>
    <n v="574"/>
    <n v="1"/>
    <n v="574"/>
    <n v="1"/>
    <n v="574"/>
    <s v="80-100%"/>
    <n v="0"/>
    <n v="0"/>
    <s v="no"/>
    <n v="0"/>
    <n v="0"/>
    <n v="0"/>
    <n v="1"/>
    <n v="574"/>
    <m/>
    <n v="0"/>
    <n v="2"/>
    <n v="42"/>
    <x v="2"/>
    <n v="0.14634146341463414"/>
    <n v="84"/>
    <n v="0.14634146341463414"/>
    <n v="84"/>
    <n v="0"/>
    <n v="0"/>
    <x v="0"/>
    <s v="n/a"/>
    <n v="0"/>
    <s v="n/a"/>
    <s v="n/a"/>
    <s v="n/a"/>
    <s v="n/a"/>
    <s v="n/a"/>
    <s v="n/a"/>
    <s v="n/a"/>
    <s v="n/a"/>
    <s v="n/a"/>
    <s v="n/a"/>
    <n v="1"/>
    <s v="n/a"/>
    <s v="Latrines at each HH"/>
    <s v="n/a"/>
    <m/>
    <m/>
    <s v="n/a"/>
    <n v="0"/>
    <n v="0"/>
    <s v="n/a"/>
    <s v="n/a"/>
    <s v="n/a"/>
    <x v="0"/>
    <s v="HH latrine kits to be distributed"/>
    <n v="0.4"/>
    <n v="229.60000000000002"/>
    <n v="0"/>
    <s v="Low coverage"/>
    <x v="0"/>
    <x v="0"/>
    <x v="0"/>
    <x v="0"/>
    <m/>
  </r>
  <r>
    <x v="0"/>
    <s v="MMR012010066"/>
    <s v="Thay Kan Gwa Son"/>
    <s v="198429"/>
    <x v="8"/>
    <m/>
    <m/>
    <x v="0"/>
    <x v="0"/>
    <x v="0"/>
    <n v="0"/>
    <n v="0"/>
    <n v="227"/>
    <m/>
    <x v="0"/>
    <x v="0"/>
    <m/>
    <x v="1"/>
    <x v="0"/>
    <d v="2016-01-07T00:00:00"/>
    <m/>
    <x v="0"/>
    <n v="0"/>
    <n v="0"/>
    <s v="No"/>
    <n v="0"/>
    <n v="0"/>
    <n v="0"/>
    <n v="1"/>
    <m/>
    <n v="0"/>
    <n v="0"/>
    <n v="0"/>
    <n v="0"/>
    <n v="0"/>
    <n v="0"/>
    <n v="0"/>
    <n v="0"/>
    <s v="0-10%"/>
    <n v="0"/>
    <n v="0"/>
    <s v="yes"/>
    <n v="0.90800000000000003"/>
    <n v="0"/>
    <n v="0"/>
    <m/>
    <n v="0"/>
    <m/>
    <n v="0"/>
    <n v="2"/>
    <n v="42"/>
    <x v="1"/>
    <n v="0.37004405286343611"/>
    <n v="84"/>
    <n v="0.37004405286343611"/>
    <n v="84"/>
    <n v="0"/>
    <n v="0"/>
    <x v="0"/>
    <s v="n/a"/>
    <n v="0"/>
    <s v="n/a"/>
    <s v="n/a"/>
    <s v="n/a"/>
    <s v="n/a"/>
    <s v="n/a"/>
    <s v="n/a"/>
    <s v="n/a"/>
    <s v="n/a"/>
    <s v="n/a"/>
    <s v="n/a"/>
    <n v="1"/>
    <s v="n/a"/>
    <s v="Latrines at each HH"/>
    <s v="n/a"/>
    <m/>
    <m/>
    <s v="n/a"/>
    <n v="0"/>
    <n v="0"/>
    <s v="n/a"/>
    <s v="n/a"/>
    <s v="n/a"/>
    <x v="0"/>
    <s v="HH latrine kits to be distributed"/>
    <n v="1"/>
    <n v="227"/>
    <n v="2"/>
    <s v="Low coverage"/>
    <x v="0"/>
    <x v="0"/>
    <x v="0"/>
    <x v="0"/>
    <m/>
  </r>
  <r>
    <x v="0"/>
    <m/>
    <m/>
    <m/>
    <x v="9"/>
    <m/>
    <m/>
    <x v="0"/>
    <x v="0"/>
    <x v="0"/>
    <n v="0"/>
    <n v="0"/>
    <n v="420"/>
    <m/>
    <x v="0"/>
    <x v="0"/>
    <m/>
    <x v="0"/>
    <x v="0"/>
    <d v="2016-01-07T00:00:00"/>
    <m/>
    <x v="0"/>
    <n v="0"/>
    <n v="0"/>
    <s v="No"/>
    <n v="0"/>
    <n v="0"/>
    <n v="0"/>
    <n v="2"/>
    <m/>
    <n v="0"/>
    <n v="0"/>
    <n v="0"/>
    <n v="0"/>
    <n v="0"/>
    <n v="0"/>
    <n v="0"/>
    <n v="0"/>
    <s v="0-10%"/>
    <n v="0"/>
    <n v="0"/>
    <s v="yes"/>
    <n v="1.68"/>
    <n v="0"/>
    <n v="0"/>
    <n v="0.9"/>
    <n v="378"/>
    <s v=" Planned Pond renovation with hand pump installation "/>
    <n v="0"/>
    <n v="9"/>
    <n v="42"/>
    <x v="0"/>
    <n v="0.9"/>
    <n v="378"/>
    <n v="0.9"/>
    <n v="378"/>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5"/>
    <s v="Gu Dar Pyin"/>
    <s v="198390"/>
    <x v="10"/>
    <m/>
    <m/>
    <x v="0"/>
    <x v="0"/>
    <x v="0"/>
    <n v="0"/>
    <n v="0"/>
    <n v="1794"/>
    <m/>
    <x v="1"/>
    <x v="0"/>
    <m/>
    <x v="1"/>
    <x v="0"/>
    <d v="2016-01-07T00:00:00"/>
    <m/>
    <x v="0"/>
    <n v="0"/>
    <n v="0"/>
    <s v="No"/>
    <n v="0"/>
    <n v="0"/>
    <n v="0"/>
    <n v="2"/>
    <m/>
    <n v="0"/>
    <n v="0"/>
    <n v="0"/>
    <n v="0"/>
    <n v="0"/>
    <n v="0"/>
    <n v="0"/>
    <n v="0"/>
    <s v="0-10%"/>
    <n v="0"/>
    <n v="0"/>
    <s v="yes"/>
    <n v="7.1760000000000002"/>
    <n v="0"/>
    <n v="0"/>
    <m/>
    <n v="0"/>
    <m/>
    <n v="0"/>
    <n v="116"/>
    <n v="42"/>
    <x v="0"/>
    <n v="1"/>
    <n v="1794"/>
    <n v="1"/>
    <n v="1794"/>
    <n v="0"/>
    <n v="0"/>
    <x v="0"/>
    <s v="n/a"/>
    <n v="0"/>
    <s v="n/a"/>
    <s v="n/a"/>
    <s v="n/a"/>
    <s v="n/a"/>
    <s v="n/a"/>
    <s v="n/a"/>
    <s v="n/a"/>
    <s v="n/a"/>
    <s v="n/a"/>
    <s v="n/a"/>
    <n v="1"/>
    <s v="n/a"/>
    <s v="Latrines at each HH"/>
    <s v="n/a"/>
    <m/>
    <m/>
    <s v="n/a"/>
    <n v="0"/>
    <n v="0"/>
    <s v="n/a"/>
    <s v="n/a"/>
    <s v="n/a"/>
    <x v="0"/>
    <s v="HH latrine kits to be distributed"/>
    <n v="0"/>
    <n v="0"/>
    <n v="0"/>
    <s v="Low coverage"/>
    <x v="0"/>
    <x v="0"/>
    <x v="0"/>
    <x v="0"/>
    <m/>
  </r>
  <r>
    <x v="0"/>
    <s v="MMR012010066"/>
    <s v="Thay Kan Gwa Son"/>
    <s v="198431"/>
    <x v="11"/>
    <m/>
    <m/>
    <x v="0"/>
    <x v="0"/>
    <x v="0"/>
    <n v="0"/>
    <n v="0"/>
    <n v="1337"/>
    <m/>
    <x v="1"/>
    <x v="0"/>
    <m/>
    <x v="1"/>
    <x v="0"/>
    <d v="2016-01-07T00:00:00"/>
    <m/>
    <x v="0"/>
    <n v="0"/>
    <n v="0"/>
    <s v="No"/>
    <n v="0"/>
    <n v="0"/>
    <n v="0"/>
    <n v="2"/>
    <m/>
    <n v="0"/>
    <n v="0"/>
    <n v="0"/>
    <n v="0"/>
    <n v="0"/>
    <n v="0"/>
    <n v="0"/>
    <n v="0"/>
    <s v="0-10%"/>
    <n v="0"/>
    <n v="0"/>
    <s v="yes"/>
    <n v="5.3479999999999999"/>
    <n v="0"/>
    <n v="0"/>
    <m/>
    <n v="0"/>
    <m/>
    <n v="0"/>
    <n v="22"/>
    <n v="42"/>
    <x v="1"/>
    <n v="0.69109947643979053"/>
    <n v="923.99999999999989"/>
    <n v="0.69109947643979053"/>
    <n v="923.99999999999989"/>
    <n v="0"/>
    <n v="0"/>
    <x v="0"/>
    <s v="n/a"/>
    <n v="0"/>
    <s v="n/a"/>
    <s v="n/a"/>
    <s v="n/a"/>
    <s v="n/a"/>
    <s v="n/a"/>
    <s v="n/a"/>
    <s v="n/a"/>
    <s v="n/a"/>
    <s v="n/a"/>
    <s v="n/a"/>
    <n v="1"/>
    <s v="n/a"/>
    <s v="Latrines at each HH"/>
    <s v="n/a"/>
    <m/>
    <m/>
    <s v="n/a"/>
    <n v="0"/>
    <n v="0"/>
    <s v="n/a"/>
    <s v="n/a"/>
    <s v="n/a"/>
    <x v="0"/>
    <s v="HH latrine kits to be distributed"/>
    <n v="0.8"/>
    <n v="1069.6000000000001"/>
    <n v="0"/>
    <s v="Low coverage"/>
    <x v="0"/>
    <x v="0"/>
    <x v="0"/>
    <x v="0"/>
    <m/>
  </r>
  <r>
    <x v="0"/>
    <s v="MMR012010066"/>
    <s v="Thay Kan Gwa Son"/>
    <s v="198428"/>
    <x v="12"/>
    <m/>
    <m/>
    <x v="0"/>
    <x v="2"/>
    <x v="0"/>
    <n v="0"/>
    <n v="0"/>
    <n v="563"/>
    <m/>
    <x v="2"/>
    <x v="0"/>
    <m/>
    <x v="1"/>
    <x v="0"/>
    <d v="2016-01-07T00:00:00"/>
    <m/>
    <x v="0"/>
    <n v="0"/>
    <n v="0"/>
    <s v="No"/>
    <n v="0"/>
    <n v="0"/>
    <n v="0"/>
    <n v="3"/>
    <m/>
    <n v="0"/>
    <n v="0"/>
    <n v="0"/>
    <n v="0"/>
    <n v="0"/>
    <n v="0"/>
    <n v="0"/>
    <n v="0"/>
    <s v="0-10%"/>
    <n v="0"/>
    <n v="0"/>
    <s v="yes"/>
    <n v="2.2519999999999998"/>
    <n v="0"/>
    <n v="0"/>
    <m/>
    <n v="0"/>
    <m/>
    <n v="0"/>
    <n v="13"/>
    <n v="42"/>
    <x v="0"/>
    <n v="0.96980461811722918"/>
    <n v="546"/>
    <n v="0.96980461811722918"/>
    <n v="546"/>
    <n v="0"/>
    <n v="0"/>
    <x v="0"/>
    <s v="n/a"/>
    <n v="0"/>
    <s v="n/a"/>
    <s v="n/a"/>
    <s v="n/a"/>
    <s v="n/a"/>
    <s v="n/a"/>
    <s v="n/a"/>
    <s v="n/a"/>
    <s v="n/a"/>
    <s v="n/a"/>
    <s v="n/a"/>
    <n v="1"/>
    <s v="n/a"/>
    <s v="Latrines at each HH"/>
    <s v="n/a"/>
    <m/>
    <m/>
    <s v="n/a"/>
    <n v="0"/>
    <n v="0"/>
    <s v="n/a"/>
    <s v="n/a"/>
    <s v="n/a"/>
    <x v="0"/>
    <s v="HH latrine kits to be distributed"/>
    <n v="0.2"/>
    <n v="112.60000000000001"/>
    <n v="2"/>
    <s v="Low coverage"/>
    <x v="0"/>
    <x v="0"/>
    <x v="0"/>
    <x v="0"/>
    <m/>
  </r>
  <r>
    <x v="0"/>
    <s v="MMR012010071"/>
    <s v="Thein Taung Pyin"/>
    <s v="217884"/>
    <x v="13"/>
    <m/>
    <m/>
    <x v="0"/>
    <x v="0"/>
    <x v="0"/>
    <n v="0"/>
    <n v="0"/>
    <n v="260"/>
    <m/>
    <x v="0"/>
    <x v="0"/>
    <m/>
    <x v="1"/>
    <x v="0"/>
    <d v="2016-01-07T00:00:00"/>
    <m/>
    <x v="0"/>
    <n v="0"/>
    <n v="0"/>
    <s v="No"/>
    <n v="0"/>
    <n v="0"/>
    <n v="0"/>
    <n v="1"/>
    <m/>
    <n v="0"/>
    <n v="0"/>
    <n v="0"/>
    <n v="0"/>
    <n v="0"/>
    <n v="0"/>
    <n v="0"/>
    <n v="0"/>
    <s v="0-10%"/>
    <n v="0"/>
    <n v="0"/>
    <s v="yes"/>
    <n v="1.04"/>
    <n v="0"/>
    <n v="0"/>
    <m/>
    <n v="0"/>
    <m/>
    <n v="0"/>
    <n v="6"/>
    <n v="42"/>
    <x v="1"/>
    <n v="0.96923076923076923"/>
    <n v="252"/>
    <n v="0.96923076923076923"/>
    <n v="252"/>
    <n v="0"/>
    <n v="0"/>
    <x v="0"/>
    <s v="n/a"/>
    <n v="0"/>
    <s v="n/a"/>
    <s v="n/a"/>
    <s v="n/a"/>
    <s v="n/a"/>
    <s v="n/a"/>
    <s v="n/a"/>
    <s v="n/a"/>
    <s v="n/a"/>
    <s v="n/a"/>
    <s v="n/a"/>
    <n v="1"/>
    <s v="n/a"/>
    <s v="Latrines at each HH"/>
    <s v="n/a"/>
    <m/>
    <m/>
    <s v="n/a"/>
    <n v="0"/>
    <n v="0"/>
    <s v="n/a"/>
    <s v="n/a"/>
    <s v="n/a"/>
    <x v="0"/>
    <s v="HH latrine kits to be distributed"/>
    <n v="1"/>
    <n v="260"/>
    <n v="3"/>
    <s v="Low coverage"/>
    <x v="0"/>
    <x v="0"/>
    <x v="0"/>
    <x v="0"/>
    <m/>
  </r>
  <r>
    <x v="0"/>
    <s v="MMR012010013"/>
    <s v="Inn Chaung"/>
    <s v="198183"/>
    <x v="14"/>
    <m/>
    <m/>
    <x v="0"/>
    <x v="3"/>
    <x v="0"/>
    <n v="0"/>
    <n v="0"/>
    <n v="374"/>
    <m/>
    <x v="0"/>
    <x v="0"/>
    <m/>
    <x v="0"/>
    <x v="0"/>
    <d v="2016-01-07T00:00:00"/>
    <m/>
    <x v="0"/>
    <n v="0"/>
    <n v="0"/>
    <s v="No"/>
    <n v="0"/>
    <n v="1"/>
    <n v="0"/>
    <n v="2"/>
    <m/>
    <n v="0"/>
    <n v="0"/>
    <n v="0.66844919786096257"/>
    <n v="250"/>
    <n v="0.66844919786096257"/>
    <n v="250"/>
    <n v="0.66844919786096257"/>
    <n v="250"/>
    <s v="60-80%"/>
    <n v="0"/>
    <n v="0"/>
    <s v="yes"/>
    <n v="0.496"/>
    <n v="0"/>
    <n v="0"/>
    <n v="0.9"/>
    <n v="336.6"/>
    <s v=" Planned Pond renovation with hand pump installation "/>
    <n v="0"/>
    <n v="2"/>
    <n v="42"/>
    <x v="0"/>
    <n v="0.22459893048128343"/>
    <n v="84"/>
    <n v="0.22459893048128343"/>
    <n v="84"/>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13"/>
    <s v="Inn Chaung"/>
    <s v="198187"/>
    <x v="15"/>
    <m/>
    <m/>
    <x v="0"/>
    <x v="0"/>
    <x v="0"/>
    <n v="0"/>
    <n v="0"/>
    <n v="229"/>
    <m/>
    <x v="0"/>
    <x v="0"/>
    <m/>
    <x v="0"/>
    <x v="0"/>
    <d v="2016-01-07T00:00:00"/>
    <m/>
    <x v="0"/>
    <n v="0"/>
    <n v="0"/>
    <s v="No"/>
    <n v="0"/>
    <n v="1"/>
    <n v="0"/>
    <n v="3"/>
    <m/>
    <n v="0"/>
    <n v="0"/>
    <n v="1"/>
    <n v="229"/>
    <n v="1"/>
    <n v="229"/>
    <n v="1"/>
    <n v="229"/>
    <s v="80-100%"/>
    <n v="0"/>
    <n v="0"/>
    <s v="yes"/>
    <n v="0"/>
    <n v="0"/>
    <n v="0"/>
    <n v="1"/>
    <n v="229"/>
    <s v=" Planned Pond renovation with hand pump installation "/>
    <n v="0"/>
    <n v="3"/>
    <n v="42"/>
    <x v="0"/>
    <n v="0.55021834061135366"/>
    <n v="125.99999999999999"/>
    <n v="0.55021834061135366"/>
    <n v="125.99999999999999"/>
    <n v="0"/>
    <n v="0"/>
    <x v="0"/>
    <s v="n/a"/>
    <n v="0"/>
    <s v="n/a"/>
    <s v="n/a"/>
    <s v="n/a"/>
    <s v="n/a"/>
    <s v="n/a"/>
    <s v="n/a"/>
    <s v="n/a"/>
    <s v="n/a"/>
    <s v="n/a"/>
    <s v="n/a"/>
    <n v="0.7"/>
    <s v="n/a"/>
    <s v=" Required Latrines for  HHs , Public &amp; schools"/>
    <s v="n/a"/>
    <m/>
    <m/>
    <s v="n/a"/>
    <n v="0"/>
    <n v="0"/>
    <s v="n/a"/>
    <s v="n/a"/>
    <s v="n/a"/>
    <x v="0"/>
    <s v=" Hygiene kits to be distributed"/>
    <n v="0"/>
    <n v="0"/>
    <n v="0"/>
    <s v="Low coverage"/>
    <x v="0"/>
    <x v="0"/>
    <x v="0"/>
    <x v="0"/>
    <s v="75 (%) of water facilities will be manage by community themselves at end of project"/>
  </r>
  <r>
    <x v="0"/>
    <s v="MMR012010033"/>
    <s v="Nan Yar Kone"/>
    <s v="198301"/>
    <x v="16"/>
    <m/>
    <m/>
    <x v="0"/>
    <x v="0"/>
    <x v="0"/>
    <n v="0"/>
    <n v="0"/>
    <n v="1450"/>
    <m/>
    <x v="1"/>
    <x v="0"/>
    <m/>
    <x v="1"/>
    <x v="0"/>
    <d v="2016-01-07T00:00:00"/>
    <m/>
    <x v="0"/>
    <n v="0"/>
    <n v="0"/>
    <s v="No"/>
    <n v="0"/>
    <n v="1"/>
    <n v="0"/>
    <n v="1"/>
    <m/>
    <n v="0"/>
    <n v="0"/>
    <n v="0.17241379310344829"/>
    <n v="250.00000000000003"/>
    <n v="0.17241379310344829"/>
    <n v="250.00000000000003"/>
    <n v="0.17241379310344829"/>
    <n v="250.00000000000003"/>
    <s v="15-30%"/>
    <n v="0"/>
    <n v="0"/>
    <s v="yes"/>
    <n v="4.8"/>
    <n v="0"/>
    <n v="0"/>
    <n v="0.17"/>
    <n v="246.50000000000003"/>
    <m/>
    <n v="0"/>
    <n v="52"/>
    <n v="42"/>
    <x v="0"/>
    <n v="1"/>
    <n v="1450"/>
    <n v="1"/>
    <n v="1450"/>
    <n v="0"/>
    <n v="0"/>
    <x v="0"/>
    <s v="n/a"/>
    <n v="0"/>
    <s v="n/a"/>
    <s v="n/a"/>
    <s v="n/a"/>
    <s v="n/a"/>
    <s v="n/a"/>
    <s v="n/a"/>
    <s v="n/a"/>
    <s v="n/a"/>
    <s v="n/a"/>
    <s v="n/a"/>
    <n v="1"/>
    <s v="n/a"/>
    <s v="Latrines at each HH"/>
    <s v="n/a"/>
    <m/>
    <m/>
    <s v="n/a"/>
    <n v="0"/>
    <n v="0"/>
    <s v="n/a"/>
    <s v="n/a"/>
    <s v="n/a"/>
    <x v="0"/>
    <s v="HH latrine kits to be distributed"/>
    <n v="0.8"/>
    <n v="1160"/>
    <n v="0"/>
    <s v="Low coverage"/>
    <x v="0"/>
    <x v="0"/>
    <x v="0"/>
    <x v="0"/>
    <m/>
  </r>
  <r>
    <x v="0"/>
    <s v="MMR012010063"/>
    <s v="Say Taung"/>
    <s v="198419"/>
    <x v="17"/>
    <m/>
    <m/>
    <x v="0"/>
    <x v="2"/>
    <x v="0"/>
    <n v="0"/>
    <n v="0"/>
    <n v="303"/>
    <m/>
    <x v="0"/>
    <x v="0"/>
    <m/>
    <x v="0"/>
    <x v="0"/>
    <d v="2016-01-07T00:00:00"/>
    <m/>
    <x v="0"/>
    <n v="0"/>
    <n v="0"/>
    <s v="No"/>
    <n v="0"/>
    <n v="0"/>
    <n v="0"/>
    <n v="2"/>
    <m/>
    <n v="0"/>
    <n v="0"/>
    <n v="0"/>
    <n v="0"/>
    <n v="0"/>
    <n v="0"/>
    <n v="0"/>
    <n v="0"/>
    <s v="0-10%"/>
    <n v="0"/>
    <n v="0"/>
    <s v="yes"/>
    <n v="1.212"/>
    <n v="0"/>
    <n v="0"/>
    <n v="0.9"/>
    <n v="272.7"/>
    <s v=" Planned Pond renovation with hand pump installation "/>
    <n v="0"/>
    <n v="0"/>
    <n v="42"/>
    <x v="0"/>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70"/>
    <s v="Ah Htet Kywe Cho Maw (a)Nyaung Chaung Kywe Gyo Maw"/>
    <s v="198444"/>
    <x v="18"/>
    <m/>
    <m/>
    <x v="0"/>
    <x v="0"/>
    <x v="0"/>
    <n v="0"/>
    <n v="0"/>
    <n v="727"/>
    <m/>
    <x v="2"/>
    <x v="0"/>
    <m/>
    <x v="0"/>
    <x v="0"/>
    <d v="2016-01-07T00:00:00"/>
    <m/>
    <x v="0"/>
    <n v="0"/>
    <n v="0"/>
    <s v="No"/>
    <n v="0"/>
    <n v="0"/>
    <n v="0"/>
    <n v="4"/>
    <m/>
    <n v="0"/>
    <n v="0"/>
    <n v="0"/>
    <n v="0"/>
    <n v="0"/>
    <n v="0"/>
    <n v="0"/>
    <n v="0"/>
    <s v="0-10%"/>
    <n v="0"/>
    <n v="0"/>
    <s v="yes"/>
    <n v="2.9079999999999999"/>
    <n v="0"/>
    <n v="0"/>
    <n v="0.9"/>
    <n v="654.30000000000007"/>
    <s v=" Planned Pond renovation with hand pump installation "/>
    <n v="0"/>
    <n v="12"/>
    <n v="42"/>
    <x v="0"/>
    <n v="0.69325997248968363"/>
    <n v="504"/>
    <n v="0.69325997248968363"/>
    <n v="504"/>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09"/>
    <s v="Laung Chaung"/>
    <s v="217866"/>
    <x v="19"/>
    <m/>
    <m/>
    <x v="0"/>
    <x v="0"/>
    <x v="0"/>
    <n v="0"/>
    <n v="0"/>
    <n v="844"/>
    <m/>
    <x v="2"/>
    <x v="0"/>
    <m/>
    <x v="0"/>
    <x v="0"/>
    <d v="2016-01-07T00:00:00"/>
    <m/>
    <x v="0"/>
    <n v="0"/>
    <n v="0"/>
    <s v="No"/>
    <n v="0"/>
    <n v="0"/>
    <n v="0"/>
    <n v="4"/>
    <m/>
    <n v="0"/>
    <n v="0"/>
    <n v="0"/>
    <n v="0"/>
    <n v="0"/>
    <n v="0"/>
    <n v="0"/>
    <n v="0"/>
    <s v="0-10%"/>
    <n v="0"/>
    <n v="0"/>
    <s v="yes"/>
    <n v="3.3759999999999999"/>
    <n v="0"/>
    <n v="0"/>
    <n v="0.9"/>
    <n v="759.6"/>
    <s v=" 1- spring cash flow renovated"/>
    <n v="0"/>
    <n v="10"/>
    <n v="42"/>
    <x v="0"/>
    <n v="0.49763033175355448"/>
    <n v="420"/>
    <n v="0.49763033175355448"/>
    <n v="42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47"/>
    <s v="Kin Taung (a) Kyar Nyo Pyin"/>
    <s v="198356"/>
    <x v="20"/>
    <m/>
    <m/>
    <x v="0"/>
    <x v="0"/>
    <x v="0"/>
    <n v="0"/>
    <n v="0"/>
    <n v="5040"/>
    <m/>
    <x v="1"/>
    <x v="0"/>
    <m/>
    <x v="0"/>
    <x v="0"/>
    <d v="2016-01-07T00:00:00"/>
    <m/>
    <x v="0"/>
    <n v="0"/>
    <n v="0"/>
    <s v="No"/>
    <n v="3"/>
    <n v="18"/>
    <n v="0"/>
    <n v="7"/>
    <m/>
    <n v="0"/>
    <n v="0"/>
    <n v="1"/>
    <n v="5040"/>
    <n v="1"/>
    <n v="5040"/>
    <n v="1"/>
    <n v="5040"/>
    <s v="80-100%"/>
    <n v="0"/>
    <n v="0"/>
    <s v="yes"/>
    <n v="0"/>
    <n v="0"/>
    <n v="0"/>
    <n v="1"/>
    <n v="5040"/>
    <s v=" Planned Pond renovation with hand pump installation "/>
    <n v="0"/>
    <n v="5"/>
    <n v="42"/>
    <x v="0"/>
    <n v="4.1666666666666664E-2"/>
    <n v="210"/>
    <n v="4.1666666666666664E-2"/>
    <n v="21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0"/>
    <s v="Lay Myo"/>
    <s v="198369"/>
    <x v="21"/>
    <m/>
    <m/>
    <x v="0"/>
    <x v="0"/>
    <x v="0"/>
    <n v="0"/>
    <n v="0"/>
    <n v="440"/>
    <m/>
    <x v="0"/>
    <x v="0"/>
    <m/>
    <x v="0"/>
    <x v="0"/>
    <d v="2016-01-07T00:00:00"/>
    <m/>
    <x v="0"/>
    <n v="0"/>
    <n v="0"/>
    <s v="No"/>
    <n v="0"/>
    <n v="0"/>
    <n v="0"/>
    <n v="1"/>
    <m/>
    <n v="0"/>
    <n v="0"/>
    <n v="0"/>
    <n v="0"/>
    <n v="0"/>
    <n v="0"/>
    <n v="0"/>
    <n v="0"/>
    <s v="0-10%"/>
    <n v="0"/>
    <n v="0"/>
    <s v="yes"/>
    <n v="1.76"/>
    <n v="0"/>
    <n v="0"/>
    <n v="0.9"/>
    <n v="396"/>
    <s v=" Planned Pond renovation with hand pump installation "/>
    <n v="0"/>
    <n v="12"/>
    <n v="42"/>
    <x v="0"/>
    <n v="1"/>
    <n v="440"/>
    <n v="1"/>
    <n v="44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0"/>
    <s v="Lay Myo"/>
    <s v="198368"/>
    <x v="22"/>
    <m/>
    <m/>
    <x v="0"/>
    <x v="2"/>
    <x v="0"/>
    <n v="0"/>
    <n v="0"/>
    <n v="412"/>
    <m/>
    <x v="0"/>
    <x v="0"/>
    <m/>
    <x v="0"/>
    <x v="0"/>
    <d v="2016-01-07T00:00:00"/>
    <m/>
    <x v="0"/>
    <n v="0"/>
    <n v="0"/>
    <s v="No"/>
    <n v="0"/>
    <n v="0"/>
    <n v="0"/>
    <n v="3"/>
    <m/>
    <n v="0"/>
    <n v="0"/>
    <n v="0"/>
    <n v="0"/>
    <n v="0"/>
    <n v="0"/>
    <n v="0"/>
    <n v="0"/>
    <s v="0-10%"/>
    <n v="0"/>
    <n v="0"/>
    <s v="yes"/>
    <n v="1.6479999999999999"/>
    <n v="0"/>
    <n v="0"/>
    <n v="0.9"/>
    <n v="370.8"/>
    <s v=" Planned Pond renovation with hand pump installation "/>
    <n v="0"/>
    <n v="20"/>
    <n v="42"/>
    <x v="0"/>
    <n v="1"/>
    <n v="412"/>
    <n v="1"/>
    <n v="412"/>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4"/>
    <s v="Thaing Ta Poke"/>
    <s v="198422"/>
    <x v="23"/>
    <m/>
    <m/>
    <x v="0"/>
    <x v="2"/>
    <x v="0"/>
    <n v="0"/>
    <n v="0"/>
    <n v="609"/>
    <m/>
    <x v="2"/>
    <x v="0"/>
    <m/>
    <x v="0"/>
    <x v="0"/>
    <d v="2016-01-07T00:00:00"/>
    <m/>
    <x v="0"/>
    <n v="0"/>
    <n v="0"/>
    <s v="No"/>
    <n v="0"/>
    <n v="0"/>
    <n v="0"/>
    <n v="3"/>
    <m/>
    <n v="0"/>
    <n v="0"/>
    <n v="0"/>
    <n v="0"/>
    <n v="0"/>
    <n v="0"/>
    <n v="0"/>
    <n v="0"/>
    <s v="0-10%"/>
    <n v="0"/>
    <n v="0"/>
    <s v="yes"/>
    <n v="2.4359999999999999"/>
    <n v="0"/>
    <n v="0"/>
    <n v="0.9"/>
    <n v="548.1"/>
    <s v=" Planned Pond renovation with hand pump installation "/>
    <n v="0"/>
    <n v="3"/>
    <n v="42"/>
    <x v="0"/>
    <n v="0.20689655172413793"/>
    <n v="126"/>
    <n v="0.20689655172413793"/>
    <n v="126"/>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5"/>
    <s v="Gu Dar Pyin"/>
    <s v="217879"/>
    <x v="24"/>
    <m/>
    <m/>
    <x v="0"/>
    <x v="2"/>
    <x v="0"/>
    <n v="0"/>
    <n v="0"/>
    <n v="343"/>
    <m/>
    <x v="0"/>
    <x v="0"/>
    <m/>
    <x v="1"/>
    <x v="0"/>
    <d v="2016-01-07T00:00:00"/>
    <m/>
    <x v="0"/>
    <n v="0"/>
    <n v="0"/>
    <s v="No"/>
    <n v="1"/>
    <n v="0"/>
    <n v="0"/>
    <n v="1"/>
    <m/>
    <n v="0"/>
    <n v="0"/>
    <n v="0.7288629737609329"/>
    <n v="249.99999999999997"/>
    <n v="0.7288629737609329"/>
    <n v="249.99999999999997"/>
    <n v="0.7288629737609329"/>
    <n v="249.99999999999997"/>
    <s v="60-80%"/>
    <n v="0"/>
    <n v="0"/>
    <s v="yes"/>
    <n v="0.37200000000000011"/>
    <n v="0"/>
    <n v="0"/>
    <n v="0.73"/>
    <n v="250.39"/>
    <m/>
    <n v="0"/>
    <n v="2"/>
    <n v="42"/>
    <x v="2"/>
    <n v="0.24489795918367346"/>
    <n v="84"/>
    <n v="0.24489795918367346"/>
    <n v="84"/>
    <n v="0"/>
    <n v="0"/>
    <x v="0"/>
    <s v="n/a"/>
    <n v="0"/>
    <s v="n/a"/>
    <s v="n/a"/>
    <s v="n/a"/>
    <s v="n/a"/>
    <s v="n/a"/>
    <s v="n/a"/>
    <s v="n/a"/>
    <s v="n/a"/>
    <s v="n/a"/>
    <s v="n/a"/>
    <n v="1"/>
    <s v="n/a"/>
    <s v="Latrines at each HH"/>
    <s v="n/a"/>
    <m/>
    <m/>
    <s v="n/a"/>
    <n v="0"/>
    <n v="0"/>
    <s v="n/a"/>
    <s v="n/a"/>
    <s v="n/a"/>
    <x v="0"/>
    <s v="HH latrine kits to be distributed"/>
    <n v="0"/>
    <n v="0"/>
    <n v="0"/>
    <s v="Low coverage"/>
    <x v="0"/>
    <x v="0"/>
    <x v="0"/>
    <x v="0"/>
    <m/>
  </r>
  <r>
    <x v="0"/>
    <s v="MMR012010060"/>
    <s v="Kyauk Yant"/>
    <s v="198404"/>
    <x v="25"/>
    <m/>
    <m/>
    <x v="0"/>
    <x v="2"/>
    <x v="0"/>
    <n v="0"/>
    <n v="0"/>
    <n v="64"/>
    <m/>
    <x v="0"/>
    <x v="0"/>
    <m/>
    <x v="0"/>
    <x v="0"/>
    <d v="2016-01-07T00:00:00"/>
    <m/>
    <x v="0"/>
    <n v="0"/>
    <n v="0"/>
    <s v="No"/>
    <n v="0"/>
    <n v="0"/>
    <n v="0"/>
    <n v="1"/>
    <m/>
    <n v="0"/>
    <n v="0"/>
    <n v="0"/>
    <n v="0"/>
    <n v="0"/>
    <n v="0"/>
    <n v="0"/>
    <n v="0"/>
    <s v="0-10%"/>
    <n v="0"/>
    <n v="0"/>
    <s v="yes"/>
    <n v="0.25600000000000001"/>
    <n v="0"/>
    <n v="0"/>
    <n v="0.9"/>
    <n v="57.6"/>
    <s v=" Planned Pond renovation with hand pump installation "/>
    <n v="0"/>
    <n v="0"/>
    <n v="42"/>
    <x v="0"/>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33"/>
    <s v="Nan Yar Kone"/>
    <s v="198303"/>
    <x v="26"/>
    <m/>
    <m/>
    <x v="0"/>
    <x v="0"/>
    <x v="0"/>
    <n v="0"/>
    <n v="0"/>
    <n v="121"/>
    <m/>
    <x v="0"/>
    <x v="0"/>
    <m/>
    <x v="1"/>
    <x v="0"/>
    <d v="2016-01-07T00:00:00"/>
    <m/>
    <x v="0"/>
    <n v="0"/>
    <n v="0"/>
    <s v="No"/>
    <n v="0"/>
    <n v="0"/>
    <n v="0"/>
    <n v="1"/>
    <m/>
    <n v="0"/>
    <n v="0"/>
    <n v="0"/>
    <n v="0"/>
    <n v="0"/>
    <n v="0"/>
    <n v="0"/>
    <n v="0"/>
    <s v="0-10%"/>
    <n v="0"/>
    <n v="0"/>
    <s v="yes"/>
    <n v="0.48399999999999999"/>
    <n v="0"/>
    <n v="0"/>
    <m/>
    <n v="0"/>
    <m/>
    <n v="0"/>
    <n v="2"/>
    <n v="42"/>
    <x v="1"/>
    <n v="0.69421487603305787"/>
    <n v="84"/>
    <n v="0.69421487603305787"/>
    <n v="84"/>
    <n v="0"/>
    <n v="0"/>
    <x v="0"/>
    <s v="n/a"/>
    <n v="0"/>
    <s v="n/a"/>
    <s v="n/a"/>
    <s v="n/a"/>
    <s v="n/a"/>
    <s v="n/a"/>
    <s v="n/a"/>
    <s v="n/a"/>
    <s v="n/a"/>
    <s v="n/a"/>
    <s v="n/a"/>
    <n v="1"/>
    <s v="n/a"/>
    <s v="Latrines at each HH"/>
    <s v="n/a"/>
    <m/>
    <m/>
    <s v="n/a"/>
    <n v="0"/>
    <n v="0"/>
    <s v="n/a"/>
    <s v="n/a"/>
    <s v="n/a"/>
    <x v="0"/>
    <s v="HH latrine kits to be distributed"/>
    <n v="1"/>
    <n v="121"/>
    <n v="0"/>
    <s v="Low coverage"/>
    <x v="0"/>
    <x v="0"/>
    <x v="0"/>
    <x v="0"/>
    <m/>
  </r>
  <r>
    <x v="0"/>
    <s v="MMR012010033"/>
    <s v="Nan Yar Kone"/>
    <s v="198303"/>
    <x v="27"/>
    <m/>
    <m/>
    <x v="0"/>
    <x v="2"/>
    <x v="0"/>
    <n v="0"/>
    <n v="0"/>
    <n v="69"/>
    <m/>
    <x v="0"/>
    <x v="0"/>
    <m/>
    <x v="1"/>
    <x v="0"/>
    <d v="2016-01-07T00:00:00"/>
    <m/>
    <x v="0"/>
    <n v="0"/>
    <n v="0"/>
    <s v="No"/>
    <n v="1"/>
    <n v="0"/>
    <n v="0"/>
    <n v="1"/>
    <m/>
    <n v="0"/>
    <n v="0"/>
    <n v="1"/>
    <n v="69"/>
    <n v="1"/>
    <n v="69"/>
    <n v="1"/>
    <n v="69"/>
    <s v="80-100%"/>
    <n v="0"/>
    <n v="0"/>
    <s v="yes"/>
    <n v="0"/>
    <n v="0"/>
    <n v="0"/>
    <n v="1"/>
    <n v="69"/>
    <m/>
    <n v="0"/>
    <n v="2"/>
    <n v="42"/>
    <x v="1"/>
    <n v="1"/>
    <n v="69"/>
    <n v="1"/>
    <n v="69"/>
    <n v="0"/>
    <n v="0"/>
    <x v="0"/>
    <s v="n/a"/>
    <n v="0"/>
    <s v="n/a"/>
    <s v="n/a"/>
    <s v="n/a"/>
    <s v="n/a"/>
    <s v="n/a"/>
    <s v="n/a"/>
    <s v="n/a"/>
    <s v="n/a"/>
    <s v="n/a"/>
    <s v="n/a"/>
    <n v="1"/>
    <s v="n/a"/>
    <s v="Latrines at each HH"/>
    <s v="n/a"/>
    <m/>
    <m/>
    <s v="n/a"/>
    <n v="0"/>
    <n v="0"/>
    <s v="n/a"/>
    <s v="n/a"/>
    <s v="n/a"/>
    <x v="0"/>
    <s v="HH latrine kits to be distributed"/>
    <n v="0"/>
    <n v="0"/>
    <n v="0"/>
    <s v="Low coverage"/>
    <x v="0"/>
    <x v="0"/>
    <x v="0"/>
    <x v="0"/>
    <m/>
  </r>
  <r>
    <x v="0"/>
    <s v="MMR012010031"/>
    <s v="Tha Yet Kin Ma Nu"/>
    <s v="198292"/>
    <x v="28"/>
    <m/>
    <m/>
    <x v="0"/>
    <x v="0"/>
    <x v="0"/>
    <n v="0"/>
    <n v="0"/>
    <n v="383"/>
    <m/>
    <x v="0"/>
    <x v="0"/>
    <m/>
    <x v="0"/>
    <x v="0"/>
    <d v="2016-01-07T00:00:00"/>
    <m/>
    <x v="0"/>
    <n v="0"/>
    <n v="0"/>
    <s v="No"/>
    <n v="0"/>
    <n v="0"/>
    <n v="0"/>
    <n v="2"/>
    <m/>
    <n v="0"/>
    <n v="0"/>
    <n v="0"/>
    <n v="0"/>
    <n v="0"/>
    <n v="0"/>
    <n v="0"/>
    <n v="0"/>
    <s v="0-10%"/>
    <n v="0"/>
    <n v="0"/>
    <s v="yes"/>
    <n v="1.532"/>
    <n v="0"/>
    <n v="0"/>
    <n v="0.9"/>
    <n v="344.7"/>
    <s v=" Planned Pond renovation with hand pump installation "/>
    <n v="0"/>
    <n v="5"/>
    <n v="42"/>
    <x v="0"/>
    <n v="0.54830287206266315"/>
    <n v="210"/>
    <n v="0.54830287206266315"/>
    <n v="21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71"/>
    <s v="Thein Taung Pyin"/>
    <s v="217885"/>
    <x v="29"/>
    <m/>
    <m/>
    <x v="0"/>
    <x v="0"/>
    <x v="0"/>
    <n v="0"/>
    <n v="0"/>
    <n v="353"/>
    <m/>
    <x v="0"/>
    <x v="0"/>
    <m/>
    <x v="1"/>
    <x v="0"/>
    <d v="2016-01-07T00:00:00"/>
    <m/>
    <x v="0"/>
    <n v="0"/>
    <n v="0"/>
    <s v="No"/>
    <n v="0"/>
    <n v="0"/>
    <n v="0"/>
    <n v="1"/>
    <m/>
    <n v="0"/>
    <n v="0"/>
    <n v="0"/>
    <n v="0"/>
    <n v="0"/>
    <n v="0"/>
    <n v="0"/>
    <n v="0"/>
    <s v="0-10%"/>
    <n v="0"/>
    <n v="0"/>
    <s v="yes"/>
    <n v="1.4119999999999999"/>
    <n v="0"/>
    <n v="0"/>
    <m/>
    <n v="0"/>
    <m/>
    <n v="0"/>
    <n v="10"/>
    <n v="42"/>
    <x v="1"/>
    <n v="1"/>
    <n v="353"/>
    <n v="1"/>
    <n v="353"/>
    <n v="0"/>
    <n v="0"/>
    <x v="0"/>
    <s v="n/a"/>
    <n v="0"/>
    <s v="n/a"/>
    <s v="n/a"/>
    <s v="n/a"/>
    <s v="n/a"/>
    <s v="n/a"/>
    <s v="n/a"/>
    <s v="n/a"/>
    <s v="n/a"/>
    <s v="n/a"/>
    <s v="n/a"/>
    <n v="1"/>
    <s v="n/a"/>
    <s v="Latrines at each HH"/>
    <s v="n/a"/>
    <m/>
    <m/>
    <s v="n/a"/>
    <n v="0"/>
    <n v="0"/>
    <s v="n/a"/>
    <s v="n/a"/>
    <s v="n/a"/>
    <x v="0"/>
    <s v="HH latrine kits to be distributed"/>
    <n v="1"/>
    <n v="353"/>
    <n v="2"/>
    <s v="Low coverage"/>
    <x v="0"/>
    <x v="0"/>
    <x v="0"/>
    <x v="0"/>
    <m/>
  </r>
  <r>
    <x v="0"/>
    <s v="MMR012010009"/>
    <s v="Laung Chaung"/>
    <s v="198164"/>
    <x v="30"/>
    <m/>
    <m/>
    <x v="0"/>
    <x v="3"/>
    <x v="0"/>
    <n v="0"/>
    <n v="0"/>
    <n v="834"/>
    <m/>
    <x v="2"/>
    <x v="0"/>
    <m/>
    <x v="0"/>
    <x v="0"/>
    <d v="2016-01-07T00:00:00"/>
    <m/>
    <x v="0"/>
    <n v="0"/>
    <n v="0"/>
    <s v="No"/>
    <n v="0"/>
    <n v="0"/>
    <n v="0"/>
    <n v="2"/>
    <m/>
    <n v="0"/>
    <n v="0"/>
    <n v="0"/>
    <n v="0"/>
    <n v="0"/>
    <n v="0"/>
    <n v="0"/>
    <n v="0"/>
    <s v="0-10%"/>
    <n v="0"/>
    <n v="0"/>
    <s v="yes"/>
    <n v="3.3359999999999999"/>
    <n v="0"/>
    <n v="0"/>
    <n v="0.9"/>
    <n v="750.6"/>
    <s v=" 1- pond renovated"/>
    <n v="0"/>
    <n v="5"/>
    <n v="42"/>
    <x v="0"/>
    <n v="0.25179856115107913"/>
    <n v="210"/>
    <n v="0.25179856115107913"/>
    <n v="21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42"/>
    <s v="Ah Lel Chaung"/>
    <s v="198335"/>
    <x v="31"/>
    <m/>
    <m/>
    <x v="0"/>
    <x v="2"/>
    <x v="0"/>
    <n v="0"/>
    <n v="0"/>
    <n v="62"/>
    <m/>
    <x v="0"/>
    <x v="0"/>
    <m/>
    <x v="1"/>
    <x v="0"/>
    <d v="2016-01-07T00:00:00"/>
    <m/>
    <x v="0"/>
    <n v="0"/>
    <n v="0"/>
    <s v="No"/>
    <n v="0"/>
    <n v="0"/>
    <n v="0"/>
    <n v="1"/>
    <m/>
    <n v="0"/>
    <n v="0"/>
    <n v="0"/>
    <n v="0"/>
    <n v="0"/>
    <n v="0"/>
    <n v="0"/>
    <n v="0"/>
    <s v="0-10%"/>
    <n v="0"/>
    <n v="0"/>
    <s v="yes"/>
    <n v="0.248"/>
    <n v="0"/>
    <n v="0"/>
    <m/>
    <n v="0"/>
    <m/>
    <n v="0"/>
    <n v="4"/>
    <n v="42"/>
    <x v="2"/>
    <n v="1"/>
    <n v="62"/>
    <n v="1"/>
    <n v="62"/>
    <n v="0"/>
    <n v="0"/>
    <x v="0"/>
    <s v="n/a"/>
    <n v="0"/>
    <s v="n/a"/>
    <s v="n/a"/>
    <s v="n/a"/>
    <s v="n/a"/>
    <s v="n/a"/>
    <s v="n/a"/>
    <s v="n/a"/>
    <s v="n/a"/>
    <s v="n/a"/>
    <s v="n/a"/>
    <n v="1"/>
    <s v="n/a"/>
    <s v="Latrines at each HH"/>
    <s v="n/a"/>
    <m/>
    <m/>
    <s v="n/a"/>
    <n v="0"/>
    <n v="0"/>
    <s v="n/a"/>
    <s v="n/a"/>
    <s v="n/a"/>
    <x v="0"/>
    <s v="HH latrine kits to be distributed"/>
    <n v="0"/>
    <n v="0"/>
    <n v="0"/>
    <s v="Low coverage"/>
    <x v="0"/>
    <x v="0"/>
    <x v="0"/>
    <x v="0"/>
    <m/>
  </r>
  <r>
    <x v="0"/>
    <s v="MMR012010037"/>
    <s v="Let Wea Det Pu Zun Chaung"/>
    <s v="198316"/>
    <x v="32"/>
    <m/>
    <m/>
    <x v="0"/>
    <x v="0"/>
    <x v="0"/>
    <n v="0"/>
    <n v="0"/>
    <n v="1530"/>
    <m/>
    <x v="1"/>
    <x v="0"/>
    <m/>
    <x v="0"/>
    <x v="0"/>
    <d v="2016-01-07T00:00:00"/>
    <m/>
    <x v="0"/>
    <n v="0"/>
    <n v="0"/>
    <s v="No"/>
    <n v="0"/>
    <n v="1"/>
    <n v="0"/>
    <n v="1"/>
    <m/>
    <n v="0"/>
    <n v="0"/>
    <n v="0.16339869281045752"/>
    <n v="250"/>
    <n v="0.16339869281045752"/>
    <n v="250"/>
    <n v="0.16339869281045752"/>
    <n v="250"/>
    <s v="15-30%"/>
    <n v="0"/>
    <n v="0"/>
    <s v="yes"/>
    <n v="5.12"/>
    <n v="0"/>
    <n v="0"/>
    <n v="0.9"/>
    <n v="1377"/>
    <s v=" Planned Pond renovation with hand pump installation "/>
    <n v="0"/>
    <n v="20"/>
    <n v="42"/>
    <x v="0"/>
    <n v="0.5490196078431373"/>
    <n v="840.00000000000011"/>
    <n v="0.5490196078431373"/>
    <n v="840.00000000000011"/>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6"/>
    <s v="Thay Kan Gwa Son"/>
    <s v="198432"/>
    <x v="33"/>
    <m/>
    <m/>
    <x v="0"/>
    <x v="0"/>
    <x v="0"/>
    <n v="0"/>
    <n v="0"/>
    <n v="1948"/>
    <m/>
    <x v="1"/>
    <x v="0"/>
    <m/>
    <x v="1"/>
    <x v="0"/>
    <d v="2016-01-07T00:00:00"/>
    <m/>
    <x v="0"/>
    <n v="0"/>
    <n v="0"/>
    <s v="No"/>
    <n v="0"/>
    <n v="0"/>
    <n v="0"/>
    <n v="2"/>
    <m/>
    <n v="0"/>
    <n v="0"/>
    <n v="0"/>
    <n v="0"/>
    <n v="0"/>
    <n v="0"/>
    <n v="0"/>
    <n v="0"/>
    <s v="0-10%"/>
    <n v="0"/>
    <n v="0"/>
    <s v="yes"/>
    <n v="7.7919999999999998"/>
    <n v="0"/>
    <n v="0"/>
    <m/>
    <n v="0"/>
    <m/>
    <n v="0"/>
    <n v="66"/>
    <n v="42"/>
    <x v="0"/>
    <n v="1"/>
    <n v="1948"/>
    <n v="1"/>
    <n v="1948"/>
    <n v="0"/>
    <n v="0"/>
    <x v="0"/>
    <s v="n/a"/>
    <n v="0"/>
    <s v="n/a"/>
    <s v="n/a"/>
    <s v="n/a"/>
    <s v="n/a"/>
    <s v="n/a"/>
    <s v="n/a"/>
    <s v="n/a"/>
    <s v="n/a"/>
    <s v="n/a"/>
    <s v="n/a"/>
    <n v="1"/>
    <s v="n/a"/>
    <s v="Latrines at each HH"/>
    <s v="n/a"/>
    <m/>
    <m/>
    <s v="n/a"/>
    <n v="0"/>
    <n v="0"/>
    <s v="n/a"/>
    <s v="n/a"/>
    <s v="n/a"/>
    <x v="0"/>
    <s v="HH latrine kits to be distributed"/>
    <n v="0.3"/>
    <n v="584.4"/>
    <n v="0"/>
    <s v="Low coverage"/>
    <x v="0"/>
    <x v="0"/>
    <x v="0"/>
    <x v="0"/>
    <m/>
  </r>
  <r>
    <x v="0"/>
    <s v="MMR012010053"/>
    <s v="Tha Peik Taung"/>
    <s v="198379"/>
    <x v="34"/>
    <m/>
    <m/>
    <x v="0"/>
    <x v="0"/>
    <x v="0"/>
    <n v="0"/>
    <n v="0"/>
    <n v="283"/>
    <m/>
    <x v="0"/>
    <x v="0"/>
    <m/>
    <x v="0"/>
    <x v="0"/>
    <d v="2016-01-07T00:00:00"/>
    <m/>
    <x v="0"/>
    <n v="0"/>
    <n v="0"/>
    <s v="No"/>
    <n v="0"/>
    <n v="0"/>
    <n v="0"/>
    <n v="2"/>
    <m/>
    <n v="0"/>
    <n v="0"/>
    <n v="0"/>
    <n v="0"/>
    <n v="0"/>
    <n v="0"/>
    <n v="0"/>
    <n v="0"/>
    <s v="0-10%"/>
    <n v="0"/>
    <n v="0"/>
    <s v="yes"/>
    <n v="1.1319999999999999"/>
    <n v="0"/>
    <n v="0"/>
    <n v="0.9"/>
    <n v="254.70000000000002"/>
    <s v=" Planned Pond renovation with hand pump installation "/>
    <n v="0"/>
    <n v="5"/>
    <n v="42"/>
    <x v="0"/>
    <n v="0.74204946996466437"/>
    <n v="210.00000000000003"/>
    <n v="0.74204946996466437"/>
    <n v="210.00000000000003"/>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m/>
    <m/>
    <s v=""/>
    <x v="35"/>
    <m/>
    <m/>
    <x v="0"/>
    <x v="0"/>
    <x v="0"/>
    <n v="0"/>
    <n v="0"/>
    <n v="304"/>
    <m/>
    <x v="0"/>
    <x v="0"/>
    <m/>
    <x v="0"/>
    <x v="0"/>
    <d v="2016-01-07T00:00:00"/>
    <m/>
    <x v="0"/>
    <n v="0"/>
    <n v="0"/>
    <s v="No"/>
    <n v="0"/>
    <n v="0"/>
    <n v="0"/>
    <n v="4"/>
    <m/>
    <n v="0"/>
    <n v="0"/>
    <n v="0"/>
    <n v="0"/>
    <n v="0"/>
    <n v="0"/>
    <n v="0"/>
    <n v="0"/>
    <s v="0-10%"/>
    <n v="0"/>
    <n v="0"/>
    <s v="yes"/>
    <n v="1.216"/>
    <n v="0"/>
    <n v="0"/>
    <n v="0.9"/>
    <n v="273.60000000000002"/>
    <s v="1- spring cash flow renovated"/>
    <n v="0"/>
    <n v="0"/>
    <n v="42"/>
    <x v="0"/>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41"/>
    <s v="Myaung Nar"/>
    <s v="198332"/>
    <x v="36"/>
    <m/>
    <m/>
    <x v="0"/>
    <x v="0"/>
    <x v="0"/>
    <n v="0"/>
    <n v="0"/>
    <n v="276"/>
    <m/>
    <x v="0"/>
    <x v="0"/>
    <m/>
    <x v="0"/>
    <x v="0"/>
    <d v="2016-01-07T00:00:00"/>
    <m/>
    <x v="0"/>
    <n v="0"/>
    <n v="0"/>
    <s v="No"/>
    <n v="0"/>
    <n v="0"/>
    <n v="0"/>
    <n v="4"/>
    <m/>
    <n v="0"/>
    <n v="0"/>
    <n v="0"/>
    <n v="0"/>
    <n v="0"/>
    <n v="0"/>
    <n v="0"/>
    <n v="0"/>
    <s v="0-10%"/>
    <n v="0"/>
    <n v="0"/>
    <s v="yes"/>
    <n v="1.1040000000000001"/>
    <n v="0"/>
    <n v="0"/>
    <n v="0.9"/>
    <n v="248.4"/>
    <s v=" Planned Pond renovation with hand pump installation "/>
    <n v="0"/>
    <n v="20"/>
    <n v="42"/>
    <x v="0"/>
    <n v="1"/>
    <n v="276"/>
    <n v="1"/>
    <n v="276"/>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33"/>
    <s v="Nan Yar Kone"/>
    <s v="217871"/>
    <x v="37"/>
    <m/>
    <m/>
    <x v="0"/>
    <x v="0"/>
    <x v="0"/>
    <n v="0"/>
    <n v="0"/>
    <n v="307"/>
    <m/>
    <x v="0"/>
    <x v="0"/>
    <m/>
    <x v="1"/>
    <x v="0"/>
    <d v="2016-01-07T00:00:00"/>
    <m/>
    <x v="0"/>
    <n v="0"/>
    <n v="0"/>
    <s v="No"/>
    <n v="0"/>
    <n v="0"/>
    <n v="0"/>
    <n v="1"/>
    <m/>
    <n v="0"/>
    <n v="0"/>
    <n v="0"/>
    <n v="0"/>
    <n v="0"/>
    <n v="0"/>
    <n v="0"/>
    <n v="0"/>
    <s v="0-10%"/>
    <n v="0"/>
    <n v="0"/>
    <s v="yes"/>
    <n v="1.228"/>
    <n v="0"/>
    <n v="0"/>
    <m/>
    <n v="0"/>
    <m/>
    <n v="0"/>
    <n v="23"/>
    <n v="42"/>
    <x v="1"/>
    <n v="1"/>
    <n v="307"/>
    <n v="1"/>
    <n v="307"/>
    <n v="0"/>
    <n v="0"/>
    <x v="0"/>
    <s v="n/a"/>
    <n v="0"/>
    <s v="n/a"/>
    <s v="n/a"/>
    <s v="n/a"/>
    <s v="n/a"/>
    <s v="n/a"/>
    <s v="n/a"/>
    <s v="n/a"/>
    <s v="n/a"/>
    <s v="n/a"/>
    <s v="n/a"/>
    <n v="1"/>
    <s v="n/a"/>
    <s v="Latrines at each HH"/>
    <s v="n/a"/>
    <m/>
    <m/>
    <s v="n/a"/>
    <n v="0"/>
    <n v="0"/>
    <s v="n/a"/>
    <s v="n/a"/>
    <s v="n/a"/>
    <x v="0"/>
    <s v="HH latrine kits to be distributed"/>
    <n v="0.8"/>
    <n v="245.60000000000002"/>
    <n v="0"/>
    <s v="Low coverage"/>
    <x v="0"/>
    <x v="0"/>
    <x v="0"/>
    <x v="0"/>
    <m/>
  </r>
  <r>
    <x v="0"/>
    <s v="MMR012010061"/>
    <s v="San Goe Taung"/>
    <s v="198413"/>
    <x v="38"/>
    <m/>
    <m/>
    <x v="0"/>
    <x v="2"/>
    <x v="0"/>
    <n v="0"/>
    <n v="0"/>
    <n v="715"/>
    <m/>
    <x v="2"/>
    <x v="0"/>
    <m/>
    <x v="0"/>
    <x v="0"/>
    <d v="2016-01-07T00:00:00"/>
    <m/>
    <x v="0"/>
    <n v="0"/>
    <n v="0"/>
    <s v="No"/>
    <n v="1"/>
    <m/>
    <n v="0"/>
    <n v="2"/>
    <m/>
    <n v="0"/>
    <n v="0"/>
    <n v="0.34965034965034963"/>
    <n v="250"/>
    <n v="0.34965034965034963"/>
    <n v="250"/>
    <n v="0.34965034965034963"/>
    <n v="250"/>
    <s v="30-45%"/>
    <n v="0"/>
    <n v="0"/>
    <s v="yes"/>
    <n v="1.8599999999999999"/>
    <n v="0"/>
    <n v="0"/>
    <n v="0.9"/>
    <n v="643.5"/>
    <s v=" Planned Pond renovation with hand pump installation "/>
    <n v="0"/>
    <n v="4"/>
    <n v="42"/>
    <x v="0"/>
    <n v="0.23496503496503496"/>
    <n v="168"/>
    <n v="0.23496503496503496"/>
    <n v="168"/>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70"/>
    <s v="Ah Htet Kywe Cho Maw (a)Nyaung Chaung Kywe Gyo Maw"/>
    <s v="198446"/>
    <x v="39"/>
    <m/>
    <m/>
    <x v="0"/>
    <x v="2"/>
    <x v="0"/>
    <n v="0"/>
    <n v="0"/>
    <n v="205"/>
    <m/>
    <x v="0"/>
    <x v="0"/>
    <m/>
    <x v="0"/>
    <x v="0"/>
    <d v="2016-01-07T00:00:00"/>
    <m/>
    <x v="0"/>
    <n v="0"/>
    <n v="0"/>
    <s v="No"/>
    <n v="0"/>
    <n v="0"/>
    <n v="0"/>
    <n v="4"/>
    <m/>
    <n v="0"/>
    <n v="0"/>
    <n v="0"/>
    <n v="0"/>
    <n v="0"/>
    <n v="0"/>
    <n v="0"/>
    <n v="0"/>
    <s v="0-10%"/>
    <n v="0"/>
    <n v="0"/>
    <s v="yes"/>
    <n v="0.82"/>
    <n v="0"/>
    <n v="0"/>
    <n v="0.9"/>
    <n v="184.5"/>
    <s v=" Planned Pond renovation with hand pump installation "/>
    <n v="0"/>
    <n v="75"/>
    <n v="42"/>
    <x v="0"/>
    <n v="1"/>
    <n v="205"/>
    <n v="1"/>
    <n v="205"/>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33"/>
    <s v="Nan Yar Kone"/>
    <s v="198299"/>
    <x v="40"/>
    <m/>
    <m/>
    <x v="0"/>
    <x v="0"/>
    <x v="0"/>
    <n v="0"/>
    <n v="0"/>
    <n v="451"/>
    <m/>
    <x v="0"/>
    <x v="0"/>
    <m/>
    <x v="1"/>
    <x v="0"/>
    <d v="2016-01-07T00:00:00"/>
    <m/>
    <x v="0"/>
    <n v="0"/>
    <n v="0"/>
    <s v="No"/>
    <n v="0"/>
    <n v="3"/>
    <n v="0"/>
    <n v="0"/>
    <m/>
    <n v="0"/>
    <n v="0"/>
    <n v="1"/>
    <n v="451"/>
    <n v="1"/>
    <n v="451"/>
    <n v="1"/>
    <n v="451"/>
    <s v="80-100%"/>
    <n v="0"/>
    <n v="0"/>
    <s v="no"/>
    <n v="0"/>
    <n v="0"/>
    <n v="0"/>
    <n v="1"/>
    <n v="451"/>
    <m/>
    <n v="0"/>
    <n v="13"/>
    <n v="42"/>
    <x v="1"/>
    <n v="1"/>
    <n v="451"/>
    <n v="1"/>
    <n v="451"/>
    <n v="0"/>
    <n v="0"/>
    <x v="0"/>
    <s v="n/a"/>
    <n v="0"/>
    <s v="n/a"/>
    <s v="n/a"/>
    <s v="n/a"/>
    <s v="n/a"/>
    <s v="n/a"/>
    <s v="n/a"/>
    <s v="n/a"/>
    <s v="n/a"/>
    <s v="n/a"/>
    <s v="n/a"/>
    <n v="1"/>
    <s v="n/a"/>
    <s v="Latrines at each HH"/>
    <s v="n/a"/>
    <m/>
    <m/>
    <s v="n/a"/>
    <n v="0"/>
    <n v="0"/>
    <s v="n/a"/>
    <s v="n/a"/>
    <s v="n/a"/>
    <x v="0"/>
    <s v="HH latrine kits to be distributed"/>
    <n v="0.7"/>
    <n v="315.7"/>
    <n v="0"/>
    <s v="Low coverage"/>
    <x v="0"/>
    <x v="0"/>
    <x v="0"/>
    <x v="0"/>
    <m/>
  </r>
  <r>
    <x v="0"/>
    <s v="MMR012010069"/>
    <s v="Hpa Yar Pyin Aung Pa"/>
    <s v="198442"/>
    <x v="41"/>
    <m/>
    <m/>
    <x v="0"/>
    <x v="0"/>
    <x v="0"/>
    <n v="0"/>
    <n v="0"/>
    <n v="3014"/>
    <m/>
    <x v="1"/>
    <x v="0"/>
    <m/>
    <x v="1"/>
    <x v="0"/>
    <d v="2016-01-07T00:00:00"/>
    <m/>
    <x v="0"/>
    <n v="0"/>
    <n v="0"/>
    <s v="No"/>
    <n v="0"/>
    <n v="2"/>
    <n v="0"/>
    <n v="2"/>
    <m/>
    <n v="0"/>
    <n v="0"/>
    <n v="0.16589250165892502"/>
    <n v="500"/>
    <n v="0.16589250165892502"/>
    <n v="500"/>
    <n v="0.16589250165892502"/>
    <n v="500"/>
    <s v="15-30%"/>
    <n v="0"/>
    <n v="0"/>
    <s v="yes"/>
    <n v="10.055999999999999"/>
    <n v="0"/>
    <n v="0"/>
    <n v="0.17"/>
    <n v="512.38"/>
    <m/>
    <n v="0"/>
    <n v="145"/>
    <n v="42"/>
    <x v="0"/>
    <n v="1"/>
    <n v="3014"/>
    <n v="1"/>
    <n v="3014"/>
    <n v="0"/>
    <n v="0"/>
    <x v="0"/>
    <s v="n/a"/>
    <n v="0"/>
    <s v="n/a"/>
    <s v="n/a"/>
    <s v="n/a"/>
    <s v="n/a"/>
    <s v="n/a"/>
    <s v="n/a"/>
    <s v="n/a"/>
    <s v="n/a"/>
    <s v="n/a"/>
    <s v="n/a"/>
    <n v="1"/>
    <s v="n/a"/>
    <s v="Latrines at each HH"/>
    <s v="n/a"/>
    <m/>
    <m/>
    <s v="n/a"/>
    <n v="0"/>
    <n v="0"/>
    <s v="n/a"/>
    <s v="n/a"/>
    <s v="n/a"/>
    <x v="0"/>
    <s v="HH latrine kits to be distributed"/>
    <n v="0.3"/>
    <n v="904.19999999999993"/>
    <n v="0"/>
    <s v="Low coverage"/>
    <x v="0"/>
    <x v="0"/>
    <x v="0"/>
    <x v="0"/>
    <m/>
  </r>
  <r>
    <x v="0"/>
    <s v="MMR012010033"/>
    <s v="Nan Yar Kone"/>
    <s v="198299"/>
    <x v="42"/>
    <m/>
    <m/>
    <x v="0"/>
    <x v="0"/>
    <x v="0"/>
    <n v="0"/>
    <n v="0"/>
    <n v="607"/>
    <m/>
    <x v="2"/>
    <x v="0"/>
    <m/>
    <x v="1"/>
    <x v="0"/>
    <d v="2016-01-07T00:00:00"/>
    <m/>
    <x v="0"/>
    <n v="0"/>
    <n v="0"/>
    <s v="No"/>
    <n v="0"/>
    <n v="1"/>
    <n v="0"/>
    <n v="1"/>
    <m/>
    <n v="0"/>
    <n v="0"/>
    <n v="0.41186161449752884"/>
    <n v="250"/>
    <n v="0.41186161449752884"/>
    <n v="250"/>
    <n v="0.41186161449752884"/>
    <n v="250"/>
    <s v="30-45%"/>
    <n v="0"/>
    <n v="0"/>
    <s v="yes"/>
    <n v="1.4279999999999999"/>
    <n v="0"/>
    <n v="0"/>
    <n v="0.41"/>
    <n v="248.86999999999998"/>
    <m/>
    <n v="0"/>
    <n v="54"/>
    <n v="42"/>
    <x v="1"/>
    <n v="1"/>
    <n v="607"/>
    <n v="1"/>
    <n v="607"/>
    <n v="0"/>
    <n v="0"/>
    <x v="0"/>
    <s v="n/a"/>
    <n v="0"/>
    <s v="n/a"/>
    <s v="n/a"/>
    <s v="n/a"/>
    <s v="n/a"/>
    <s v="n/a"/>
    <s v="n/a"/>
    <s v="n/a"/>
    <s v="n/a"/>
    <s v="n/a"/>
    <s v="n/a"/>
    <n v="1"/>
    <s v="n/a"/>
    <s v="Latrines at each HH"/>
    <s v="n/a"/>
    <m/>
    <m/>
    <s v="n/a"/>
    <n v="0"/>
    <n v="0"/>
    <s v="n/a"/>
    <s v="n/a"/>
    <s v="n/a"/>
    <x v="0"/>
    <s v="HH latrine kits to be distributed"/>
    <n v="0.7"/>
    <n v="424.9"/>
    <n v="0"/>
    <s v="Low coverage"/>
    <x v="0"/>
    <x v="0"/>
    <x v="0"/>
    <x v="0"/>
    <m/>
  </r>
  <r>
    <x v="0"/>
    <s v="MMR012010033"/>
    <s v="Nan Yar Kone"/>
    <s v="198302"/>
    <x v="43"/>
    <m/>
    <m/>
    <x v="0"/>
    <x v="0"/>
    <x v="0"/>
    <n v="0"/>
    <n v="0"/>
    <n v="1348"/>
    <m/>
    <x v="1"/>
    <x v="0"/>
    <m/>
    <x v="1"/>
    <x v="0"/>
    <d v="2016-01-07T00:00:00"/>
    <m/>
    <x v="0"/>
    <n v="0"/>
    <n v="0"/>
    <s v="No"/>
    <n v="1"/>
    <n v="4"/>
    <n v="0"/>
    <n v="2"/>
    <m/>
    <n v="0"/>
    <n v="0"/>
    <n v="0.92729970326409494"/>
    <n v="1250"/>
    <n v="0.92729970326409494"/>
    <n v="1250"/>
    <n v="0.92729970326409494"/>
    <n v="1250"/>
    <s v="80-100%"/>
    <n v="0"/>
    <n v="0"/>
    <s v="yes"/>
    <n v="0.39200000000000035"/>
    <n v="0"/>
    <n v="0"/>
    <n v="0.93"/>
    <n v="1253.6400000000001"/>
    <m/>
    <n v="0"/>
    <n v="73"/>
    <n v="42"/>
    <x v="1"/>
    <n v="1"/>
    <n v="1348"/>
    <n v="1"/>
    <n v="1348"/>
    <n v="0"/>
    <n v="0"/>
    <x v="0"/>
    <s v="n/a"/>
    <n v="0"/>
    <s v="n/a"/>
    <s v="n/a"/>
    <s v="n/a"/>
    <s v="n/a"/>
    <s v="n/a"/>
    <s v="n/a"/>
    <s v="n/a"/>
    <s v="n/a"/>
    <s v="n/a"/>
    <s v="n/a"/>
    <n v="1"/>
    <s v="n/a"/>
    <s v="Latrines at each HH"/>
    <s v="n/a"/>
    <m/>
    <m/>
    <s v="n/a"/>
    <n v="0"/>
    <n v="0"/>
    <s v="n/a"/>
    <s v="n/a"/>
    <s v="n/a"/>
    <x v="0"/>
    <s v="HH latrine kits to be distributed"/>
    <n v="0.7"/>
    <n v="943.59999999999991"/>
    <n v="0"/>
    <s v="Low coverage"/>
    <x v="0"/>
    <x v="0"/>
    <x v="0"/>
    <x v="0"/>
    <m/>
  </r>
  <r>
    <x v="0"/>
    <s v="NA"/>
    <s v="NA"/>
    <m/>
    <x v="44"/>
    <m/>
    <m/>
    <x v="0"/>
    <x v="0"/>
    <x v="0"/>
    <n v="0"/>
    <n v="0"/>
    <n v="755"/>
    <m/>
    <x v="2"/>
    <x v="0"/>
    <m/>
    <x v="1"/>
    <x v="0"/>
    <d v="2016-01-07T00:00:00"/>
    <m/>
    <x v="0"/>
    <n v="0"/>
    <n v="0"/>
    <s v="No"/>
    <n v="0"/>
    <n v="0"/>
    <n v="0"/>
    <n v="3"/>
    <m/>
    <n v="0"/>
    <n v="0"/>
    <n v="0"/>
    <n v="0"/>
    <n v="0"/>
    <n v="0"/>
    <n v="0"/>
    <n v="0"/>
    <s v="0-10%"/>
    <n v="0"/>
    <n v="0"/>
    <s v="yes"/>
    <n v="3.02"/>
    <n v="0"/>
    <n v="0"/>
    <m/>
    <n v="0"/>
    <m/>
    <n v="0"/>
    <n v="5"/>
    <n v="42"/>
    <x v="1"/>
    <n v="0.27814569536423839"/>
    <n v="209.99999999999997"/>
    <n v="0.27814569536423839"/>
    <n v="209.99999999999997"/>
    <n v="0"/>
    <n v="0"/>
    <x v="0"/>
    <s v="n/a"/>
    <n v="0"/>
    <s v="n/a"/>
    <s v="n/a"/>
    <s v="n/a"/>
    <s v="n/a"/>
    <s v="n/a"/>
    <s v="n/a"/>
    <s v="n/a"/>
    <s v="n/a"/>
    <s v="n/a"/>
    <s v="n/a"/>
    <n v="1"/>
    <s v="n/a"/>
    <s v="Latrines at each HH"/>
    <s v="n/a"/>
    <m/>
    <m/>
    <s v="n/a"/>
    <n v="0"/>
    <n v="0"/>
    <s v="n/a"/>
    <s v="n/a"/>
    <s v="n/a"/>
    <x v="0"/>
    <s v="HH latrine kits to be distributed"/>
    <n v="1"/>
    <n v="755"/>
    <n v="0"/>
    <s v="Low coverage"/>
    <x v="0"/>
    <x v="0"/>
    <x v="0"/>
    <x v="0"/>
    <m/>
  </r>
  <r>
    <x v="0"/>
    <s v="MMR012010061"/>
    <s v="San Goe Taung"/>
    <s v="198408"/>
    <x v="45"/>
    <m/>
    <m/>
    <x v="0"/>
    <x v="2"/>
    <x v="0"/>
    <n v="0"/>
    <n v="0"/>
    <n v="250"/>
    <m/>
    <x v="0"/>
    <x v="0"/>
    <m/>
    <x v="0"/>
    <x v="0"/>
    <d v="2016-01-07T00:00:00"/>
    <m/>
    <x v="0"/>
    <n v="0"/>
    <n v="0"/>
    <s v="No"/>
    <n v="0"/>
    <n v="0"/>
    <n v="0"/>
    <n v="2"/>
    <m/>
    <n v="0"/>
    <n v="0"/>
    <n v="0"/>
    <n v="0"/>
    <n v="0"/>
    <n v="0"/>
    <n v="0"/>
    <n v="0"/>
    <s v="0-10%"/>
    <n v="0"/>
    <n v="0"/>
    <s v="yes"/>
    <n v="1"/>
    <n v="0"/>
    <n v="0"/>
    <n v="0.9"/>
    <n v="225"/>
    <s v=" Planned Pond renovation with hand pump installation "/>
    <n v="0"/>
    <n v="5"/>
    <n v="42"/>
    <x v="0"/>
    <n v="0.84"/>
    <n v="210"/>
    <n v="0.84"/>
    <n v="21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3"/>
    <s v="Say Taung"/>
    <s v="198418"/>
    <x v="46"/>
    <m/>
    <m/>
    <x v="0"/>
    <x v="2"/>
    <x v="0"/>
    <n v="0"/>
    <n v="0"/>
    <n v="1853"/>
    <m/>
    <x v="1"/>
    <x v="0"/>
    <m/>
    <x v="0"/>
    <x v="0"/>
    <d v="2016-01-07T00:00:00"/>
    <m/>
    <x v="0"/>
    <n v="0"/>
    <n v="0"/>
    <s v="No"/>
    <n v="0"/>
    <n v="0"/>
    <n v="0"/>
    <n v="3"/>
    <m/>
    <n v="0"/>
    <n v="0"/>
    <n v="0"/>
    <n v="0"/>
    <n v="0"/>
    <n v="0"/>
    <n v="0"/>
    <n v="0"/>
    <s v="0-10%"/>
    <n v="0"/>
    <n v="0"/>
    <s v="yes"/>
    <n v="7.4119999999999999"/>
    <n v="0"/>
    <n v="0"/>
    <n v="0.9"/>
    <n v="1667.7"/>
    <s v=" Planned Pond renovation with hand pump installation "/>
    <n v="0"/>
    <n v="5"/>
    <n v="42"/>
    <x v="0"/>
    <n v="0.11332973556395035"/>
    <n v="210"/>
    <n v="0.11332973556395035"/>
    <n v="21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71"/>
    <s v="Thein Taung Pyin"/>
    <s v="217886"/>
    <x v="47"/>
    <m/>
    <m/>
    <x v="0"/>
    <x v="0"/>
    <x v="0"/>
    <n v="0"/>
    <n v="0"/>
    <n v="500"/>
    <m/>
    <x v="0"/>
    <x v="0"/>
    <m/>
    <x v="1"/>
    <x v="0"/>
    <d v="2016-01-07T00:00:00"/>
    <m/>
    <x v="0"/>
    <n v="0"/>
    <n v="0"/>
    <s v="No"/>
    <n v="0"/>
    <n v="0"/>
    <n v="0"/>
    <n v="1"/>
    <m/>
    <n v="0"/>
    <n v="0"/>
    <n v="0"/>
    <n v="0"/>
    <n v="0"/>
    <n v="0"/>
    <n v="0"/>
    <n v="0"/>
    <s v="0-10%"/>
    <n v="0"/>
    <n v="0"/>
    <s v="yes"/>
    <n v="2"/>
    <n v="0"/>
    <n v="0"/>
    <m/>
    <n v="0"/>
    <m/>
    <n v="0"/>
    <n v="20"/>
    <n v="42"/>
    <x v="1"/>
    <n v="1"/>
    <n v="500"/>
    <n v="1"/>
    <n v="500"/>
    <n v="0"/>
    <n v="0"/>
    <x v="0"/>
    <s v="n/a"/>
    <n v="0"/>
    <s v="n/a"/>
    <s v="n/a"/>
    <s v="n/a"/>
    <s v="n/a"/>
    <s v="n/a"/>
    <s v="n/a"/>
    <s v="n/a"/>
    <s v="n/a"/>
    <s v="n/a"/>
    <s v="n/a"/>
    <n v="1"/>
    <s v="n/a"/>
    <s v="Latrines at each HH"/>
    <s v="n/a"/>
    <m/>
    <m/>
    <s v="n/a"/>
    <n v="0"/>
    <n v="0"/>
    <s v="n/a"/>
    <s v="n/a"/>
    <s v="n/a"/>
    <x v="0"/>
    <s v="HH latrine kits to be distributed"/>
    <n v="1"/>
    <n v="500"/>
    <n v="3"/>
    <s v="Low coverage"/>
    <x v="0"/>
    <x v="0"/>
    <x v="1"/>
    <x v="0"/>
    <m/>
  </r>
  <r>
    <x v="0"/>
    <s v="MMR012010061"/>
    <s v="San Goe Taung"/>
    <s v="198409"/>
    <x v="48"/>
    <m/>
    <m/>
    <x v="0"/>
    <x v="2"/>
    <x v="0"/>
    <n v="0"/>
    <n v="0"/>
    <n v="92"/>
    <m/>
    <x v="0"/>
    <x v="0"/>
    <m/>
    <x v="0"/>
    <x v="0"/>
    <d v="2016-01-07T00:00:00"/>
    <m/>
    <x v="0"/>
    <n v="0"/>
    <n v="0"/>
    <s v="No"/>
    <n v="0"/>
    <m/>
    <n v="0"/>
    <n v="2"/>
    <m/>
    <n v="0"/>
    <n v="0"/>
    <n v="0"/>
    <n v="0"/>
    <n v="0"/>
    <n v="0"/>
    <n v="0"/>
    <n v="0"/>
    <s v="0-10%"/>
    <n v="0"/>
    <n v="0"/>
    <s v="yes"/>
    <n v="0.36799999999999999"/>
    <n v="0"/>
    <n v="0"/>
    <n v="0.9"/>
    <n v="82.8"/>
    <s v=" Planned Pond renovation with hand pump installation "/>
    <n v="0"/>
    <n v="4"/>
    <n v="42"/>
    <x v="0"/>
    <n v="1"/>
    <n v="92"/>
    <n v="1"/>
    <n v="92"/>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37"/>
    <s v="Let Wea Det Pu Zun Chaung"/>
    <s v="198318"/>
    <x v="49"/>
    <m/>
    <m/>
    <x v="0"/>
    <x v="0"/>
    <x v="0"/>
    <n v="0"/>
    <n v="0"/>
    <n v="323"/>
    <m/>
    <x v="0"/>
    <x v="0"/>
    <m/>
    <x v="0"/>
    <x v="0"/>
    <d v="2016-01-07T00:00:00"/>
    <m/>
    <x v="0"/>
    <n v="0"/>
    <n v="0"/>
    <s v="No"/>
    <n v="0"/>
    <n v="0"/>
    <n v="0"/>
    <n v="2"/>
    <m/>
    <n v="0"/>
    <n v="0"/>
    <n v="0"/>
    <n v="0"/>
    <n v="0"/>
    <n v="0"/>
    <n v="0"/>
    <n v="0"/>
    <s v="0-10%"/>
    <n v="0"/>
    <n v="0"/>
    <s v="yes"/>
    <n v="1.292"/>
    <n v="0"/>
    <n v="0"/>
    <n v="0.9"/>
    <n v="290.7"/>
    <s v=" Planned Pond renovation with hand pump installation "/>
    <n v="0"/>
    <n v="10"/>
    <n v="42"/>
    <x v="0"/>
    <n v="1"/>
    <n v="323"/>
    <n v="1"/>
    <n v="323"/>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NA"/>
    <s v="NA"/>
    <m/>
    <x v="50"/>
    <m/>
    <m/>
    <x v="0"/>
    <x v="0"/>
    <x v="0"/>
    <n v="0"/>
    <n v="0"/>
    <n v="792"/>
    <m/>
    <x v="2"/>
    <x v="0"/>
    <m/>
    <x v="1"/>
    <x v="0"/>
    <d v="2016-01-07T00:00:00"/>
    <m/>
    <x v="0"/>
    <n v="0"/>
    <n v="0"/>
    <s v="No"/>
    <n v="0"/>
    <n v="1"/>
    <n v="0"/>
    <n v="0"/>
    <m/>
    <n v="0"/>
    <n v="0"/>
    <n v="0.31565656565656564"/>
    <n v="249.99999999999997"/>
    <n v="0.31565656565656564"/>
    <n v="249.99999999999997"/>
    <n v="0.31565656565656564"/>
    <n v="249.99999999999997"/>
    <s v="30-45%"/>
    <n v="0"/>
    <n v="0"/>
    <s v="no"/>
    <n v="2.1680000000000001"/>
    <n v="0"/>
    <n v="0"/>
    <n v="0.32"/>
    <n v="253.44"/>
    <m/>
    <n v="0"/>
    <n v="22"/>
    <n v="42"/>
    <x v="1"/>
    <n v="1"/>
    <n v="792"/>
    <n v="1"/>
    <n v="792"/>
    <n v="0"/>
    <n v="0"/>
    <x v="0"/>
    <s v="n/a"/>
    <n v="0"/>
    <s v="n/a"/>
    <s v="n/a"/>
    <s v="n/a"/>
    <s v="n/a"/>
    <s v="n/a"/>
    <s v="n/a"/>
    <s v="n/a"/>
    <s v="n/a"/>
    <s v="n/a"/>
    <s v="n/a"/>
    <n v="1"/>
    <s v="n/a"/>
    <s v="Latrines at each HH"/>
    <s v="n/a"/>
    <m/>
    <m/>
    <s v="n/a"/>
    <n v="0"/>
    <n v="0"/>
    <s v="n/a"/>
    <s v="n/a"/>
    <s v="n/a"/>
    <x v="0"/>
    <s v="HH latrine kits to be distributed"/>
    <n v="1"/>
    <n v="792"/>
    <n v="3"/>
    <s v="Low coverage"/>
    <x v="0"/>
    <x v="0"/>
    <x v="1"/>
    <x v="0"/>
    <m/>
  </r>
  <r>
    <x v="0"/>
    <s v="NA"/>
    <s v="NA"/>
    <m/>
    <x v="51"/>
    <m/>
    <m/>
    <x v="0"/>
    <x v="2"/>
    <x v="0"/>
    <n v="0"/>
    <n v="0"/>
    <n v="501"/>
    <m/>
    <x v="2"/>
    <x v="0"/>
    <m/>
    <x v="1"/>
    <x v="0"/>
    <d v="2016-01-07T00:00:00"/>
    <m/>
    <x v="0"/>
    <n v="0"/>
    <n v="0"/>
    <s v="No"/>
    <n v="1"/>
    <n v="0"/>
    <n v="0"/>
    <n v="1"/>
    <m/>
    <n v="0"/>
    <n v="0"/>
    <n v="0.49900199600798401"/>
    <n v="250"/>
    <n v="0.49900199600798401"/>
    <n v="250"/>
    <n v="0.49900199600798401"/>
    <n v="250"/>
    <s v="45-60%"/>
    <n v="0"/>
    <n v="0"/>
    <s v="yes"/>
    <n v="1.004"/>
    <n v="0"/>
    <n v="0"/>
    <n v="0.5"/>
    <n v="250.5"/>
    <m/>
    <n v="0"/>
    <n v="18"/>
    <n v="42"/>
    <x v="1"/>
    <n v="1"/>
    <n v="501"/>
    <n v="1"/>
    <n v="501"/>
    <n v="0"/>
    <n v="0"/>
    <x v="0"/>
    <s v="n/a"/>
    <n v="0"/>
    <s v="n/a"/>
    <s v="n/a"/>
    <s v="n/a"/>
    <s v="n/a"/>
    <s v="n/a"/>
    <s v="n/a"/>
    <s v="n/a"/>
    <s v="n/a"/>
    <s v="n/a"/>
    <s v="n/a"/>
    <n v="1"/>
    <s v="n/a"/>
    <s v="Latrines at each HH"/>
    <s v="n/a"/>
    <m/>
    <m/>
    <s v="n/a"/>
    <n v="0"/>
    <n v="0"/>
    <s v="n/a"/>
    <s v="n/a"/>
    <s v="n/a"/>
    <x v="0"/>
    <s v="HH latrine kits to be distributed"/>
    <n v="1"/>
    <n v="501"/>
    <n v="0"/>
    <s v="Low coverage"/>
    <x v="0"/>
    <x v="0"/>
    <x v="0"/>
    <x v="0"/>
    <m/>
  </r>
  <r>
    <x v="0"/>
    <s v="MMR012010053"/>
    <s v="Tha Peik Taung"/>
    <s v="198380"/>
    <x v="52"/>
    <m/>
    <m/>
    <x v="0"/>
    <x v="0"/>
    <x v="0"/>
    <n v="0"/>
    <n v="0"/>
    <n v="351"/>
    <m/>
    <x v="0"/>
    <x v="0"/>
    <m/>
    <x v="1"/>
    <x v="0"/>
    <d v="2016-01-07T00:00:00"/>
    <m/>
    <x v="0"/>
    <n v="0"/>
    <n v="0"/>
    <s v="No"/>
    <n v="0"/>
    <n v="0"/>
    <n v="0"/>
    <n v="1"/>
    <m/>
    <n v="0"/>
    <n v="0"/>
    <n v="0"/>
    <n v="0"/>
    <n v="0"/>
    <n v="0"/>
    <n v="0"/>
    <n v="0"/>
    <s v="0-10%"/>
    <n v="0"/>
    <n v="0"/>
    <s v="yes"/>
    <n v="1.4039999999999999"/>
    <n v="0"/>
    <n v="0"/>
    <m/>
    <n v="0"/>
    <m/>
    <n v="0"/>
    <n v="32"/>
    <n v="42"/>
    <x v="0"/>
    <n v="1"/>
    <n v="351"/>
    <n v="1"/>
    <n v="351"/>
    <n v="0"/>
    <n v="0"/>
    <x v="0"/>
    <s v="n/a"/>
    <n v="0"/>
    <s v="n/a"/>
    <s v="n/a"/>
    <s v="n/a"/>
    <s v="n/a"/>
    <s v="n/a"/>
    <s v="n/a"/>
    <s v="n/a"/>
    <s v="n/a"/>
    <s v="n/a"/>
    <s v="n/a"/>
    <n v="1"/>
    <s v="n/a"/>
    <s v="Latrines at each HH"/>
    <s v="n/a"/>
    <m/>
    <m/>
    <s v="n/a"/>
    <n v="0"/>
    <n v="0"/>
    <s v="n/a"/>
    <s v="n/a"/>
    <s v="n/a"/>
    <x v="0"/>
    <s v="HH latrine kits to be distributed"/>
    <n v="1"/>
    <n v="351"/>
    <n v="0"/>
    <s v="Low coverage"/>
    <x v="0"/>
    <x v="0"/>
    <x v="0"/>
    <x v="0"/>
    <m/>
  </r>
  <r>
    <x v="0"/>
    <s v="MMR012010053"/>
    <s v="Tha Peik Taung"/>
    <s v="198378"/>
    <x v="53"/>
    <m/>
    <m/>
    <x v="0"/>
    <x v="0"/>
    <x v="0"/>
    <n v="0"/>
    <n v="0"/>
    <n v="104"/>
    <m/>
    <x v="0"/>
    <x v="0"/>
    <m/>
    <x v="1"/>
    <x v="0"/>
    <d v="2016-01-07T00:00:00"/>
    <m/>
    <x v="0"/>
    <n v="0"/>
    <n v="0"/>
    <s v="No"/>
    <n v="0"/>
    <n v="2"/>
    <n v="0"/>
    <n v="0"/>
    <m/>
    <n v="0"/>
    <n v="0"/>
    <n v="1"/>
    <n v="104"/>
    <n v="1"/>
    <n v="104"/>
    <n v="1"/>
    <n v="104"/>
    <s v="80-100%"/>
    <n v="0"/>
    <n v="0"/>
    <s v="no"/>
    <n v="0"/>
    <n v="0"/>
    <n v="0"/>
    <n v="1"/>
    <n v="104"/>
    <m/>
    <n v="0"/>
    <n v="4"/>
    <n v="42"/>
    <x v="1"/>
    <n v="1"/>
    <n v="104"/>
    <n v="1"/>
    <n v="104"/>
    <n v="0"/>
    <n v="0"/>
    <x v="0"/>
    <s v="n/a"/>
    <n v="0"/>
    <s v="n/a"/>
    <s v="n/a"/>
    <s v="n/a"/>
    <s v="n/a"/>
    <s v="n/a"/>
    <s v="n/a"/>
    <s v="n/a"/>
    <s v="n/a"/>
    <s v="n/a"/>
    <s v="n/a"/>
    <n v="1"/>
    <s v="n/a"/>
    <s v="Latrines at each HH"/>
    <s v="n/a"/>
    <m/>
    <m/>
    <s v="n/a"/>
    <n v="0"/>
    <n v="0"/>
    <s v="n/a"/>
    <s v="n/a"/>
    <s v="n/a"/>
    <x v="0"/>
    <s v="HH latrine kits to be distributed"/>
    <n v="1"/>
    <n v="104"/>
    <n v="0"/>
    <s v="Low coverage"/>
    <x v="0"/>
    <x v="0"/>
    <x v="0"/>
    <x v="0"/>
    <m/>
  </r>
  <r>
    <x v="0"/>
    <s v="MMR012010064"/>
    <s v="Thaing Ta Poke"/>
    <s v="198423"/>
    <x v="54"/>
    <m/>
    <m/>
    <x v="0"/>
    <x v="2"/>
    <x v="0"/>
    <n v="0"/>
    <n v="0"/>
    <n v="234"/>
    <m/>
    <x v="0"/>
    <x v="0"/>
    <m/>
    <x v="0"/>
    <x v="0"/>
    <d v="2016-01-07T00:00:00"/>
    <m/>
    <x v="0"/>
    <n v="0"/>
    <n v="0"/>
    <s v="No"/>
    <n v="0"/>
    <n v="0"/>
    <n v="0"/>
    <n v="2"/>
    <m/>
    <n v="0"/>
    <n v="0"/>
    <n v="0"/>
    <n v="0"/>
    <n v="0"/>
    <n v="0"/>
    <n v="0"/>
    <n v="0"/>
    <s v="0-10%"/>
    <n v="0"/>
    <n v="0"/>
    <s v="yes"/>
    <n v="0.93600000000000005"/>
    <n v="0"/>
    <n v="0"/>
    <n v="0.9"/>
    <n v="210.6"/>
    <s v=" Planned Pond renovation with hand pump installation "/>
    <n v="0"/>
    <n v="0"/>
    <n v="42"/>
    <x v="0"/>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5"/>
    <s v="Gu Dar Pyin"/>
    <s v="198391"/>
    <x v="55"/>
    <m/>
    <m/>
    <x v="0"/>
    <x v="0"/>
    <x v="0"/>
    <n v="0"/>
    <n v="0"/>
    <n v="1106"/>
    <m/>
    <x v="1"/>
    <x v="0"/>
    <m/>
    <x v="1"/>
    <x v="0"/>
    <d v="2016-01-07T00:00:00"/>
    <m/>
    <x v="0"/>
    <n v="0"/>
    <n v="0"/>
    <s v="No"/>
    <n v="0"/>
    <n v="0"/>
    <n v="0"/>
    <n v="2"/>
    <m/>
    <n v="0"/>
    <n v="0"/>
    <n v="0"/>
    <n v="0"/>
    <n v="0"/>
    <n v="0"/>
    <n v="0"/>
    <n v="0"/>
    <s v="0-10%"/>
    <n v="0"/>
    <n v="0"/>
    <s v="yes"/>
    <n v="4.4240000000000004"/>
    <n v="0"/>
    <n v="0"/>
    <m/>
    <n v="0"/>
    <m/>
    <n v="0"/>
    <n v="35"/>
    <n v="42"/>
    <x v="1"/>
    <n v="1"/>
    <n v="1106"/>
    <n v="1"/>
    <n v="1106"/>
    <n v="0"/>
    <n v="0"/>
    <x v="0"/>
    <s v="n/a"/>
    <n v="0"/>
    <s v="n/a"/>
    <s v="n/a"/>
    <s v="n/a"/>
    <s v="n/a"/>
    <s v="n/a"/>
    <s v="n/a"/>
    <s v="n/a"/>
    <s v="n/a"/>
    <s v="n/a"/>
    <s v="n/a"/>
    <n v="1"/>
    <s v="n/a"/>
    <s v="Latrines at each HH"/>
    <s v="n/a"/>
    <m/>
    <m/>
    <s v="n/a"/>
    <n v="0"/>
    <n v="0"/>
    <s v="n/a"/>
    <s v="n/a"/>
    <s v="n/a"/>
    <x v="0"/>
    <s v="HH latrine kits to be distributed"/>
    <n v="1"/>
    <n v="1106"/>
    <n v="0"/>
    <s v="Low coverage"/>
    <x v="0"/>
    <x v="0"/>
    <x v="0"/>
    <x v="0"/>
    <m/>
  </r>
  <r>
    <x v="0"/>
    <s v="MMR012010064"/>
    <s v="Thaing Ta Poke"/>
    <s v="198421"/>
    <x v="56"/>
    <m/>
    <m/>
    <x v="0"/>
    <x v="2"/>
    <x v="0"/>
    <n v="0"/>
    <n v="0"/>
    <n v="536"/>
    <m/>
    <x v="2"/>
    <x v="0"/>
    <m/>
    <x v="0"/>
    <x v="0"/>
    <d v="2016-01-07T00:00:00"/>
    <m/>
    <x v="0"/>
    <n v="0"/>
    <n v="0"/>
    <s v="No"/>
    <n v="0"/>
    <n v="0"/>
    <n v="0"/>
    <n v="3"/>
    <m/>
    <n v="0"/>
    <n v="0"/>
    <n v="0"/>
    <n v="0"/>
    <n v="0"/>
    <n v="0"/>
    <n v="0"/>
    <n v="0"/>
    <s v="0-10%"/>
    <n v="0"/>
    <n v="0"/>
    <s v="yes"/>
    <n v="2.1440000000000001"/>
    <n v="0"/>
    <n v="0"/>
    <n v="0.9"/>
    <n v="482.40000000000003"/>
    <s v=" Planned Pond renovation with hand pump installation "/>
    <n v="0"/>
    <n v="2"/>
    <n v="42"/>
    <x v="0"/>
    <n v="0.15671641791044777"/>
    <n v="84"/>
    <n v="0.15671641791044777"/>
    <n v="84"/>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33"/>
    <s v="Nan Yar Kone"/>
    <s v="198300"/>
    <x v="57"/>
    <m/>
    <m/>
    <x v="0"/>
    <x v="2"/>
    <x v="0"/>
    <n v="0"/>
    <n v="0"/>
    <n v="98"/>
    <m/>
    <x v="0"/>
    <x v="0"/>
    <m/>
    <x v="1"/>
    <x v="0"/>
    <d v="2016-01-07T00:00:00"/>
    <m/>
    <x v="0"/>
    <n v="0"/>
    <n v="0"/>
    <s v="No"/>
    <n v="1"/>
    <n v="2"/>
    <n v="0"/>
    <n v="0"/>
    <m/>
    <n v="0"/>
    <n v="0"/>
    <n v="1"/>
    <n v="98"/>
    <n v="1"/>
    <n v="98"/>
    <n v="1"/>
    <n v="98"/>
    <s v="80-100%"/>
    <n v="0"/>
    <n v="0"/>
    <s v="no"/>
    <n v="0"/>
    <n v="0"/>
    <n v="0"/>
    <n v="1"/>
    <n v="98"/>
    <m/>
    <n v="0"/>
    <n v="0"/>
    <n v="42"/>
    <x v="1"/>
    <n v="0"/>
    <n v="0"/>
    <n v="0"/>
    <n v="0"/>
    <n v="0"/>
    <n v="0"/>
    <x v="0"/>
    <s v="n/a"/>
    <n v="0"/>
    <s v="n/a"/>
    <s v="n/a"/>
    <s v="n/a"/>
    <s v="n/a"/>
    <s v="n/a"/>
    <s v="n/a"/>
    <s v="n/a"/>
    <s v="n/a"/>
    <s v="n/a"/>
    <s v="n/a"/>
    <n v="1"/>
    <s v="n/a"/>
    <s v="Latrines at each HH"/>
    <s v="n/a"/>
    <m/>
    <m/>
    <s v="n/a"/>
    <n v="0"/>
    <n v="0"/>
    <s v="n/a"/>
    <s v="n/a"/>
    <s v="n/a"/>
    <x v="0"/>
    <s v="HH latrine kits to be distributed"/>
    <n v="1"/>
    <n v="98"/>
    <n v="0"/>
    <s v="Low coverage"/>
    <x v="0"/>
    <x v="0"/>
    <x v="0"/>
    <x v="0"/>
    <m/>
  </r>
  <r>
    <x v="0"/>
    <s v="MMR012010058"/>
    <s v="Hpa Yar Pyin Thein Tan"/>
    <s v="198398"/>
    <x v="58"/>
    <m/>
    <m/>
    <x v="0"/>
    <x v="0"/>
    <x v="0"/>
    <n v="0"/>
    <n v="0"/>
    <n v="1083"/>
    <m/>
    <x v="1"/>
    <x v="0"/>
    <m/>
    <x v="0"/>
    <x v="0"/>
    <d v="2016-01-07T00:00:00"/>
    <m/>
    <x v="0"/>
    <n v="0"/>
    <n v="0"/>
    <s v="No"/>
    <n v="0"/>
    <n v="0"/>
    <n v="0"/>
    <n v="4"/>
    <m/>
    <n v="0"/>
    <n v="0"/>
    <n v="0"/>
    <n v="0"/>
    <n v="0"/>
    <n v="0"/>
    <n v="0"/>
    <n v="0"/>
    <s v="0-10%"/>
    <n v="0"/>
    <n v="0"/>
    <s v="yes"/>
    <n v="4.3319999999999999"/>
    <n v="0"/>
    <n v="0"/>
    <n v="0.9"/>
    <n v="974.7"/>
    <s v=" Planned Pond renovation with hand pump installation "/>
    <n v="0"/>
    <n v="4"/>
    <n v="42"/>
    <x v="0"/>
    <n v="0.15512465373961218"/>
    <n v="168"/>
    <n v="0.15512465373961218"/>
    <n v="168"/>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58"/>
    <s v="Hpa Yar Pyin Thein Tan"/>
    <s v="198399"/>
    <x v="59"/>
    <m/>
    <m/>
    <x v="0"/>
    <x v="2"/>
    <x v="0"/>
    <n v="0"/>
    <n v="0"/>
    <n v="249"/>
    <m/>
    <x v="0"/>
    <x v="0"/>
    <m/>
    <x v="0"/>
    <x v="0"/>
    <d v="2016-01-07T00:00:00"/>
    <m/>
    <x v="0"/>
    <n v="0"/>
    <n v="0"/>
    <s v="No"/>
    <n v="0"/>
    <n v="0"/>
    <n v="0"/>
    <n v="3"/>
    <m/>
    <n v="0"/>
    <n v="0"/>
    <n v="0"/>
    <n v="0"/>
    <n v="0"/>
    <n v="0"/>
    <n v="0"/>
    <n v="0"/>
    <s v="0-10%"/>
    <n v="0"/>
    <n v="0"/>
    <s v="yes"/>
    <n v="0.996"/>
    <n v="0"/>
    <n v="0"/>
    <n v="0.9"/>
    <n v="224.1"/>
    <s v=" Planned Pond renovation with hand pump installation "/>
    <n v="0"/>
    <n v="24"/>
    <n v="42"/>
    <x v="0"/>
    <n v="1"/>
    <n v="249"/>
    <n v="1"/>
    <n v="249"/>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71"/>
    <s v="Thein Taung Pyin"/>
    <s v="198448"/>
    <x v="60"/>
    <m/>
    <m/>
    <x v="0"/>
    <x v="2"/>
    <x v="0"/>
    <n v="0"/>
    <n v="0"/>
    <n v="301"/>
    <m/>
    <x v="0"/>
    <x v="0"/>
    <m/>
    <x v="1"/>
    <x v="0"/>
    <d v="2016-01-07T00:00:00"/>
    <m/>
    <x v="0"/>
    <n v="0"/>
    <n v="0"/>
    <s v="No"/>
    <n v="0"/>
    <n v="0"/>
    <n v="0"/>
    <n v="2"/>
    <m/>
    <n v="0"/>
    <n v="0"/>
    <n v="0"/>
    <n v="0"/>
    <n v="0"/>
    <n v="0"/>
    <n v="0"/>
    <n v="0"/>
    <s v="0-10%"/>
    <n v="0"/>
    <n v="0"/>
    <s v="yes"/>
    <n v="1.204"/>
    <n v="0"/>
    <n v="0"/>
    <m/>
    <n v="0"/>
    <m/>
    <n v="0"/>
    <n v="4"/>
    <n v="42"/>
    <x v="0"/>
    <n v="0.55813953488372092"/>
    <n v="168"/>
    <n v="0.55813953488372092"/>
    <n v="168"/>
    <n v="0"/>
    <n v="0"/>
    <x v="0"/>
    <s v="n/a"/>
    <n v="0"/>
    <s v="n/a"/>
    <s v="n/a"/>
    <s v="n/a"/>
    <s v="n/a"/>
    <s v="n/a"/>
    <s v="n/a"/>
    <s v="n/a"/>
    <s v="n/a"/>
    <s v="n/a"/>
    <s v="n/a"/>
    <n v="1"/>
    <s v="n/a"/>
    <s v="Latrines at each HH"/>
    <s v="n/a"/>
    <m/>
    <m/>
    <s v="n/a"/>
    <n v="0"/>
    <n v="0"/>
    <s v="n/a"/>
    <s v="n/a"/>
    <s v="n/a"/>
    <x v="0"/>
    <s v="HH latrine kits to be distributed"/>
    <n v="1"/>
    <n v="301"/>
    <n v="0"/>
    <s v="Low coverage"/>
    <x v="0"/>
    <x v="0"/>
    <x v="0"/>
    <x v="0"/>
    <m/>
  </r>
  <r>
    <x v="0"/>
    <s v="MMR012010071"/>
    <s v="Thein Taung Pyin"/>
    <s v="198447"/>
    <x v="61"/>
    <m/>
    <m/>
    <x v="0"/>
    <x v="0"/>
    <x v="0"/>
    <n v="0"/>
    <n v="0"/>
    <n v="1641"/>
    <m/>
    <x v="1"/>
    <x v="0"/>
    <m/>
    <x v="1"/>
    <x v="0"/>
    <d v="2016-01-07T00:00:00"/>
    <m/>
    <x v="0"/>
    <n v="0"/>
    <n v="0"/>
    <s v="No"/>
    <n v="0"/>
    <n v="0"/>
    <n v="0"/>
    <n v="2"/>
    <m/>
    <n v="0"/>
    <n v="0"/>
    <n v="0"/>
    <n v="0"/>
    <n v="0"/>
    <n v="0"/>
    <n v="0"/>
    <n v="0"/>
    <s v="0-10%"/>
    <n v="0"/>
    <n v="0"/>
    <s v="yes"/>
    <n v="6.5640000000000001"/>
    <n v="0"/>
    <n v="0"/>
    <m/>
    <n v="0"/>
    <m/>
    <n v="0"/>
    <n v="63"/>
    <n v="42"/>
    <x v="0"/>
    <n v="1"/>
    <n v="1641"/>
    <n v="1"/>
    <n v="1641"/>
    <n v="0"/>
    <n v="0"/>
    <x v="0"/>
    <s v="n/a"/>
    <n v="0"/>
    <s v="n/a"/>
    <s v="n/a"/>
    <s v="n/a"/>
    <s v="n/a"/>
    <s v="n/a"/>
    <s v="n/a"/>
    <s v="n/a"/>
    <s v="n/a"/>
    <s v="n/a"/>
    <s v="n/a"/>
    <n v="1"/>
    <s v="n/a"/>
    <s v="Latrines at each HH"/>
    <s v="n/a"/>
    <m/>
    <m/>
    <s v="n/a"/>
    <n v="0"/>
    <n v="0"/>
    <s v="n/a"/>
    <s v="n/a"/>
    <s v="n/a"/>
    <x v="0"/>
    <s v="HH latrine kits to be distributed"/>
    <n v="0.8"/>
    <n v="1312.8000000000002"/>
    <n v="0"/>
    <s v="Low coverage"/>
    <x v="0"/>
    <x v="0"/>
    <x v="0"/>
    <x v="0"/>
    <m/>
  </r>
  <r>
    <x v="0"/>
    <s v="MMR012010061"/>
    <s v="San Goe Taung"/>
    <s v="198410"/>
    <x v="62"/>
    <m/>
    <m/>
    <x v="0"/>
    <x v="2"/>
    <x v="0"/>
    <n v="0"/>
    <n v="0"/>
    <n v="219"/>
    <m/>
    <x v="0"/>
    <x v="0"/>
    <m/>
    <x v="0"/>
    <x v="0"/>
    <d v="2016-01-07T00:00:00"/>
    <m/>
    <x v="0"/>
    <n v="0"/>
    <n v="0"/>
    <s v="No"/>
    <n v="0"/>
    <n v="1"/>
    <n v="0"/>
    <n v="2"/>
    <m/>
    <n v="0"/>
    <n v="0"/>
    <n v="1"/>
    <n v="219"/>
    <n v="1"/>
    <n v="219"/>
    <n v="1"/>
    <n v="219"/>
    <s v="80-100%"/>
    <n v="0"/>
    <n v="0"/>
    <s v="yes"/>
    <n v="0"/>
    <n v="0"/>
    <n v="0"/>
    <n v="1"/>
    <n v="219"/>
    <s v=" Planned Pond renovation with hand pump installation "/>
    <n v="0"/>
    <n v="6"/>
    <n v="42"/>
    <x v="0"/>
    <n v="1"/>
    <n v="219"/>
    <n v="1"/>
    <n v="219"/>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m/>
    <m/>
    <m/>
    <x v="63"/>
    <m/>
    <m/>
    <x v="0"/>
    <x v="4"/>
    <x v="0"/>
    <n v="0"/>
    <n v="0"/>
    <n v="145"/>
    <m/>
    <x v="0"/>
    <x v="0"/>
    <m/>
    <x v="0"/>
    <x v="0"/>
    <d v="2016-01-07T00:00:00"/>
    <m/>
    <x v="0"/>
    <n v="0"/>
    <n v="0"/>
    <s v="No"/>
    <n v="0"/>
    <n v="0"/>
    <n v="0"/>
    <n v="0"/>
    <m/>
    <n v="0"/>
    <n v="0"/>
    <n v="0"/>
    <n v="0"/>
    <n v="0"/>
    <n v="0"/>
    <n v="0"/>
    <n v="0"/>
    <s v="0-10%"/>
    <n v="0"/>
    <n v="0"/>
    <s v="no"/>
    <n v="0.57999999999999996"/>
    <n v="0"/>
    <n v="0"/>
    <n v="0.9"/>
    <n v="130.5"/>
    <s v=" 1- spring cash flow with hand pump renovated "/>
    <n v="0"/>
    <n v="15"/>
    <n v="42"/>
    <x v="0"/>
    <n v="1"/>
    <n v="145"/>
    <n v="1"/>
    <n v="145"/>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6"/>
    <s v="Thay Kan Gwa Son"/>
    <s v="198430"/>
    <x v="64"/>
    <m/>
    <m/>
    <x v="0"/>
    <x v="0"/>
    <x v="0"/>
    <n v="0"/>
    <n v="0"/>
    <n v="1913"/>
    <m/>
    <x v="1"/>
    <x v="0"/>
    <m/>
    <x v="1"/>
    <x v="0"/>
    <d v="2016-01-07T00:00:00"/>
    <m/>
    <x v="0"/>
    <n v="0"/>
    <n v="0"/>
    <s v="No"/>
    <n v="0"/>
    <n v="0"/>
    <n v="0"/>
    <n v="1"/>
    <m/>
    <n v="0"/>
    <n v="0"/>
    <n v="0"/>
    <n v="0"/>
    <n v="0"/>
    <n v="0"/>
    <n v="0"/>
    <n v="0"/>
    <s v="0-10%"/>
    <n v="0"/>
    <n v="0"/>
    <s v="yes"/>
    <n v="7.6520000000000001"/>
    <n v="0"/>
    <n v="0"/>
    <m/>
    <n v="0"/>
    <m/>
    <n v="0"/>
    <n v="39"/>
    <n v="42"/>
    <x v="0"/>
    <n v="0.85624673288029274"/>
    <n v="1638"/>
    <n v="0.85624673288029274"/>
    <n v="1638"/>
    <n v="0"/>
    <n v="0"/>
    <x v="0"/>
    <s v="n/a"/>
    <n v="0"/>
    <s v="n/a"/>
    <s v="n/a"/>
    <s v="n/a"/>
    <s v="n/a"/>
    <s v="n/a"/>
    <s v="n/a"/>
    <s v="n/a"/>
    <s v="n/a"/>
    <s v="n/a"/>
    <s v="n/a"/>
    <n v="1"/>
    <s v="n/a"/>
    <s v="Latrines at each HH"/>
    <s v="n/a"/>
    <m/>
    <m/>
    <s v="n/a"/>
    <n v="0"/>
    <n v="0"/>
    <s v="n/a"/>
    <s v="n/a"/>
    <s v="n/a"/>
    <x v="0"/>
    <s v="HH latrine kits to be distributed"/>
    <n v="0.8"/>
    <n v="1530.4"/>
    <n v="3"/>
    <s v="Low coverage"/>
    <x v="0"/>
    <x v="0"/>
    <x v="0"/>
    <x v="0"/>
    <m/>
  </r>
  <r>
    <x v="0"/>
    <s v="MMR012010031"/>
    <s v="Tha Yet Kin Ma Nu"/>
    <s v="198291"/>
    <x v="65"/>
    <m/>
    <m/>
    <x v="0"/>
    <x v="0"/>
    <x v="0"/>
    <n v="0"/>
    <n v="0"/>
    <n v="773"/>
    <m/>
    <x v="2"/>
    <x v="0"/>
    <m/>
    <x v="0"/>
    <x v="0"/>
    <d v="2016-01-07T00:00:00"/>
    <m/>
    <x v="0"/>
    <n v="0"/>
    <n v="0"/>
    <s v="No"/>
    <n v="0"/>
    <n v="4"/>
    <n v="0"/>
    <n v="2"/>
    <m/>
    <n v="0"/>
    <n v="0"/>
    <n v="1"/>
    <n v="773"/>
    <n v="1"/>
    <n v="773"/>
    <n v="1"/>
    <n v="773"/>
    <s v="80-100%"/>
    <n v="0"/>
    <n v="0"/>
    <s v="yes"/>
    <n v="0"/>
    <n v="0"/>
    <n v="0"/>
    <n v="1"/>
    <n v="773"/>
    <s v=" Planned Pond renovation with hand pump installation "/>
    <n v="0"/>
    <n v="7"/>
    <n v="42"/>
    <x v="0"/>
    <n v="0.38033635187580855"/>
    <n v="294"/>
    <n v="0.38033635187580855"/>
    <n v="294"/>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NA"/>
    <s v="NA"/>
    <m/>
    <x v="66"/>
    <m/>
    <m/>
    <x v="0"/>
    <x v="0"/>
    <x v="0"/>
    <n v="0"/>
    <n v="0"/>
    <n v="345"/>
    <m/>
    <x v="0"/>
    <x v="0"/>
    <m/>
    <x v="1"/>
    <x v="0"/>
    <d v="2016-01-07T00:00:00"/>
    <m/>
    <x v="0"/>
    <n v="0"/>
    <n v="0"/>
    <s v="No"/>
    <n v="0"/>
    <n v="0"/>
    <n v="0"/>
    <n v="1"/>
    <m/>
    <n v="0"/>
    <n v="0"/>
    <n v="0"/>
    <n v="0"/>
    <n v="0"/>
    <n v="0"/>
    <n v="0"/>
    <n v="0"/>
    <s v="0-10%"/>
    <n v="0"/>
    <n v="0"/>
    <s v="yes"/>
    <n v="1.38"/>
    <n v="0"/>
    <n v="0"/>
    <n v="0"/>
    <n v="0"/>
    <m/>
    <n v="0"/>
    <n v="0"/>
    <n v="42"/>
    <x v="1"/>
    <n v="0"/>
    <n v="0"/>
    <n v="0"/>
    <n v="0"/>
    <n v="0"/>
    <n v="0"/>
    <x v="0"/>
    <s v="n/a"/>
    <n v="0"/>
    <s v="n/a"/>
    <s v="n/a"/>
    <s v="n/a"/>
    <s v="n/a"/>
    <s v="n/a"/>
    <s v="n/a"/>
    <s v="n/a"/>
    <s v="n/a"/>
    <s v="n/a"/>
    <s v="n/a"/>
    <n v="1"/>
    <s v="n/a"/>
    <s v="Latrines at each HH"/>
    <s v="n/a"/>
    <m/>
    <m/>
    <s v="n/a"/>
    <n v="0"/>
    <n v="0"/>
    <s v="n/a"/>
    <s v="n/a"/>
    <s v="n/a"/>
    <x v="0"/>
    <s v="HH latrine kits to be distributed"/>
    <n v="1"/>
    <n v="345"/>
    <n v="3"/>
    <s v="Low coverage"/>
    <x v="0"/>
    <x v="0"/>
    <x v="0"/>
    <x v="0"/>
    <m/>
  </r>
  <r>
    <x v="0"/>
    <s v="MMR012010013"/>
    <s v="Inn Chaung"/>
    <s v="198184"/>
    <x v="67"/>
    <m/>
    <m/>
    <x v="0"/>
    <x v="0"/>
    <x v="0"/>
    <n v="0"/>
    <n v="0"/>
    <n v="651"/>
    <m/>
    <x v="2"/>
    <x v="0"/>
    <m/>
    <x v="0"/>
    <x v="0"/>
    <d v="2016-01-07T00:00:00"/>
    <m/>
    <x v="0"/>
    <n v="0"/>
    <n v="0"/>
    <s v="No"/>
    <n v="0"/>
    <n v="4"/>
    <n v="0"/>
    <n v="5"/>
    <m/>
    <n v="0"/>
    <n v="0"/>
    <n v="1"/>
    <n v="651"/>
    <n v="1"/>
    <n v="651"/>
    <n v="1"/>
    <n v="651"/>
    <s v="80-100%"/>
    <n v="0"/>
    <n v="0"/>
    <s v="yes"/>
    <n v="0"/>
    <n v="0"/>
    <n v="0"/>
    <n v="1"/>
    <n v="651"/>
    <s v=" Planned Pond renovation with hand pump installation "/>
    <n v="0"/>
    <n v="10"/>
    <n v="42"/>
    <x v="0"/>
    <n v="0.64516129032258063"/>
    <n v="420"/>
    <n v="0.64516129032258063"/>
    <n v="42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0"/>
    <s v="MMR012010065"/>
    <s v="Wet Ma Kya (a) Zay Di Taung"/>
    <s v="198425"/>
    <x v="68"/>
    <m/>
    <m/>
    <x v="0"/>
    <x v="0"/>
    <x v="0"/>
    <n v="0"/>
    <n v="0"/>
    <n v="710"/>
    <m/>
    <x v="2"/>
    <x v="0"/>
    <m/>
    <x v="0"/>
    <x v="0"/>
    <d v="2016-01-07T00:00:00"/>
    <m/>
    <x v="0"/>
    <n v="0"/>
    <n v="0"/>
    <s v="No"/>
    <n v="0"/>
    <n v="1"/>
    <n v="0"/>
    <n v="2"/>
    <m/>
    <n v="0"/>
    <n v="0"/>
    <n v="0.352112676056338"/>
    <n v="249.99999999999997"/>
    <n v="0.352112676056338"/>
    <n v="249.99999999999997"/>
    <n v="0.352112676056338"/>
    <n v="249.99999999999997"/>
    <s v="30-45%"/>
    <n v="0"/>
    <n v="0"/>
    <s v="yes"/>
    <n v="1.8399999999999999"/>
    <n v="0"/>
    <n v="0"/>
    <n v="0.9"/>
    <n v="639"/>
    <s v=" Planned Pond renovation with hand pump installation "/>
    <n v="0"/>
    <n v="0"/>
    <n v="42"/>
    <x v="0"/>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1"/>
    <m/>
    <m/>
    <n v="198645"/>
    <x v="69"/>
    <n v="93.699799999999996"/>
    <n v="19.184200000000001"/>
    <x v="0"/>
    <x v="2"/>
    <x v="1"/>
    <n v="0"/>
    <n v="0"/>
    <n v="312"/>
    <s v="Not affected"/>
    <x v="0"/>
    <x v="1"/>
    <m/>
    <x v="2"/>
    <x v="0"/>
    <d v="2015-11-30T00:00:00"/>
    <m/>
    <x v="0"/>
    <n v="0"/>
    <n v="0"/>
    <s v="No"/>
    <n v="2"/>
    <n v="0"/>
    <n v="0"/>
    <n v="5"/>
    <m/>
    <n v="0"/>
    <n v="0"/>
    <n v="1"/>
    <n v="312"/>
    <n v="1"/>
    <n v="312"/>
    <n v="1"/>
    <n v="312"/>
    <s v="80-100%"/>
    <n v="0"/>
    <n v="0"/>
    <s v="yes"/>
    <n v="0"/>
    <n v="0"/>
    <n v="0"/>
    <n v="1"/>
    <n v="312"/>
    <m/>
    <n v="0"/>
    <n v="37"/>
    <n v="6"/>
    <x v="0"/>
    <n v="0.71153846153846156"/>
    <n v="222"/>
    <n v="0.71153846153846156"/>
    <n v="222"/>
    <n v="0"/>
    <n v="0"/>
    <x v="0"/>
    <n v="1"/>
    <n v="312"/>
    <s v="n/a"/>
    <s v="n/a"/>
    <s v="n/a"/>
    <s v="n/a"/>
    <s v="n/a"/>
    <s v="n/a"/>
    <s v="n/a"/>
    <s v="n/a"/>
    <s v="n/a"/>
    <s v="n/a"/>
    <s v="n/a"/>
    <s v="n/a"/>
    <s v="community latrines"/>
    <s v="n/a"/>
    <m/>
    <m/>
    <s v="n/a"/>
    <m/>
    <m/>
    <s v="n/a"/>
    <s v="n/a"/>
    <s v="n/a"/>
    <x v="0"/>
    <m/>
    <n v="0"/>
    <n v="0"/>
    <n v="2"/>
    <s v="Excellent coverage"/>
    <x v="1"/>
    <x v="0"/>
    <x v="2"/>
    <x v="1"/>
    <s v="WASH actvities coordinated by WASH committee."/>
  </r>
  <r>
    <x v="1"/>
    <m/>
    <m/>
    <n v="198647"/>
    <x v="70"/>
    <n v="93.733699999999999"/>
    <n v="19.189399999999999"/>
    <x v="0"/>
    <x v="2"/>
    <x v="1"/>
    <n v="0"/>
    <n v="0"/>
    <n v="689"/>
    <s v="Not affected"/>
    <x v="2"/>
    <x v="1"/>
    <m/>
    <x v="2"/>
    <x v="0"/>
    <d v="2015-11-30T00:00:00"/>
    <m/>
    <x v="0"/>
    <n v="0"/>
    <n v="0"/>
    <s v="No"/>
    <n v="3"/>
    <n v="0"/>
    <n v="0"/>
    <n v="1"/>
    <m/>
    <n v="0"/>
    <n v="0"/>
    <n v="1"/>
    <n v="689"/>
    <n v="1"/>
    <n v="689"/>
    <n v="1"/>
    <n v="689"/>
    <s v="80-100%"/>
    <n v="0"/>
    <n v="0"/>
    <s v="yes"/>
    <n v="0"/>
    <n v="0"/>
    <n v="0"/>
    <n v="1"/>
    <n v="689"/>
    <m/>
    <n v="0"/>
    <n v="16"/>
    <n v="6"/>
    <x v="0"/>
    <n v="0.13933236574746008"/>
    <n v="96"/>
    <n v="0.13933236574746008"/>
    <n v="96"/>
    <n v="0"/>
    <n v="0"/>
    <x v="0"/>
    <n v="1"/>
    <n v="689"/>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s v="MMR012CMP036"/>
    <x v="71"/>
    <n v="93.552452000000002"/>
    <n v="19.421102000000001"/>
    <x v="1"/>
    <x v="2"/>
    <x v="2"/>
    <n v="65"/>
    <n v="327"/>
    <n v="327"/>
    <s v="Not affected"/>
    <x v="2"/>
    <x v="1"/>
    <s v="UNHCR"/>
    <x v="2"/>
    <x v="0"/>
    <d v="2015-11-30T00:00:00"/>
    <m/>
    <x v="0"/>
    <n v="0"/>
    <n v="0"/>
    <s v="No"/>
    <n v="3"/>
    <n v="0"/>
    <n v="2"/>
    <n v="0"/>
    <m/>
    <n v="1"/>
    <n v="0"/>
    <n v="1"/>
    <n v="327"/>
    <n v="1"/>
    <n v="327"/>
    <n v="1"/>
    <n v="327"/>
    <s v="80-100%"/>
    <n v="0"/>
    <n v="0"/>
    <s v="no"/>
    <n v="0"/>
    <n v="0"/>
    <n v="327"/>
    <n v="1"/>
    <n v="327"/>
    <s v="1 pond; household bucket chlorination in place"/>
    <n v="0"/>
    <n v="8"/>
    <n v="20"/>
    <x v="3"/>
    <n v="0.4892966360856269"/>
    <n v="160"/>
    <n v="0.4892966360856269"/>
    <n v="160"/>
    <n v="0"/>
    <n v="0"/>
    <x v="0"/>
    <n v="1"/>
    <n v="327"/>
    <n v="8.3500000000000014"/>
    <n v="1"/>
    <n v="1.7125382262996942E-2"/>
    <n v="5.6"/>
    <n v="57.392857142857146"/>
    <n v="1"/>
    <n v="318"/>
    <n v="12"/>
    <n v="1"/>
    <n v="0"/>
    <n v="1"/>
    <n v="327"/>
    <s v="Comunal bath house constructed &amp; connected to water as required by the community."/>
    <d v="2015-01-25T00:00:00"/>
    <m/>
    <m/>
    <d v="2016-01-25T00:00:00"/>
    <n v="65"/>
    <n v="1"/>
    <n v="0"/>
    <n v="1"/>
    <n v="327"/>
    <x v="1"/>
    <s v="Refil done monthly"/>
    <n v="0.75"/>
    <n v="245.25"/>
    <n v="11"/>
    <s v="Excellent coverage"/>
    <x v="2"/>
    <x v="1"/>
    <x v="2"/>
    <x v="1"/>
    <s v="60 IDPs leave with relatives in Kyuk Phyu town."/>
  </r>
  <r>
    <x v="1"/>
    <m/>
    <m/>
    <n v="198611"/>
    <x v="72"/>
    <n v="93.596400000000003"/>
    <n v="19.175699999999999"/>
    <x v="0"/>
    <x v="2"/>
    <x v="1"/>
    <n v="0"/>
    <n v="0"/>
    <n v="497"/>
    <s v="Not affected"/>
    <x v="0"/>
    <x v="1"/>
    <m/>
    <x v="2"/>
    <x v="0"/>
    <d v="2015-11-30T00:00:00"/>
    <m/>
    <x v="0"/>
    <n v="0"/>
    <n v="0"/>
    <s v="No"/>
    <n v="7"/>
    <n v="0"/>
    <n v="0"/>
    <n v="1"/>
    <m/>
    <n v="0"/>
    <n v="0"/>
    <n v="1"/>
    <n v="497"/>
    <n v="1"/>
    <n v="497"/>
    <n v="1"/>
    <n v="497"/>
    <s v="80-100%"/>
    <n v="0"/>
    <n v="0"/>
    <s v="yes"/>
    <n v="0"/>
    <n v="0"/>
    <n v="0"/>
    <n v="1"/>
    <n v="497"/>
    <m/>
    <n v="0"/>
    <n v="25"/>
    <n v="6"/>
    <x v="0"/>
    <n v="0.30181086519114686"/>
    <n v="150"/>
    <n v="0.30181086519114686"/>
    <n v="150"/>
    <n v="0"/>
    <n v="0"/>
    <x v="0"/>
    <n v="1"/>
    <n v="497"/>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s v="MMR012CMP035"/>
    <x v="73"/>
    <n v="93.512326000000002"/>
    <n v="19.424576999999999"/>
    <x v="1"/>
    <x v="0"/>
    <x v="2"/>
    <n v="427"/>
    <n v="1274"/>
    <n v="1274"/>
    <s v="Not affected"/>
    <x v="1"/>
    <x v="1"/>
    <s v="UNHCR"/>
    <x v="2"/>
    <x v="0"/>
    <d v="2015-11-30T00:00:00"/>
    <m/>
    <x v="0"/>
    <n v="0"/>
    <n v="0"/>
    <s v="No"/>
    <n v="8"/>
    <n v="1"/>
    <n v="21"/>
    <n v="0"/>
    <m/>
    <n v="1"/>
    <n v="0"/>
    <n v="1"/>
    <n v="1274"/>
    <n v="1"/>
    <n v="1274"/>
    <n v="1"/>
    <n v="1274"/>
    <s v="80-100%"/>
    <n v="0"/>
    <n v="0"/>
    <s v="no"/>
    <n v="0"/>
    <n v="0"/>
    <n v="1274"/>
    <n v="1"/>
    <n v="1274"/>
    <s v="1 pond untreated"/>
    <n v="0"/>
    <n v="86"/>
    <n v="20"/>
    <x v="4"/>
    <n v="1"/>
    <n v="1274"/>
    <n v="1"/>
    <n v="1274"/>
    <n v="0"/>
    <n v="0"/>
    <x v="1"/>
    <n v="1"/>
    <n v="1274"/>
    <n v="0"/>
    <n v="3"/>
    <n v="1.3186813186813185E-2"/>
    <n v="16.799999999999997"/>
    <n v="224.50000000000003"/>
    <n v="1"/>
    <n v="1371"/>
    <n v="20"/>
    <n v="1"/>
    <n v="0"/>
    <n v="1"/>
    <n v="1274"/>
    <s v="Bathing stations are used where water is available nearby. Community also use a bathing pond located at edge of camp."/>
    <d v="2014-05-15T00:00:00"/>
    <m/>
    <m/>
    <s v="To be done"/>
    <n v="427"/>
    <n v="1"/>
    <n v="427"/>
    <n v="0"/>
    <n v="0"/>
    <x v="2"/>
    <s v="Refil done monthly"/>
    <n v="0.75"/>
    <n v="955.5"/>
    <n v="6"/>
    <s v="Excellent coverage"/>
    <x v="2"/>
    <x v="1"/>
    <x v="2"/>
    <x v="1"/>
    <m/>
  </r>
  <r>
    <x v="1"/>
    <m/>
    <m/>
    <n v="198612"/>
    <x v="74"/>
    <n v="93.585700000000003"/>
    <n v="19.195399999999999"/>
    <x v="0"/>
    <x v="2"/>
    <x v="1"/>
    <n v="0"/>
    <n v="0"/>
    <n v="598"/>
    <s v="Not affected"/>
    <x v="2"/>
    <x v="1"/>
    <m/>
    <x v="2"/>
    <x v="0"/>
    <d v="2015-11-30T00:00:00"/>
    <m/>
    <x v="0"/>
    <n v="0"/>
    <n v="0"/>
    <s v="No"/>
    <n v="15"/>
    <n v="0"/>
    <n v="0"/>
    <m/>
    <m/>
    <n v="0"/>
    <n v="0"/>
    <n v="1"/>
    <n v="598"/>
    <n v="1"/>
    <n v="598"/>
    <n v="1"/>
    <n v="598"/>
    <s v="80-100%"/>
    <n v="0"/>
    <n v="0"/>
    <s v="no"/>
    <n v="0"/>
    <n v="0"/>
    <n v="0"/>
    <n v="1"/>
    <n v="598"/>
    <m/>
    <n v="0"/>
    <n v="29"/>
    <n v="6"/>
    <x v="0"/>
    <n v="0.29096989966555181"/>
    <n v="173.99999999999997"/>
    <n v="0.29096989966555181"/>
    <n v="173.99999999999997"/>
    <n v="0"/>
    <n v="0"/>
    <x v="0"/>
    <n v="1"/>
    <n v="598"/>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6"/>
    <x v="75"/>
    <n v="93.551000000000002"/>
    <n v="19.2498"/>
    <x v="0"/>
    <x v="2"/>
    <x v="1"/>
    <n v="0"/>
    <n v="0"/>
    <n v="156"/>
    <s v="Not affected"/>
    <x v="0"/>
    <x v="1"/>
    <m/>
    <x v="2"/>
    <x v="0"/>
    <d v="2015-11-30T00:00:00"/>
    <m/>
    <x v="0"/>
    <n v="0"/>
    <n v="0"/>
    <s v="No"/>
    <n v="7"/>
    <n v="0"/>
    <n v="0"/>
    <n v="2"/>
    <m/>
    <n v="0"/>
    <n v="0"/>
    <n v="1"/>
    <n v="156"/>
    <n v="1"/>
    <n v="156"/>
    <n v="1"/>
    <n v="156"/>
    <s v="80-100%"/>
    <n v="0"/>
    <n v="0"/>
    <s v="yes"/>
    <n v="0"/>
    <n v="0"/>
    <n v="0"/>
    <n v="1"/>
    <n v="156"/>
    <m/>
    <n v="0"/>
    <n v="9"/>
    <n v="6"/>
    <x v="0"/>
    <n v="0.34615384615384615"/>
    <n v="54"/>
    <n v="0.34615384615384615"/>
    <n v="54"/>
    <n v="0"/>
    <n v="0"/>
    <x v="0"/>
    <n v="1"/>
    <n v="156"/>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643"/>
    <x v="76"/>
    <n v="93.720699999999994"/>
    <n v="19.188700000000001"/>
    <x v="0"/>
    <x v="2"/>
    <x v="1"/>
    <n v="0"/>
    <n v="0"/>
    <n v="314"/>
    <s v="Not affected"/>
    <x v="0"/>
    <x v="1"/>
    <m/>
    <x v="2"/>
    <x v="0"/>
    <d v="2015-11-30T00:00:00"/>
    <m/>
    <x v="0"/>
    <n v="0"/>
    <n v="0"/>
    <s v="No"/>
    <n v="7"/>
    <n v="0"/>
    <n v="0"/>
    <n v="2"/>
    <m/>
    <n v="0"/>
    <n v="0"/>
    <n v="1"/>
    <n v="314"/>
    <n v="1"/>
    <n v="314"/>
    <n v="1"/>
    <n v="314"/>
    <s v="80-100%"/>
    <n v="0"/>
    <n v="0"/>
    <s v="yes"/>
    <n v="0"/>
    <n v="0"/>
    <n v="0"/>
    <n v="1"/>
    <n v="314"/>
    <m/>
    <n v="0"/>
    <n v="27"/>
    <n v="6"/>
    <x v="0"/>
    <n v="0.51592356687898089"/>
    <n v="162"/>
    <n v="0.51592356687898089"/>
    <n v="162"/>
    <n v="0"/>
    <n v="0"/>
    <x v="0"/>
    <n v="0.6"/>
    <n v="188.4"/>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4"/>
    <x v="77"/>
    <n v="93.571299999999994"/>
    <n v="19.221900000000002"/>
    <x v="0"/>
    <x v="2"/>
    <x v="1"/>
    <n v="0"/>
    <n v="0"/>
    <n v="809"/>
    <s v="Not affected"/>
    <x v="2"/>
    <x v="1"/>
    <m/>
    <x v="2"/>
    <x v="0"/>
    <d v="2015-11-30T00:00:00"/>
    <m/>
    <x v="0"/>
    <n v="0"/>
    <n v="0"/>
    <s v="No"/>
    <n v="3"/>
    <n v="0"/>
    <n v="0"/>
    <n v="4"/>
    <m/>
    <n v="0.03"/>
    <n v="0"/>
    <n v="0.92707045735475901"/>
    <n v="750"/>
    <n v="0.92707045735475901"/>
    <n v="750"/>
    <n v="0.92707045735475901"/>
    <n v="750"/>
    <s v="80-100%"/>
    <n v="0"/>
    <n v="0"/>
    <s v="yes"/>
    <n v="0.23600000000000021"/>
    <n v="0"/>
    <n v="24.27"/>
    <n v="1"/>
    <n v="809"/>
    <m/>
    <n v="0"/>
    <n v="37"/>
    <n v="6"/>
    <x v="0"/>
    <n v="0.27441285537700866"/>
    <n v="222"/>
    <n v="0.27441285537700866"/>
    <n v="222"/>
    <n v="0"/>
    <n v="0"/>
    <x v="0"/>
    <n v="0.3"/>
    <n v="242.7"/>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512"/>
    <x v="78"/>
    <n v="93.548599999999993"/>
    <n v="19.254300000000001"/>
    <x v="0"/>
    <x v="2"/>
    <x v="1"/>
    <n v="0"/>
    <n v="0"/>
    <n v="634"/>
    <s v="Not affected"/>
    <x v="2"/>
    <x v="1"/>
    <m/>
    <x v="2"/>
    <x v="0"/>
    <d v="2015-11-30T00:00:00"/>
    <m/>
    <x v="0"/>
    <n v="0"/>
    <n v="0"/>
    <s v="No"/>
    <n v="6"/>
    <n v="0"/>
    <n v="0"/>
    <n v="1"/>
    <m/>
    <n v="0"/>
    <n v="0"/>
    <n v="1"/>
    <n v="634"/>
    <n v="1"/>
    <n v="634"/>
    <n v="1"/>
    <n v="634"/>
    <s v="80-100%"/>
    <n v="0"/>
    <n v="0"/>
    <s v="yes"/>
    <n v="0"/>
    <n v="0"/>
    <n v="0"/>
    <n v="1"/>
    <n v="634"/>
    <m/>
    <n v="0"/>
    <n v="22"/>
    <n v="6"/>
    <x v="0"/>
    <n v="0.20820189274447951"/>
    <n v="132"/>
    <n v="0.20820189274447951"/>
    <n v="132"/>
    <n v="0"/>
    <n v="0"/>
    <x v="0"/>
    <n v="0.3"/>
    <n v="190.2"/>
    <s v="n/a"/>
    <s v="n/a"/>
    <s v="n/a"/>
    <s v="n/a"/>
    <s v="n/a"/>
    <s v="n/a"/>
    <s v="n/a"/>
    <s v="n/a"/>
    <s v="n/a"/>
    <s v="n/a"/>
    <s v="n/a"/>
    <s v="n/a"/>
    <s v="HH latrines built with community particpation"/>
    <s v="n/a"/>
    <m/>
    <m/>
    <s v="n/a"/>
    <m/>
    <m/>
    <s v="n/a"/>
    <s v="n/a"/>
    <s v="n/a"/>
    <x v="0"/>
    <m/>
    <n v="0"/>
    <n v="0"/>
    <n v="2"/>
    <s v="Excellent coverage"/>
    <x v="1"/>
    <x v="0"/>
    <x v="2"/>
    <x v="1"/>
    <s v="WASH actvities coordinated by WASH committee."/>
  </r>
  <r>
    <x v="1"/>
    <m/>
    <m/>
    <n v="198657"/>
    <x v="79"/>
    <n v="92.340199999999996"/>
    <n v="21.057600000000001"/>
    <x v="0"/>
    <x v="2"/>
    <x v="1"/>
    <n v="0"/>
    <n v="0"/>
    <n v="158"/>
    <s v="Not affected"/>
    <x v="0"/>
    <x v="1"/>
    <m/>
    <x v="2"/>
    <x v="0"/>
    <d v="2015-11-30T00:00:00"/>
    <m/>
    <x v="0"/>
    <n v="0"/>
    <n v="0"/>
    <s v="No"/>
    <n v="1"/>
    <n v="0"/>
    <n v="0"/>
    <n v="2"/>
    <m/>
    <n v="0"/>
    <n v="0"/>
    <n v="1"/>
    <n v="158"/>
    <n v="1"/>
    <n v="158"/>
    <n v="1"/>
    <n v="158"/>
    <s v="80-100%"/>
    <n v="0"/>
    <n v="0"/>
    <s v="yes"/>
    <n v="0"/>
    <n v="0"/>
    <n v="0"/>
    <n v="1"/>
    <n v="158"/>
    <s v="2 spring"/>
    <n v="0"/>
    <n v="7"/>
    <n v="6"/>
    <x v="0"/>
    <n v="0.26582278481012656"/>
    <n v="41.999999999999993"/>
    <n v="0.26582278481012656"/>
    <n v="41.999999999999993"/>
    <n v="0"/>
    <n v="0"/>
    <x v="0"/>
    <m/>
    <n v="0"/>
    <s v="n/a"/>
    <s v="n/a"/>
    <s v="n/a"/>
    <s v="n/a"/>
    <s v="n/a"/>
    <s v="n/a"/>
    <s v="n/a"/>
    <s v="n/a"/>
    <s v="n/a"/>
    <s v="n/a"/>
    <s v="n/a"/>
    <s v="n/a"/>
    <s v="HH latrines built with community particpation"/>
    <s v="n/a"/>
    <m/>
    <m/>
    <s v="n/a"/>
    <m/>
    <m/>
    <s v="n/a"/>
    <s v="n/a"/>
    <s v="n/a"/>
    <x v="0"/>
    <m/>
    <n v="0"/>
    <n v="0"/>
    <n v="2"/>
    <s v="Excellent coverage"/>
    <x v="1"/>
    <x v="0"/>
    <x v="2"/>
    <x v="1"/>
    <s v="WASH actvities coordinated by WASH committee."/>
  </r>
  <r>
    <x v="2"/>
    <m/>
    <m/>
    <s v="MMR012CMP022"/>
    <x v="80"/>
    <n v="93.002700000000004"/>
    <n v="20.921199999999999"/>
    <x v="0"/>
    <x v="0"/>
    <x v="3"/>
    <n v="23"/>
    <n v="140"/>
    <n v="480"/>
    <s v="Moderately affected"/>
    <x v="0"/>
    <x v="2"/>
    <s v="UNHCR"/>
    <x v="3"/>
    <x v="1"/>
    <m/>
    <m/>
    <x v="1"/>
    <n v="0"/>
    <n v="0"/>
    <s v="No"/>
    <n v="0"/>
    <n v="0"/>
    <n v="0"/>
    <n v="2"/>
    <m/>
    <n v="0"/>
    <n v="0"/>
    <n v="0"/>
    <n v="0"/>
    <n v="0"/>
    <n v="0"/>
    <n v="0"/>
    <n v="0"/>
    <s v="0-10%"/>
    <n v="0"/>
    <n v="0"/>
    <s v="yes"/>
    <n v="1.92"/>
    <n v="0"/>
    <n v="0"/>
    <n v="0"/>
    <n v="0"/>
    <m/>
    <n v="4"/>
    <n v="0"/>
    <n v="6"/>
    <x v="2"/>
    <n v="0"/>
    <n v="0"/>
    <n v="0"/>
    <n v="0"/>
    <n v="0"/>
    <n v="0"/>
    <x v="0"/>
    <n v="0"/>
    <n v="0"/>
    <s v="n/a"/>
    <s v="n/a"/>
    <s v="n/a"/>
    <s v="n/a"/>
    <s v="n/a"/>
    <s v="n/a"/>
    <s v="n/a"/>
    <s v="n/a"/>
    <s v="n/a"/>
    <s v="n/a"/>
    <s v="n/a"/>
    <s v="n/a"/>
    <s v="community latrines"/>
    <s v="n/a"/>
    <m/>
    <m/>
    <s v="n/a"/>
    <m/>
    <m/>
    <s v="n/a"/>
    <s v="n/a"/>
    <s v="n/a"/>
    <x v="0"/>
    <m/>
    <m/>
    <n v="0"/>
    <m/>
    <s v="No coverage"/>
    <x v="3"/>
    <x v="2"/>
    <x v="3"/>
    <x v="2"/>
    <m/>
  </r>
  <r>
    <x v="2"/>
    <m/>
    <m/>
    <s v="MMR012CMP025"/>
    <x v="81"/>
    <n v="93.016300000000001"/>
    <n v="20.911000000000001"/>
    <x v="0"/>
    <x v="0"/>
    <x v="3"/>
    <n v="14"/>
    <n v="84"/>
    <n v="3109"/>
    <s v="Moderately affected"/>
    <x v="1"/>
    <x v="2"/>
    <s v="UNHCR"/>
    <x v="3"/>
    <x v="1"/>
    <m/>
    <m/>
    <x v="1"/>
    <n v="0"/>
    <n v="0"/>
    <s v="No"/>
    <n v="0"/>
    <n v="0"/>
    <n v="0"/>
    <n v="2"/>
    <m/>
    <n v="0"/>
    <n v="0"/>
    <n v="0"/>
    <n v="0"/>
    <n v="0"/>
    <n v="0"/>
    <n v="0"/>
    <n v="0"/>
    <s v="0-10%"/>
    <n v="0"/>
    <n v="0"/>
    <s v="yes"/>
    <n v="12.436"/>
    <n v="0"/>
    <n v="0"/>
    <n v="0"/>
    <n v="0"/>
    <m/>
    <n v="0"/>
    <n v="4"/>
    <n v="6"/>
    <x v="2"/>
    <n v="7.7195239626889674E-3"/>
    <n v="24"/>
    <n v="7.7195239626889674E-3"/>
    <n v="24"/>
    <n v="0"/>
    <n v="0"/>
    <x v="0"/>
    <n v="0.01"/>
    <n v="31.09"/>
    <s v="n/a"/>
    <s v="n/a"/>
    <s v="n/a"/>
    <s v="n/a"/>
    <s v="n/a"/>
    <s v="n/a"/>
    <s v="n/a"/>
    <s v="n/a"/>
    <s v="n/a"/>
    <s v="n/a"/>
    <s v="n/a"/>
    <s v="n/a"/>
    <s v="community latrines"/>
    <s v="n/a"/>
    <m/>
    <m/>
    <s v="n/a"/>
    <m/>
    <m/>
    <s v="n/a"/>
    <s v="n/a"/>
    <s v="n/a"/>
    <x v="0"/>
    <m/>
    <m/>
    <n v="0"/>
    <m/>
    <s v="No coverage"/>
    <x v="3"/>
    <x v="2"/>
    <x v="3"/>
    <x v="2"/>
    <m/>
  </r>
  <r>
    <x v="2"/>
    <m/>
    <m/>
    <n v="196946"/>
    <x v="82"/>
    <n v="92.961841000000007"/>
    <n v="20.720213000000001"/>
    <x v="0"/>
    <x v="2"/>
    <x v="3"/>
    <n v="92"/>
    <n v="559"/>
    <n v="559"/>
    <m/>
    <x v="2"/>
    <x v="3"/>
    <m/>
    <x v="2"/>
    <x v="0"/>
    <d v="2016-02-28T00:00:00"/>
    <m/>
    <x v="0"/>
    <n v="0"/>
    <n v="0"/>
    <s v="No"/>
    <n v="0"/>
    <n v="0"/>
    <n v="0"/>
    <n v="1"/>
    <m/>
    <n v="0"/>
    <n v="0"/>
    <n v="0"/>
    <n v="0"/>
    <n v="0"/>
    <n v="0"/>
    <n v="0"/>
    <n v="0"/>
    <s v="0-10%"/>
    <n v="0"/>
    <n v="0"/>
    <s v="yes"/>
    <n v="2.2360000000000002"/>
    <n v="0"/>
    <n v="0"/>
    <n v="0"/>
    <n v="0"/>
    <m/>
    <n v="0"/>
    <n v="20"/>
    <n v="6"/>
    <x v="1"/>
    <n v="0.21466905187835419"/>
    <n v="120"/>
    <n v="0.21466905187835419"/>
    <n v="120"/>
    <n v="0"/>
    <n v="0"/>
    <x v="2"/>
    <n v="0.8"/>
    <n v="447.20000000000005"/>
    <s v="n/a"/>
    <s v="n/a"/>
    <s v="n/a"/>
    <s v="n/a"/>
    <s v="n/a"/>
    <s v="n/a"/>
    <s v="n/a"/>
    <s v="n/a"/>
    <s v="n/a"/>
    <s v="n/a"/>
    <s v="n/a"/>
    <s v="n/a"/>
    <s v="Need to update school database for total needs coverage"/>
    <s v="n/a"/>
    <m/>
    <m/>
    <s v="n/a"/>
    <n v="97"/>
    <n v="3"/>
    <s v="n/a"/>
    <s v="n/a"/>
    <s v="n/a"/>
    <x v="0"/>
    <m/>
    <n v="0"/>
    <n v="0"/>
    <n v="2"/>
    <s v="Excellent coverage"/>
    <x v="4"/>
    <x v="0"/>
    <x v="4"/>
    <x v="3"/>
    <m/>
  </r>
  <r>
    <x v="2"/>
    <m/>
    <m/>
    <s v="MMR012CMP024"/>
    <x v="82"/>
    <n v="93.014349999999993"/>
    <n v="20.896740000000001"/>
    <x v="0"/>
    <x v="0"/>
    <x v="3"/>
    <n v="153"/>
    <n v="836"/>
    <n v="836"/>
    <m/>
    <x v="2"/>
    <x v="3"/>
    <s v="UNHCR"/>
    <x v="2"/>
    <x v="0"/>
    <d v="2016-02-28T00:00:00"/>
    <m/>
    <x v="0"/>
    <n v="0"/>
    <n v="0"/>
    <s v="No"/>
    <n v="0"/>
    <n v="0"/>
    <n v="0"/>
    <n v="2"/>
    <m/>
    <n v="0"/>
    <n v="0"/>
    <n v="0"/>
    <n v="0"/>
    <n v="0"/>
    <n v="0"/>
    <n v="0"/>
    <n v="0"/>
    <s v="0-10%"/>
    <n v="0"/>
    <n v="0"/>
    <s v="yes"/>
    <n v="3.3439999999999999"/>
    <n v="0"/>
    <n v="0"/>
    <n v="0"/>
    <n v="0"/>
    <m/>
    <n v="0"/>
    <n v="20"/>
    <n v="6"/>
    <x v="1"/>
    <n v="0.14354066985645933"/>
    <n v="120"/>
    <n v="0.14354066985645933"/>
    <n v="120"/>
    <n v="0"/>
    <n v="0"/>
    <x v="2"/>
    <n v="0.8"/>
    <n v="668.80000000000007"/>
    <s v="n/a"/>
    <s v="n/a"/>
    <s v="n/a"/>
    <s v="n/a"/>
    <s v="n/a"/>
    <s v="n/a"/>
    <s v="n/a"/>
    <s v="n/a"/>
    <s v="n/a"/>
    <s v="n/a"/>
    <s v="n/a"/>
    <s v="n/a"/>
    <s v="Need to update school database for total needs coverage"/>
    <s v="n/a"/>
    <m/>
    <m/>
    <s v="n/a"/>
    <m/>
    <m/>
    <s v="n/a"/>
    <s v="n/a"/>
    <s v="n/a"/>
    <x v="0"/>
    <m/>
    <n v="0"/>
    <n v="0"/>
    <n v="2"/>
    <s v="Excellent coverage"/>
    <x v="5"/>
    <x v="0"/>
    <x v="4"/>
    <x v="3"/>
    <m/>
  </r>
  <r>
    <x v="2"/>
    <m/>
    <m/>
    <n v="196943"/>
    <x v="83"/>
    <n v="93.001900000000006"/>
    <n v="20.7059"/>
    <x v="0"/>
    <x v="2"/>
    <x v="1"/>
    <n v="0"/>
    <n v="0"/>
    <n v="1539"/>
    <m/>
    <x v="1"/>
    <x v="3"/>
    <m/>
    <x v="2"/>
    <x v="0"/>
    <d v="2016-02-28T00:00:00"/>
    <m/>
    <x v="0"/>
    <n v="0"/>
    <n v="0"/>
    <s v="No"/>
    <n v="0"/>
    <n v="0"/>
    <n v="0"/>
    <n v="1"/>
    <m/>
    <n v="0"/>
    <n v="0"/>
    <n v="0"/>
    <n v="0"/>
    <n v="0"/>
    <n v="0"/>
    <n v="0"/>
    <n v="0"/>
    <s v="0-10%"/>
    <n v="0"/>
    <n v="0"/>
    <s v="yes"/>
    <n v="6.1559999999999997"/>
    <n v="0"/>
    <n v="0"/>
    <n v="0"/>
    <n v="0"/>
    <m/>
    <n v="0"/>
    <n v="10"/>
    <n v="6"/>
    <x v="1"/>
    <n v="3.8986354775828458E-2"/>
    <n v="60"/>
    <n v="3.8986354775828458E-2"/>
    <n v="60"/>
    <n v="0"/>
    <n v="0"/>
    <x v="0"/>
    <n v="0.04"/>
    <n v="61.56"/>
    <s v="n/a"/>
    <s v="n/a"/>
    <s v="n/a"/>
    <s v="n/a"/>
    <s v="n/a"/>
    <s v="n/a"/>
    <s v="n/a"/>
    <s v="n/a"/>
    <s v="n/a"/>
    <s v="n/a"/>
    <s v="n/a"/>
    <s v="n/a"/>
    <s v="Need to update school database for total needs coverage"/>
    <s v="n/a"/>
    <m/>
    <m/>
    <s v="n/a"/>
    <m/>
    <m/>
    <s v="n/a"/>
    <s v="n/a"/>
    <s v="n/a"/>
    <x v="0"/>
    <m/>
    <m/>
    <n v="0"/>
    <n v="2"/>
    <s v="Excellent coverage"/>
    <x v="4"/>
    <x v="0"/>
    <x v="4"/>
    <x v="3"/>
    <m/>
  </r>
  <r>
    <x v="2"/>
    <m/>
    <m/>
    <n v="196973"/>
    <x v="84"/>
    <n v="93.0154"/>
    <n v="20.71"/>
    <x v="0"/>
    <x v="2"/>
    <x v="3"/>
    <n v="116"/>
    <n v="799"/>
    <n v="1569"/>
    <m/>
    <x v="1"/>
    <x v="3"/>
    <m/>
    <x v="2"/>
    <x v="0"/>
    <d v="2016-02-28T00:00:00"/>
    <m/>
    <x v="0"/>
    <n v="0"/>
    <n v="0"/>
    <s v="No"/>
    <n v="0"/>
    <n v="0"/>
    <n v="0"/>
    <n v="2"/>
    <m/>
    <n v="0"/>
    <n v="0"/>
    <n v="0"/>
    <n v="0"/>
    <n v="0"/>
    <n v="0"/>
    <n v="0"/>
    <n v="0"/>
    <s v="0-10%"/>
    <n v="0"/>
    <n v="0"/>
    <s v="yes"/>
    <n v="6.2759999999999998"/>
    <n v="0"/>
    <n v="0"/>
    <n v="0"/>
    <n v="0"/>
    <m/>
    <n v="0"/>
    <n v="10"/>
    <n v="6"/>
    <x v="1"/>
    <n v="3.8240917782026769E-2"/>
    <n v="60"/>
    <n v="3.8240917782026769E-2"/>
    <n v="60"/>
    <n v="0"/>
    <n v="0"/>
    <x v="0"/>
    <n v="0.04"/>
    <n v="62.76"/>
    <s v="n/a"/>
    <s v="n/a"/>
    <s v="n/a"/>
    <s v="n/a"/>
    <s v="n/a"/>
    <s v="n/a"/>
    <s v="n/a"/>
    <s v="n/a"/>
    <s v="n/a"/>
    <s v="n/a"/>
    <s v="n/a"/>
    <s v="n/a"/>
    <s v="Need to update school database for total needs coverage"/>
    <s v="n/a"/>
    <m/>
    <m/>
    <s v="n/a"/>
    <m/>
    <m/>
    <s v="n/a"/>
    <s v="n/a"/>
    <s v="n/a"/>
    <x v="0"/>
    <s v="OGB December distribution"/>
    <m/>
    <n v="0"/>
    <n v="2"/>
    <s v="Average coverage"/>
    <x v="4"/>
    <x v="0"/>
    <x v="4"/>
    <x v="3"/>
    <m/>
  </r>
  <r>
    <x v="2"/>
    <m/>
    <m/>
    <s v="MMR012CMP027"/>
    <x v="84"/>
    <n v="93.014089999999996"/>
    <n v="20.713259999999998"/>
    <x v="0"/>
    <x v="0"/>
    <x v="3"/>
    <n v="116"/>
    <n v="707"/>
    <n v="707"/>
    <m/>
    <x v="2"/>
    <x v="3"/>
    <s v="UNHCR"/>
    <x v="2"/>
    <x v="0"/>
    <d v="2016-02-28T00:00:00"/>
    <m/>
    <x v="0"/>
    <n v="0"/>
    <n v="0"/>
    <s v="No"/>
    <n v="0"/>
    <n v="0"/>
    <n v="0"/>
    <n v="2"/>
    <m/>
    <n v="0"/>
    <n v="0"/>
    <n v="0"/>
    <n v="0"/>
    <n v="0"/>
    <n v="0"/>
    <n v="0"/>
    <n v="0"/>
    <s v="0-10%"/>
    <n v="0"/>
    <n v="0"/>
    <s v="yes"/>
    <n v="2.8279999999999998"/>
    <n v="0"/>
    <n v="0"/>
    <n v="0"/>
    <n v="0"/>
    <m/>
    <n v="0"/>
    <n v="22"/>
    <n v="6"/>
    <x v="1"/>
    <n v="0.18670438472418671"/>
    <n v="132"/>
    <n v="0.18670438472418671"/>
    <n v="132"/>
    <n v="0"/>
    <n v="0"/>
    <x v="2"/>
    <n v="0.8"/>
    <n v="565.6"/>
    <s v="n/a"/>
    <s v="n/a"/>
    <s v="n/a"/>
    <s v="n/a"/>
    <s v="n/a"/>
    <s v="n/a"/>
    <s v="n/a"/>
    <s v="n/a"/>
    <s v="n/a"/>
    <s v="n/a"/>
    <s v="n/a"/>
    <s v="n/a"/>
    <s v="Need to update school database for total needs coverage"/>
    <d v="2014-05-19T00:00:00"/>
    <m/>
    <m/>
    <s v="n/a"/>
    <n v="116"/>
    <n v="3"/>
    <s v="n/a"/>
    <s v="n/a"/>
    <s v="n/a"/>
    <x v="0"/>
    <s v="OGB December distribution"/>
    <n v="0"/>
    <n v="0"/>
    <n v="2"/>
    <s v="Excellent coverage"/>
    <x v="4"/>
    <x v="0"/>
    <x v="4"/>
    <x v="3"/>
    <m/>
  </r>
  <r>
    <x v="2"/>
    <m/>
    <m/>
    <n v="196883"/>
    <x v="85"/>
    <n v="92.929500000000004"/>
    <n v="20.8035"/>
    <x v="0"/>
    <x v="5"/>
    <x v="1"/>
    <n v="0"/>
    <n v="0"/>
    <n v="335"/>
    <m/>
    <x v="0"/>
    <x v="4"/>
    <m/>
    <x v="3"/>
    <x v="1"/>
    <m/>
    <m/>
    <x v="0"/>
    <n v="0"/>
    <n v="0"/>
    <s v="No"/>
    <n v="0"/>
    <n v="0"/>
    <n v="0"/>
    <n v="3"/>
    <m/>
    <n v="0"/>
    <n v="0"/>
    <n v="0"/>
    <n v="0"/>
    <n v="0"/>
    <n v="0"/>
    <n v="0"/>
    <n v="0"/>
    <s v="0-10%"/>
    <n v="0"/>
    <n v="0"/>
    <s v="yes"/>
    <n v="1.34"/>
    <n v="0"/>
    <n v="0"/>
    <n v="0"/>
    <n v="0"/>
    <m/>
    <n v="0"/>
    <n v="10"/>
    <n v="6"/>
    <x v="1"/>
    <n v="0.17910447761194029"/>
    <n v="60"/>
    <n v="0.17910447761194029"/>
    <n v="60"/>
    <n v="0"/>
    <n v="0"/>
    <x v="2"/>
    <n v="0.18"/>
    <n v="60.3"/>
    <s v="n/a"/>
    <s v="n/a"/>
    <s v="n/a"/>
    <s v="n/a"/>
    <s v="n/a"/>
    <s v="n/a"/>
    <s v="n/a"/>
    <s v="n/a"/>
    <s v="n/a"/>
    <s v="n/a"/>
    <s v="n/a"/>
    <s v="n/a"/>
    <s v="Need to update school database for total needs coverage"/>
    <s v="n/a"/>
    <m/>
    <m/>
    <s v="n/a"/>
    <m/>
    <m/>
    <s v="n/a"/>
    <s v="n/a"/>
    <s v="n/a"/>
    <x v="0"/>
    <m/>
    <m/>
    <n v="0"/>
    <n v="2"/>
    <s v="Excellent coverage"/>
    <x v="4"/>
    <x v="0"/>
    <x v="4"/>
    <x v="3"/>
    <s v="this village is no longer targeted "/>
  </r>
  <r>
    <x v="2"/>
    <m/>
    <m/>
    <s v="MMR012CMP026"/>
    <x v="86"/>
    <n v="93.009900000000002"/>
    <n v="20.696819999999999"/>
    <x v="0"/>
    <x v="0"/>
    <x v="3"/>
    <n v="236"/>
    <n v="1524"/>
    <n v="1524"/>
    <m/>
    <x v="1"/>
    <x v="3"/>
    <s v="UNHCR"/>
    <x v="2"/>
    <x v="0"/>
    <d v="2016-02-28T00:00:00"/>
    <m/>
    <x v="0"/>
    <n v="0"/>
    <n v="0"/>
    <s v="No"/>
    <n v="0"/>
    <n v="0"/>
    <n v="0"/>
    <n v="3"/>
    <m/>
    <n v="0"/>
    <n v="0"/>
    <n v="0"/>
    <n v="0"/>
    <n v="0"/>
    <n v="0"/>
    <n v="0"/>
    <n v="0"/>
    <s v="0-10%"/>
    <n v="0"/>
    <n v="0"/>
    <s v="yes"/>
    <n v="6.0960000000000001"/>
    <n v="0"/>
    <n v="0"/>
    <n v="0"/>
    <n v="0"/>
    <m/>
    <n v="0"/>
    <n v="37"/>
    <n v="6"/>
    <x v="1"/>
    <n v="0.14566929133858267"/>
    <n v="222"/>
    <n v="0.14566929133858267"/>
    <n v="222"/>
    <n v="0"/>
    <n v="0"/>
    <x v="2"/>
    <n v="0.8"/>
    <n v="1219.2"/>
    <s v="n/a"/>
    <s v="n/a"/>
    <s v="n/a"/>
    <s v="n/a"/>
    <s v="n/a"/>
    <s v="n/a"/>
    <s v="n/a"/>
    <s v="n/a"/>
    <s v="n/a"/>
    <s v="n/a"/>
    <s v="n/a"/>
    <s v="n/a"/>
    <s v="Need to update school database for total needs coverage"/>
    <d v="2013-12-13T00:00:00"/>
    <m/>
    <m/>
    <s v="n/a"/>
    <n v="460"/>
    <n v="3"/>
    <s v="n/a"/>
    <s v="n/a"/>
    <s v="n/a"/>
    <x v="0"/>
    <s v="OGB December distribution"/>
    <n v="0"/>
    <n v="0"/>
    <n v="2"/>
    <s v="Good coverage"/>
    <x v="4"/>
    <x v="0"/>
    <x v="4"/>
    <x v="3"/>
    <m/>
  </r>
  <r>
    <x v="2"/>
    <m/>
    <m/>
    <s v="MMR012CMP030"/>
    <x v="87"/>
    <n v="93.006497999999993"/>
    <n v="20.886997999999998"/>
    <x v="0"/>
    <x v="0"/>
    <x v="3"/>
    <n v="97"/>
    <n v="576"/>
    <n v="2564"/>
    <m/>
    <x v="1"/>
    <x v="3"/>
    <s v="UNHCR"/>
    <x v="2"/>
    <x v="0"/>
    <d v="2016-02-28T00:00:00"/>
    <m/>
    <x v="0"/>
    <n v="0"/>
    <n v="0"/>
    <s v="No"/>
    <n v="0"/>
    <n v="0"/>
    <n v="0"/>
    <n v="6"/>
    <m/>
    <n v="0"/>
    <n v="0"/>
    <n v="0"/>
    <n v="0"/>
    <n v="0"/>
    <n v="0"/>
    <n v="0"/>
    <n v="0"/>
    <s v="0-10%"/>
    <n v="0"/>
    <n v="0"/>
    <s v="yes"/>
    <n v="10.256"/>
    <n v="0"/>
    <n v="0"/>
    <n v="0"/>
    <n v="0"/>
    <m/>
    <n v="0"/>
    <n v="100"/>
    <n v="6"/>
    <x v="1"/>
    <n v="0.23400936037441497"/>
    <n v="600"/>
    <n v="0.23400936037441497"/>
    <n v="600"/>
    <n v="0"/>
    <n v="0"/>
    <x v="2"/>
    <n v="0.81"/>
    <n v="2076.84"/>
    <s v="n/a"/>
    <s v="n/a"/>
    <s v="n/a"/>
    <s v="n/a"/>
    <s v="n/a"/>
    <s v="n/a"/>
    <s v="n/a"/>
    <s v="n/a"/>
    <s v="n/a"/>
    <s v="n/a"/>
    <s v="n/a"/>
    <s v="n/a"/>
    <s v="Need to update school database for total needs coverage"/>
    <d v="2013-12-13T00:00:00"/>
    <m/>
    <m/>
    <s v="n/a"/>
    <n v="97"/>
    <n v="3"/>
    <s v="n/a"/>
    <s v="n/a"/>
    <s v="n/a"/>
    <x v="0"/>
    <s v="OGB December distrbibution"/>
    <n v="0"/>
    <n v="0"/>
    <n v="2"/>
    <s v="Low coverage"/>
    <x v="4"/>
    <x v="0"/>
    <x v="4"/>
    <x v="3"/>
    <m/>
  </r>
  <r>
    <x v="2"/>
    <m/>
    <m/>
    <n v="196849"/>
    <x v="73"/>
    <n v="93.048199999999994"/>
    <n v="20.8657"/>
    <x v="0"/>
    <x v="2"/>
    <x v="1"/>
    <n v="0"/>
    <n v="0"/>
    <n v="945"/>
    <m/>
    <x v="2"/>
    <x v="4"/>
    <m/>
    <x v="3"/>
    <x v="1"/>
    <m/>
    <m/>
    <x v="0"/>
    <n v="0"/>
    <n v="0"/>
    <s v="No"/>
    <n v="0"/>
    <n v="0"/>
    <n v="0"/>
    <n v="2"/>
    <m/>
    <n v="0"/>
    <n v="0"/>
    <n v="0"/>
    <n v="0"/>
    <n v="0"/>
    <n v="0"/>
    <n v="0"/>
    <n v="0"/>
    <s v="0-10%"/>
    <n v="0"/>
    <n v="0"/>
    <s v="yes"/>
    <n v="3.78"/>
    <n v="0"/>
    <n v="0"/>
    <n v="0"/>
    <n v="0"/>
    <m/>
    <n v="0"/>
    <n v="15"/>
    <n v="6"/>
    <x v="1"/>
    <n v="9.5238095238095233E-2"/>
    <n v="90"/>
    <n v="9.5238095238095233E-2"/>
    <n v="90"/>
    <n v="0"/>
    <n v="0"/>
    <x v="2"/>
    <n v="0.1"/>
    <n v="94.5"/>
    <s v="n/a"/>
    <s v="n/a"/>
    <s v="n/a"/>
    <s v="n/a"/>
    <s v="n/a"/>
    <s v="n/a"/>
    <s v="n/a"/>
    <s v="n/a"/>
    <s v="n/a"/>
    <s v="n/a"/>
    <s v="n/a"/>
    <s v="n/a"/>
    <s v="Need to update school database for total needs coverage"/>
    <s v="n/a"/>
    <m/>
    <m/>
    <s v="n/a"/>
    <m/>
    <m/>
    <s v="n/a"/>
    <s v="n/a"/>
    <s v="n/a"/>
    <x v="0"/>
    <m/>
    <m/>
    <n v="0"/>
    <n v="2"/>
    <s v="Excellent coverage"/>
    <x v="4"/>
    <x v="0"/>
    <x v="4"/>
    <x v="3"/>
    <s v="this village is no longer targeted "/>
  </r>
  <r>
    <x v="2"/>
    <m/>
    <m/>
    <n v="196926"/>
    <x v="88"/>
    <n v="92.945400000000006"/>
    <n v="20.6448"/>
    <x v="0"/>
    <x v="2"/>
    <x v="1"/>
    <n v="0"/>
    <n v="0"/>
    <n v="409"/>
    <m/>
    <x v="0"/>
    <x v="4"/>
    <m/>
    <x v="3"/>
    <x v="1"/>
    <m/>
    <m/>
    <x v="0"/>
    <n v="0"/>
    <n v="0"/>
    <s v="No"/>
    <n v="0"/>
    <n v="0"/>
    <n v="0"/>
    <n v="3"/>
    <m/>
    <n v="0"/>
    <n v="0"/>
    <n v="0"/>
    <n v="0"/>
    <n v="0"/>
    <n v="0"/>
    <n v="0"/>
    <n v="0"/>
    <s v="0-10%"/>
    <n v="0"/>
    <n v="0"/>
    <s v="yes"/>
    <n v="1.6359999999999999"/>
    <n v="0"/>
    <n v="0"/>
    <n v="0"/>
    <n v="0"/>
    <m/>
    <n v="0"/>
    <n v="0"/>
    <n v="6"/>
    <x v="1"/>
    <n v="0"/>
    <n v="0"/>
    <n v="0"/>
    <n v="0"/>
    <n v="0"/>
    <n v="0"/>
    <x v="0"/>
    <n v="0"/>
    <n v="0"/>
    <s v="n/a"/>
    <s v="n/a"/>
    <s v="n/a"/>
    <s v="n/a"/>
    <s v="n/a"/>
    <s v="n/a"/>
    <s v="n/a"/>
    <s v="n/a"/>
    <s v="n/a"/>
    <s v="n/a"/>
    <s v="n/a"/>
    <s v="n/a"/>
    <s v="Need to update school database for total needs coverage"/>
    <s v="n/a"/>
    <m/>
    <m/>
    <s v="n/a"/>
    <m/>
    <m/>
    <s v="n/a"/>
    <s v="n/a"/>
    <s v="n/a"/>
    <x v="0"/>
    <m/>
    <m/>
    <n v="0"/>
    <n v="2"/>
    <s v="Excellent coverage"/>
    <x v="4"/>
    <x v="0"/>
    <x v="4"/>
    <x v="3"/>
    <s v="this village is no longer targeted "/>
  </r>
  <r>
    <x v="2"/>
    <m/>
    <m/>
    <s v="MMR012CMP020"/>
    <x v="89"/>
    <n v="92.982675999999998"/>
    <n v="20.805734000000001"/>
    <x v="0"/>
    <x v="0"/>
    <x v="3"/>
    <n v="18"/>
    <n v="157"/>
    <n v="2377"/>
    <m/>
    <x v="1"/>
    <x v="3"/>
    <s v="UNHCR"/>
    <x v="2"/>
    <x v="0"/>
    <d v="2016-02-28T00:00:00"/>
    <m/>
    <x v="0"/>
    <n v="0"/>
    <n v="0"/>
    <s v="No"/>
    <n v="0"/>
    <n v="0"/>
    <n v="0"/>
    <n v="4"/>
    <m/>
    <n v="0"/>
    <n v="0"/>
    <n v="0"/>
    <n v="0"/>
    <n v="0"/>
    <n v="0"/>
    <n v="0"/>
    <n v="0"/>
    <s v="0-10%"/>
    <n v="0"/>
    <n v="0"/>
    <s v="yes"/>
    <n v="9.5079999999999991"/>
    <n v="0"/>
    <n v="0"/>
    <n v="0"/>
    <n v="0"/>
    <m/>
    <n v="0"/>
    <n v="25"/>
    <n v="6"/>
    <x v="1"/>
    <n v="6.3104753891459822E-2"/>
    <n v="150"/>
    <n v="6.3104753891459822E-2"/>
    <n v="150"/>
    <n v="0"/>
    <n v="0"/>
    <x v="2"/>
    <n v="0.8"/>
    <n v="1901.6000000000001"/>
    <s v="n/a"/>
    <s v="n/a"/>
    <s v="n/a"/>
    <s v="n/a"/>
    <s v="n/a"/>
    <s v="n/a"/>
    <s v="n/a"/>
    <s v="n/a"/>
    <s v="n/a"/>
    <s v="n/a"/>
    <s v="n/a"/>
    <s v="n/a"/>
    <s v="Need to update school database for total needs coverage"/>
    <d v="2014-05-19T00:00:00"/>
    <m/>
    <m/>
    <s v="n/a"/>
    <n v="18"/>
    <n v="3"/>
    <s v="n/a"/>
    <s v="n/a"/>
    <s v="n/a"/>
    <x v="0"/>
    <s v="OGB December distrbibution"/>
    <n v="0"/>
    <n v="0"/>
    <n v="2"/>
    <s v="Low coverage"/>
    <x v="4"/>
    <x v="0"/>
    <x v="4"/>
    <x v="3"/>
    <m/>
  </r>
  <r>
    <x v="2"/>
    <m/>
    <m/>
    <s v="MMR012CMP023"/>
    <x v="90"/>
    <n v="92.965980999999999"/>
    <n v="20.865687000000001"/>
    <x v="0"/>
    <x v="0"/>
    <x v="4"/>
    <n v="85"/>
    <n v="576"/>
    <n v="2212"/>
    <m/>
    <x v="1"/>
    <x v="3"/>
    <s v="UNHCR"/>
    <x v="2"/>
    <x v="0"/>
    <d v="2016-02-28T00:00:00"/>
    <m/>
    <x v="0"/>
    <n v="0"/>
    <n v="0"/>
    <s v="No"/>
    <n v="0"/>
    <n v="0"/>
    <n v="0"/>
    <n v="6"/>
    <m/>
    <n v="0"/>
    <n v="0"/>
    <n v="0"/>
    <n v="0"/>
    <n v="0"/>
    <n v="0"/>
    <n v="0"/>
    <n v="0"/>
    <s v="0-10%"/>
    <n v="0"/>
    <n v="0"/>
    <s v="yes"/>
    <n v="8.8480000000000008"/>
    <n v="0"/>
    <n v="0"/>
    <n v="0"/>
    <n v="0"/>
    <m/>
    <n v="9"/>
    <n v="42"/>
    <n v="6"/>
    <x v="0"/>
    <n v="0.11392405063291139"/>
    <n v="252"/>
    <n v="0.11392405063291139"/>
    <n v="252"/>
    <n v="0"/>
    <n v="0"/>
    <x v="2"/>
    <n v="1"/>
    <n v="2212"/>
    <s v="n/a"/>
    <s v="n/a"/>
    <s v="n/a"/>
    <s v="n/a"/>
    <s v="n/a"/>
    <s v="n/a"/>
    <s v="n/a"/>
    <s v="n/a"/>
    <s v="n/a"/>
    <s v="n/a"/>
    <s v="n/a"/>
    <s v="n/a"/>
    <s v="Need to update school database for total needs coverage"/>
    <d v="2014-05-19T00:00:00"/>
    <m/>
    <m/>
    <s v="n/a"/>
    <n v="83"/>
    <n v="3"/>
    <s v="n/a"/>
    <s v="n/a"/>
    <s v="n/a"/>
    <x v="0"/>
    <s v="OGB December distribution"/>
    <n v="0"/>
    <n v="0"/>
    <n v="2"/>
    <s v="Low coverage"/>
    <x v="4"/>
    <x v="0"/>
    <x v="4"/>
    <x v="3"/>
    <m/>
  </r>
  <r>
    <x v="2"/>
    <m/>
    <m/>
    <n v="196759"/>
    <x v="91"/>
    <n v="92.983889000000005"/>
    <n v="20.901439"/>
    <x v="0"/>
    <x v="5"/>
    <x v="1"/>
    <n v="0"/>
    <n v="0"/>
    <n v="121"/>
    <m/>
    <x v="0"/>
    <x v="4"/>
    <m/>
    <x v="3"/>
    <x v="1"/>
    <m/>
    <m/>
    <x v="0"/>
    <n v="0"/>
    <n v="0"/>
    <s v="No"/>
    <n v="0"/>
    <n v="0"/>
    <n v="0"/>
    <n v="2"/>
    <m/>
    <n v="0"/>
    <n v="0"/>
    <n v="0"/>
    <n v="0"/>
    <n v="0"/>
    <n v="0"/>
    <n v="0"/>
    <n v="0"/>
    <s v="0-10%"/>
    <n v="0"/>
    <n v="0"/>
    <s v="yes"/>
    <n v="0.48399999999999999"/>
    <n v="0"/>
    <n v="0"/>
    <n v="0"/>
    <n v="0"/>
    <m/>
    <n v="0"/>
    <n v="0"/>
    <n v="6"/>
    <x v="1"/>
    <n v="0"/>
    <n v="0"/>
    <n v="0"/>
    <n v="0"/>
    <n v="0"/>
    <n v="0"/>
    <x v="2"/>
    <n v="0"/>
    <n v="0"/>
    <s v="n/a"/>
    <s v="n/a"/>
    <s v="n/a"/>
    <s v="n/a"/>
    <s v="n/a"/>
    <s v="n/a"/>
    <s v="n/a"/>
    <s v="n/a"/>
    <s v="n/a"/>
    <s v="n/a"/>
    <s v="n/a"/>
    <s v="n/a"/>
    <s v="Need to update school database for total needs coverage"/>
    <s v="n/a"/>
    <m/>
    <m/>
    <s v="n/a"/>
    <m/>
    <m/>
    <s v="n/a"/>
    <s v="n/a"/>
    <s v="n/a"/>
    <x v="0"/>
    <m/>
    <m/>
    <n v="0"/>
    <n v="2"/>
    <s v="Excellent coverage"/>
    <x v="4"/>
    <x v="0"/>
    <x v="4"/>
    <x v="3"/>
    <s v="this village is no longer targeted "/>
  </r>
  <r>
    <x v="2"/>
    <m/>
    <m/>
    <s v="MMR012CMP029"/>
    <x v="92"/>
    <n v="92.987399999999994"/>
    <n v="20.78332"/>
    <x v="0"/>
    <x v="0"/>
    <x v="3"/>
    <n v="144"/>
    <n v="1028"/>
    <n v="1028"/>
    <m/>
    <x v="1"/>
    <x v="3"/>
    <s v="UNHCR"/>
    <x v="2"/>
    <x v="0"/>
    <d v="2016-02-28T00:00:00"/>
    <m/>
    <x v="0"/>
    <n v="0"/>
    <n v="0"/>
    <s v="No"/>
    <n v="0"/>
    <n v="0"/>
    <n v="0"/>
    <n v="2"/>
    <m/>
    <n v="0"/>
    <n v="0"/>
    <n v="0"/>
    <n v="0"/>
    <n v="0"/>
    <n v="0"/>
    <n v="0"/>
    <n v="0"/>
    <s v="0-10%"/>
    <n v="0"/>
    <n v="0"/>
    <s v="yes"/>
    <n v="4.1120000000000001"/>
    <n v="0"/>
    <n v="0"/>
    <n v="0"/>
    <n v="0"/>
    <m/>
    <n v="0"/>
    <n v="21"/>
    <n v="6"/>
    <x v="1"/>
    <n v="0.122568093385214"/>
    <n v="126"/>
    <n v="0.122568093385214"/>
    <n v="126"/>
    <n v="0"/>
    <n v="0"/>
    <x v="2"/>
    <n v="1"/>
    <n v="1028"/>
    <s v="n/a"/>
    <s v="n/a"/>
    <s v="n/a"/>
    <s v="n/a"/>
    <s v="n/a"/>
    <s v="n/a"/>
    <s v="n/a"/>
    <s v="n/a"/>
    <s v="n/a"/>
    <s v="n/a"/>
    <s v="n/a"/>
    <s v="n/a"/>
    <s v="Need to update school database for total needs coverage"/>
    <d v="2014-05-19T00:00:00"/>
    <m/>
    <m/>
    <s v="n/a"/>
    <n v="145"/>
    <n v="3"/>
    <s v="n/a"/>
    <s v="n/a"/>
    <s v="n/a"/>
    <x v="0"/>
    <s v="OGB December distribution"/>
    <n v="0"/>
    <n v="0"/>
    <n v="2"/>
    <s v="Good coverage"/>
    <x v="4"/>
    <x v="0"/>
    <x v="4"/>
    <x v="3"/>
    <m/>
  </r>
  <r>
    <x v="2"/>
    <m/>
    <m/>
    <n v="196869"/>
    <x v="93"/>
    <n v="92.986599999999996"/>
    <n v="20.785699999999999"/>
    <x v="0"/>
    <x v="2"/>
    <x v="1"/>
    <n v="0"/>
    <n v="0"/>
    <n v="1"/>
    <m/>
    <x v="0"/>
    <x v="3"/>
    <m/>
    <x v="2"/>
    <x v="0"/>
    <d v="2016-02-28T00:00:00"/>
    <m/>
    <x v="0"/>
    <n v="0"/>
    <n v="0"/>
    <s v="No"/>
    <n v="0"/>
    <n v="0"/>
    <n v="0"/>
    <n v="1"/>
    <m/>
    <n v="0"/>
    <n v="0"/>
    <n v="0"/>
    <n v="0"/>
    <n v="0"/>
    <n v="0"/>
    <n v="0"/>
    <n v="0"/>
    <s v="0-10%"/>
    <n v="0"/>
    <n v="0"/>
    <s v="yes"/>
    <n v="4.0000000000000001E-3"/>
    <n v="0"/>
    <n v="0"/>
    <n v="0"/>
    <n v="0"/>
    <m/>
    <n v="0"/>
    <n v="10"/>
    <n v="6"/>
    <x v="1"/>
    <n v="1"/>
    <n v="1"/>
    <n v="1"/>
    <n v="1"/>
    <n v="0"/>
    <n v="0"/>
    <x v="0"/>
    <n v="1"/>
    <n v="1"/>
    <s v="n/a"/>
    <s v="n/a"/>
    <s v="n/a"/>
    <s v="n/a"/>
    <s v="n/a"/>
    <s v="n/a"/>
    <s v="n/a"/>
    <s v="n/a"/>
    <s v="n/a"/>
    <s v="n/a"/>
    <s v="n/a"/>
    <s v="n/a"/>
    <s v="Need to update school database for total needs coverage"/>
    <s v="n/a"/>
    <m/>
    <m/>
    <s v="n/a"/>
    <m/>
    <m/>
    <s v="n/a"/>
    <s v="n/a"/>
    <s v="n/a"/>
    <x v="0"/>
    <m/>
    <m/>
    <n v="0"/>
    <n v="2"/>
    <s v="Excellent coverage"/>
    <x v="4"/>
    <x v="0"/>
    <x v="4"/>
    <x v="3"/>
    <m/>
  </r>
  <r>
    <x v="2"/>
    <m/>
    <m/>
    <s v="MMR012CMP021"/>
    <x v="94"/>
    <n v="93.000815000000003"/>
    <n v="20.929649000000001"/>
    <x v="0"/>
    <x v="0"/>
    <x v="3"/>
    <n v="62"/>
    <n v="414"/>
    <n v="700"/>
    <s v="Moderately affected"/>
    <x v="2"/>
    <x v="2"/>
    <s v="UNHCR"/>
    <x v="3"/>
    <x v="1"/>
    <m/>
    <m/>
    <x v="1"/>
    <n v="0"/>
    <n v="0"/>
    <s v="No"/>
    <n v="0"/>
    <n v="0"/>
    <n v="0"/>
    <n v="2"/>
    <m/>
    <n v="0"/>
    <n v="0"/>
    <n v="0"/>
    <n v="0"/>
    <n v="0"/>
    <n v="0"/>
    <n v="0"/>
    <n v="0"/>
    <s v="0-10%"/>
    <n v="0"/>
    <n v="0"/>
    <s v="yes"/>
    <n v="2.8"/>
    <n v="0"/>
    <n v="0"/>
    <n v="0"/>
    <n v="0"/>
    <m/>
    <n v="4"/>
    <n v="0"/>
    <n v="6"/>
    <x v="2"/>
    <n v="0"/>
    <n v="0"/>
    <n v="0"/>
    <n v="0"/>
    <n v="0"/>
    <n v="0"/>
    <x v="0"/>
    <n v="0"/>
    <n v="0"/>
    <s v="n/a"/>
    <s v="n/a"/>
    <s v="n/a"/>
    <s v="n/a"/>
    <s v="n/a"/>
    <s v="n/a"/>
    <s v="n/a"/>
    <s v="n/a"/>
    <s v="n/a"/>
    <s v="n/a"/>
    <s v="n/a"/>
    <s v="n/a"/>
    <s v="community latrines"/>
    <s v="n/a"/>
    <m/>
    <m/>
    <s v="n/a"/>
    <m/>
    <m/>
    <s v="n/a"/>
    <s v="n/a"/>
    <s v="n/a"/>
    <x v="0"/>
    <m/>
    <m/>
    <n v="0"/>
    <m/>
    <s v="No coverage"/>
    <x v="3"/>
    <x v="2"/>
    <x v="3"/>
    <x v="2"/>
    <m/>
  </r>
  <r>
    <x v="2"/>
    <m/>
    <m/>
    <n v="196873"/>
    <x v="95"/>
    <n v="92.982200000000006"/>
    <n v="20.8064"/>
    <x v="0"/>
    <x v="2"/>
    <x v="1"/>
    <n v="0"/>
    <n v="0"/>
    <n v="968"/>
    <m/>
    <x v="2"/>
    <x v="3"/>
    <m/>
    <x v="2"/>
    <x v="0"/>
    <d v="2016-02-28T00:00:00"/>
    <m/>
    <x v="0"/>
    <n v="0"/>
    <n v="0"/>
    <s v="No"/>
    <n v="0"/>
    <n v="0"/>
    <n v="0"/>
    <n v="1"/>
    <m/>
    <n v="0"/>
    <n v="0"/>
    <n v="0"/>
    <n v="0"/>
    <n v="0"/>
    <n v="0"/>
    <n v="0"/>
    <n v="0"/>
    <s v="0-10%"/>
    <n v="0"/>
    <n v="0"/>
    <s v="yes"/>
    <n v="3.8719999999999999"/>
    <n v="0"/>
    <n v="0"/>
    <n v="0"/>
    <n v="0"/>
    <m/>
    <n v="0"/>
    <n v="10"/>
    <n v="6"/>
    <x v="1"/>
    <n v="6.1983471074380167E-2"/>
    <n v="60"/>
    <n v="6.1983471074380167E-2"/>
    <n v="60"/>
    <n v="0"/>
    <n v="0"/>
    <x v="2"/>
    <n v="1"/>
    <n v="968"/>
    <s v="n/a"/>
    <s v="n/a"/>
    <s v="n/a"/>
    <s v="n/a"/>
    <s v="n/a"/>
    <s v="n/a"/>
    <s v="n/a"/>
    <s v="n/a"/>
    <s v="n/a"/>
    <s v="n/a"/>
    <s v="n/a"/>
    <s v="n/a"/>
    <s v="Need to update school database for total needs coverage"/>
    <s v="n/a"/>
    <m/>
    <m/>
    <s v="n/a"/>
    <m/>
    <m/>
    <s v="n/a"/>
    <s v="n/a"/>
    <s v="n/a"/>
    <x v="0"/>
    <m/>
    <m/>
    <n v="0"/>
    <n v="2"/>
    <s v="Excellent coverage"/>
    <x v="4"/>
    <x v="0"/>
    <x v="4"/>
    <x v="3"/>
    <m/>
  </r>
  <r>
    <x v="2"/>
    <m/>
    <m/>
    <n v="196767"/>
    <x v="96"/>
    <n v="92.980999999999995"/>
    <n v="21.006900000000002"/>
    <x v="0"/>
    <x v="2"/>
    <x v="1"/>
    <n v="0"/>
    <n v="0"/>
    <n v="776"/>
    <m/>
    <x v="2"/>
    <x v="4"/>
    <m/>
    <x v="3"/>
    <x v="1"/>
    <m/>
    <m/>
    <x v="0"/>
    <n v="0"/>
    <n v="0"/>
    <s v="No"/>
    <n v="0"/>
    <n v="0"/>
    <n v="0"/>
    <n v="3"/>
    <m/>
    <n v="0"/>
    <n v="0"/>
    <n v="0"/>
    <n v="0"/>
    <n v="0"/>
    <n v="0"/>
    <n v="0"/>
    <n v="0"/>
    <s v="0-10%"/>
    <n v="0"/>
    <n v="0"/>
    <s v="yes"/>
    <n v="3.1040000000000001"/>
    <n v="0"/>
    <n v="0"/>
    <n v="0"/>
    <n v="0"/>
    <m/>
    <n v="0"/>
    <n v="10"/>
    <n v="6"/>
    <x v="1"/>
    <n v="7.7319587628865982E-2"/>
    <n v="60"/>
    <n v="7.7319587628865982E-2"/>
    <n v="60"/>
    <n v="0"/>
    <n v="0"/>
    <x v="2"/>
    <n v="0.08"/>
    <n v="62.08"/>
    <s v="n/a"/>
    <s v="n/a"/>
    <s v="n/a"/>
    <s v="n/a"/>
    <s v="n/a"/>
    <s v="n/a"/>
    <s v="n/a"/>
    <s v="n/a"/>
    <s v="n/a"/>
    <s v="n/a"/>
    <s v="n/a"/>
    <s v="n/a"/>
    <s v="Need to update school database for total needs coverage"/>
    <s v="n/a"/>
    <m/>
    <m/>
    <s v="n/a"/>
    <m/>
    <m/>
    <s v="n/a"/>
    <s v="n/a"/>
    <s v="n/a"/>
    <x v="0"/>
    <m/>
    <m/>
    <n v="0"/>
    <n v="2"/>
    <s v="Excellent coverage"/>
    <x v="4"/>
    <x v="0"/>
    <x v="4"/>
    <x v="3"/>
    <s v="this village is no longer targeted"/>
  </r>
  <r>
    <x v="2"/>
    <m/>
    <m/>
    <n v="196950"/>
    <x v="97"/>
    <n v="92.937299999999993"/>
    <n v="20.720500000000001"/>
    <x v="0"/>
    <x v="5"/>
    <x v="1"/>
    <n v="0"/>
    <n v="0"/>
    <n v="442"/>
    <m/>
    <x v="0"/>
    <x v="4"/>
    <m/>
    <x v="3"/>
    <x v="1"/>
    <m/>
    <m/>
    <x v="0"/>
    <n v="0"/>
    <n v="0"/>
    <s v="No"/>
    <n v="0"/>
    <n v="0"/>
    <n v="0"/>
    <n v="4"/>
    <m/>
    <n v="0"/>
    <n v="0"/>
    <n v="0"/>
    <n v="0"/>
    <n v="0"/>
    <n v="0"/>
    <n v="0"/>
    <n v="0"/>
    <s v="0-10%"/>
    <n v="0"/>
    <n v="0"/>
    <s v="yes"/>
    <n v="1.768"/>
    <n v="0"/>
    <n v="0"/>
    <n v="0"/>
    <n v="0"/>
    <m/>
    <n v="0"/>
    <n v="2"/>
    <n v="6"/>
    <x v="1"/>
    <n v="2.7149321266968326E-2"/>
    <n v="12"/>
    <n v="2.7149321266968326E-2"/>
    <n v="12"/>
    <n v="0"/>
    <n v="0"/>
    <x v="2"/>
    <n v="0.03"/>
    <n v="13.26"/>
    <s v="n/a"/>
    <s v="n/a"/>
    <s v="n/a"/>
    <s v="n/a"/>
    <s v="n/a"/>
    <s v="n/a"/>
    <s v="n/a"/>
    <s v="n/a"/>
    <s v="n/a"/>
    <s v="n/a"/>
    <s v="n/a"/>
    <s v="n/a"/>
    <s v="Need to update school database for total needs coverage"/>
    <s v="n/a"/>
    <m/>
    <m/>
    <s v="n/a"/>
    <m/>
    <m/>
    <s v="n/a"/>
    <s v="n/a"/>
    <s v="n/a"/>
    <x v="0"/>
    <m/>
    <m/>
    <n v="0"/>
    <n v="2"/>
    <s v="Excellent coverage"/>
    <x v="4"/>
    <x v="0"/>
    <x v="4"/>
    <x v="3"/>
    <s v="this village is no longer targeted"/>
  </r>
  <r>
    <x v="2"/>
    <m/>
    <m/>
    <s v="MMR012CMP037"/>
    <x v="98"/>
    <n v="93.857592999999994"/>
    <n v="19.088283000000001"/>
    <x v="0"/>
    <x v="2"/>
    <x v="1"/>
    <n v="0"/>
    <n v="0"/>
    <n v="1"/>
    <m/>
    <x v="0"/>
    <x v="4"/>
    <m/>
    <x v="3"/>
    <x v="1"/>
    <m/>
    <m/>
    <x v="0"/>
    <n v="0"/>
    <n v="0"/>
    <s v="No"/>
    <n v="0"/>
    <n v="0"/>
    <n v="0"/>
    <n v="1"/>
    <m/>
    <n v="0"/>
    <n v="0"/>
    <n v="0"/>
    <n v="0"/>
    <n v="0"/>
    <n v="0"/>
    <n v="0"/>
    <n v="0"/>
    <s v="0-10%"/>
    <n v="0"/>
    <n v="0"/>
    <s v="yes"/>
    <n v="4.0000000000000001E-3"/>
    <n v="0"/>
    <n v="0"/>
    <n v="0"/>
    <n v="0"/>
    <m/>
    <n v="0"/>
    <n v="0"/>
    <n v="6"/>
    <x v="1"/>
    <n v="0"/>
    <n v="0"/>
    <n v="0"/>
    <n v="0"/>
    <n v="0"/>
    <n v="0"/>
    <x v="0"/>
    <n v="0"/>
    <n v="0"/>
    <s v="n/a"/>
    <s v="n/a"/>
    <s v="n/a"/>
    <s v="n/a"/>
    <s v="n/a"/>
    <s v="n/a"/>
    <s v="n/a"/>
    <s v="n/a"/>
    <s v="n/a"/>
    <s v="n/a"/>
    <s v="n/a"/>
    <s v="n/a"/>
    <m/>
    <s v="n/a"/>
    <m/>
    <m/>
    <s v="n/a"/>
    <m/>
    <m/>
    <s v="n/a"/>
    <s v="n/a"/>
    <s v="n/a"/>
    <x v="0"/>
    <m/>
    <m/>
    <n v="0"/>
    <n v="2"/>
    <s v="Excellent coverage"/>
    <x v="4"/>
    <x v="0"/>
    <x v="4"/>
    <x v="3"/>
    <s v="this village is no longer targeted"/>
  </r>
  <r>
    <x v="2"/>
    <m/>
    <m/>
    <s v="MMR012CMP028"/>
    <x v="99"/>
    <n v="92.969350000000006"/>
    <n v="20.727589999999999"/>
    <x v="0"/>
    <x v="0"/>
    <x v="3"/>
    <n v="112"/>
    <n v="735"/>
    <n v="735"/>
    <m/>
    <x v="2"/>
    <x v="3"/>
    <s v="UNHCR"/>
    <x v="2"/>
    <x v="0"/>
    <d v="2016-02-28T00:00:00"/>
    <m/>
    <x v="0"/>
    <n v="0"/>
    <n v="0"/>
    <s v="No"/>
    <n v="0"/>
    <n v="0"/>
    <n v="0"/>
    <n v="2"/>
    <m/>
    <n v="0"/>
    <n v="0"/>
    <n v="0"/>
    <n v="0"/>
    <n v="0"/>
    <n v="0"/>
    <n v="0"/>
    <n v="0"/>
    <s v="0-10%"/>
    <n v="0"/>
    <n v="0"/>
    <s v="yes"/>
    <n v="2.94"/>
    <n v="0"/>
    <n v="0"/>
    <n v="0"/>
    <n v="0"/>
    <m/>
    <n v="0"/>
    <n v="40"/>
    <n v="6"/>
    <x v="1"/>
    <n v="0.32653061224489793"/>
    <n v="239.99999999999997"/>
    <n v="0.32653061224489793"/>
    <n v="239.99999999999997"/>
    <n v="0"/>
    <n v="0"/>
    <x v="0"/>
    <n v="0.8"/>
    <n v="588"/>
    <s v="n/a"/>
    <s v="n/a"/>
    <s v="n/a"/>
    <s v="n/a"/>
    <s v="n/a"/>
    <s v="n/a"/>
    <s v="n/a"/>
    <s v="n/a"/>
    <s v="n/a"/>
    <s v="n/a"/>
    <s v="n/a"/>
    <s v="n/a"/>
    <s v="Need to update school database for total needs coverage"/>
    <d v="2014-05-19T00:00:00"/>
    <m/>
    <m/>
    <s v="n/a"/>
    <n v="108"/>
    <n v="3"/>
    <s v="n/a"/>
    <s v="n/a"/>
    <s v="n/a"/>
    <x v="0"/>
    <s v="UNHCR distrib"/>
    <n v="0"/>
    <n v="0"/>
    <n v="2"/>
    <s v="Excellent coverage"/>
    <x v="4"/>
    <x v="0"/>
    <x v="4"/>
    <x v="3"/>
    <m/>
  </r>
  <r>
    <x v="2"/>
    <m/>
    <m/>
    <n v="196951"/>
    <x v="100"/>
    <n v="92.974299999999999"/>
    <n v="20.723600000000001"/>
    <x v="0"/>
    <x v="2"/>
    <x v="1"/>
    <n v="0"/>
    <n v="0"/>
    <n v="695"/>
    <m/>
    <x v="2"/>
    <x v="3"/>
    <m/>
    <x v="2"/>
    <x v="0"/>
    <d v="2016-02-28T00:00:00"/>
    <m/>
    <x v="0"/>
    <n v="0"/>
    <n v="0"/>
    <s v="No"/>
    <n v="0"/>
    <n v="0"/>
    <n v="0"/>
    <n v="1"/>
    <m/>
    <n v="0"/>
    <n v="0"/>
    <n v="0"/>
    <n v="0"/>
    <n v="0"/>
    <n v="0"/>
    <n v="0"/>
    <n v="0"/>
    <s v="0-10%"/>
    <n v="0"/>
    <n v="0"/>
    <s v="yes"/>
    <n v="2.78"/>
    <n v="0"/>
    <n v="0"/>
    <n v="0"/>
    <n v="0"/>
    <m/>
    <n v="0"/>
    <n v="10"/>
    <n v="6"/>
    <x v="1"/>
    <n v="8.6330935251798566E-2"/>
    <n v="60"/>
    <n v="8.6330935251798566E-2"/>
    <n v="60"/>
    <n v="0"/>
    <n v="0"/>
    <x v="2"/>
    <n v="0.09"/>
    <n v="62.55"/>
    <s v="n/a"/>
    <s v="n/a"/>
    <s v="n/a"/>
    <s v="n/a"/>
    <s v="n/a"/>
    <s v="n/a"/>
    <s v="n/a"/>
    <s v="n/a"/>
    <s v="n/a"/>
    <s v="n/a"/>
    <s v="n/a"/>
    <s v="n/a"/>
    <m/>
    <s v="n/a"/>
    <m/>
    <m/>
    <s v="n/a"/>
    <m/>
    <m/>
    <s v="n/a"/>
    <s v="n/a"/>
    <s v="n/a"/>
    <x v="0"/>
    <m/>
    <m/>
    <n v="0"/>
    <m/>
    <s v="No coverage"/>
    <x v="4"/>
    <x v="0"/>
    <x v="4"/>
    <x v="3"/>
    <m/>
  </r>
  <r>
    <x v="3"/>
    <s v="MMR012009065"/>
    <s v="Pan Taw Pyin"/>
    <s v="197997"/>
    <x v="101"/>
    <m/>
    <m/>
    <x v="0"/>
    <x v="0"/>
    <x v="0"/>
    <n v="0"/>
    <n v="0"/>
    <n v="750"/>
    <m/>
    <x v="2"/>
    <x v="0"/>
    <m/>
    <x v="0"/>
    <x v="0"/>
    <d v="2016-01-07T00:00:00"/>
    <m/>
    <x v="0"/>
    <n v="0"/>
    <n v="0"/>
    <s v="No"/>
    <n v="4"/>
    <n v="19"/>
    <n v="0"/>
    <n v="2"/>
    <m/>
    <n v="0"/>
    <n v="0"/>
    <n v="1"/>
    <n v="750"/>
    <n v="1"/>
    <n v="750"/>
    <n v="1"/>
    <n v="750"/>
    <s v="80-100%"/>
    <n v="0"/>
    <n v="0"/>
    <s v="yes"/>
    <n v="0"/>
    <n v="0"/>
    <n v="0"/>
    <n v="1"/>
    <n v="75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02"/>
    <m/>
    <m/>
    <x v="0"/>
    <x v="0"/>
    <x v="0"/>
    <n v="0"/>
    <n v="0"/>
    <n v="1453"/>
    <m/>
    <x v="1"/>
    <x v="0"/>
    <m/>
    <x v="0"/>
    <x v="0"/>
    <d v="2016-01-07T00:00:00"/>
    <m/>
    <x v="0"/>
    <n v="0"/>
    <n v="0"/>
    <s v="No"/>
    <n v="3"/>
    <n v="20"/>
    <n v="0"/>
    <n v="6"/>
    <m/>
    <n v="0"/>
    <n v="0"/>
    <n v="1"/>
    <n v="1453"/>
    <n v="1"/>
    <n v="1453"/>
    <n v="1"/>
    <n v="1453"/>
    <s v="80-100%"/>
    <n v="0"/>
    <n v="0"/>
    <s v="yes"/>
    <n v="0"/>
    <n v="0"/>
    <n v="0"/>
    <n v="1"/>
    <n v="145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5"/>
    <s v="Pan Taw Pyin"/>
    <s v="197997"/>
    <x v="103"/>
    <m/>
    <m/>
    <x v="0"/>
    <x v="0"/>
    <x v="0"/>
    <n v="0"/>
    <n v="0"/>
    <n v="1090"/>
    <m/>
    <x v="1"/>
    <x v="0"/>
    <m/>
    <x v="0"/>
    <x v="0"/>
    <d v="2016-01-07T00:00:00"/>
    <m/>
    <x v="0"/>
    <n v="0"/>
    <n v="0"/>
    <s v="No"/>
    <n v="0"/>
    <n v="5"/>
    <n v="0"/>
    <n v="2"/>
    <m/>
    <n v="0"/>
    <n v="0"/>
    <n v="1"/>
    <n v="1090"/>
    <n v="1"/>
    <n v="1090"/>
    <n v="1"/>
    <n v="1090"/>
    <s v="80-100%"/>
    <n v="0"/>
    <n v="0"/>
    <s v="yes"/>
    <n v="0"/>
    <n v="0"/>
    <n v="0"/>
    <n v="1"/>
    <n v="109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5"/>
    <s v="Pan Taw Pyin"/>
    <s v="197995"/>
    <x v="104"/>
    <m/>
    <m/>
    <x v="0"/>
    <x v="0"/>
    <x v="0"/>
    <n v="0"/>
    <n v="0"/>
    <n v="650"/>
    <m/>
    <x v="2"/>
    <x v="0"/>
    <m/>
    <x v="0"/>
    <x v="0"/>
    <d v="2016-01-07T00:00:00"/>
    <m/>
    <x v="0"/>
    <n v="0"/>
    <n v="0"/>
    <s v="No"/>
    <n v="0"/>
    <n v="1"/>
    <n v="0"/>
    <n v="1"/>
    <m/>
    <n v="0"/>
    <n v="0"/>
    <n v="0.38461538461538464"/>
    <n v="250"/>
    <n v="0.38461538461538464"/>
    <n v="250"/>
    <n v="0.38461538461538464"/>
    <n v="250"/>
    <s v="30-45%"/>
    <n v="0"/>
    <n v="0"/>
    <s v="yes"/>
    <n v="1.6"/>
    <n v="0"/>
    <n v="0"/>
    <n v="0.9"/>
    <n v="585"/>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5"/>
    <s v="Pan Taw Pyin"/>
    <s v="197995"/>
    <x v="104"/>
    <m/>
    <m/>
    <x v="0"/>
    <x v="0"/>
    <x v="0"/>
    <n v="0"/>
    <n v="0"/>
    <n v="1144"/>
    <m/>
    <x v="1"/>
    <x v="0"/>
    <m/>
    <x v="0"/>
    <x v="0"/>
    <d v="2016-01-07T00:00:00"/>
    <m/>
    <x v="0"/>
    <n v="0"/>
    <n v="0"/>
    <s v="No"/>
    <n v="4"/>
    <n v="1"/>
    <n v="0"/>
    <n v="1"/>
    <m/>
    <n v="0"/>
    <n v="0"/>
    <n v="1"/>
    <n v="1144"/>
    <n v="1"/>
    <n v="1144"/>
    <n v="1"/>
    <n v="1144"/>
    <s v="80-100%"/>
    <n v="0"/>
    <n v="0"/>
    <s v="yes"/>
    <n v="0"/>
    <n v="0"/>
    <n v="0"/>
    <n v="1"/>
    <n v="1144"/>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05"/>
    <m/>
    <m/>
    <x v="0"/>
    <x v="0"/>
    <x v="0"/>
    <n v="0"/>
    <n v="0"/>
    <n v="4000"/>
    <m/>
    <x v="1"/>
    <x v="0"/>
    <m/>
    <x v="1"/>
    <x v="0"/>
    <d v="2016-01-07T00:00:00"/>
    <m/>
    <x v="0"/>
    <n v="0"/>
    <n v="0"/>
    <s v="No"/>
    <n v="5"/>
    <n v="10"/>
    <n v="0"/>
    <n v="0"/>
    <m/>
    <n v="0"/>
    <n v="0"/>
    <n v="0.9375"/>
    <n v="3750"/>
    <n v="0.9375"/>
    <n v="3750"/>
    <n v="0.9375"/>
    <n v="3750"/>
    <s v="80-100%"/>
    <n v="0"/>
    <n v="0"/>
    <s v="no"/>
    <n v="1"/>
    <n v="0"/>
    <n v="0"/>
    <n v="0.94"/>
    <n v="3760"/>
    <m/>
    <n v="0"/>
    <n v="371"/>
    <n v="42"/>
    <x v="0"/>
    <n v="1"/>
    <n v="4000"/>
    <n v="1"/>
    <n v="4000"/>
    <n v="0"/>
    <n v="0"/>
    <x v="0"/>
    <s v="n/a"/>
    <n v="0"/>
    <s v="n/a"/>
    <s v="n/a"/>
    <s v="n/a"/>
    <s v="n/a"/>
    <s v="n/a"/>
    <s v="n/a"/>
    <s v="n/a"/>
    <s v="n/a"/>
    <s v="n/a"/>
    <s v="n/a"/>
    <n v="1"/>
    <s v="n/a"/>
    <s v="Latrines at each HH"/>
    <s v="n/a"/>
    <m/>
    <m/>
    <s v="n/a"/>
    <n v="0"/>
    <n v="0"/>
    <s v="n/a"/>
    <s v="n/a"/>
    <s v="n/a"/>
    <x v="0"/>
    <s v="HH latrine kits to be distributed"/>
    <n v="0.5"/>
    <n v="2000"/>
    <n v="2"/>
    <s v="Low coverage"/>
    <x v="0"/>
    <x v="0"/>
    <x v="0"/>
    <x v="0"/>
    <m/>
  </r>
  <r>
    <x v="3"/>
    <s v="MMR012009035"/>
    <s v="Chan Pyin"/>
    <s v="197896"/>
    <x v="106"/>
    <m/>
    <m/>
    <x v="0"/>
    <x v="2"/>
    <x v="0"/>
    <n v="0"/>
    <n v="0"/>
    <n v="323"/>
    <m/>
    <x v="0"/>
    <x v="0"/>
    <m/>
    <x v="0"/>
    <x v="0"/>
    <d v="2016-01-07T00:00:00"/>
    <m/>
    <x v="0"/>
    <n v="0"/>
    <n v="0"/>
    <s v="No"/>
    <n v="0"/>
    <n v="0"/>
    <n v="0"/>
    <n v="1"/>
    <m/>
    <n v="0"/>
    <n v="0"/>
    <n v="0"/>
    <n v="0"/>
    <n v="0"/>
    <n v="0"/>
    <n v="0"/>
    <n v="0"/>
    <s v="0-10%"/>
    <n v="0"/>
    <n v="0"/>
    <s v="yes"/>
    <n v="1.292"/>
    <n v="0"/>
    <n v="0"/>
    <n v="0.9"/>
    <n v="290.7"/>
    <s v=" 1-pond renovated"/>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8"/>
    <s v="Zaw Ma Tat"/>
    <s v="198046"/>
    <x v="107"/>
    <m/>
    <m/>
    <x v="0"/>
    <x v="0"/>
    <x v="0"/>
    <n v="0"/>
    <n v="0"/>
    <n v="1982"/>
    <m/>
    <x v="1"/>
    <x v="0"/>
    <m/>
    <x v="1"/>
    <x v="0"/>
    <d v="2016-01-07T00:00:00"/>
    <m/>
    <x v="0"/>
    <n v="0"/>
    <n v="0"/>
    <s v="No"/>
    <n v="2"/>
    <n v="20"/>
    <n v="0"/>
    <n v="2"/>
    <m/>
    <n v="0"/>
    <n v="0"/>
    <n v="1"/>
    <n v="1982"/>
    <n v="1"/>
    <n v="1982"/>
    <n v="1"/>
    <n v="1982"/>
    <s v="80-100%"/>
    <n v="0"/>
    <n v="0"/>
    <s v="yes"/>
    <n v="0"/>
    <n v="0"/>
    <n v="0"/>
    <n v="1"/>
    <n v="1982"/>
    <m/>
    <n v="0"/>
    <n v="71"/>
    <n v="42"/>
    <x v="0"/>
    <n v="1"/>
    <n v="1982"/>
    <n v="1"/>
    <n v="1982"/>
    <n v="0"/>
    <n v="0"/>
    <x v="0"/>
    <s v="n/a"/>
    <n v="0"/>
    <s v="n/a"/>
    <s v="n/a"/>
    <s v="n/a"/>
    <s v="n/a"/>
    <s v="n/a"/>
    <s v="n/a"/>
    <s v="n/a"/>
    <s v="n/a"/>
    <s v="n/a"/>
    <s v="n/a"/>
    <n v="1"/>
    <s v="n/a"/>
    <s v="Latrines at each HH"/>
    <s v="n/a"/>
    <m/>
    <m/>
    <s v="n/a"/>
    <n v="0"/>
    <n v="0"/>
    <s v="n/a"/>
    <s v="n/a"/>
    <s v="n/a"/>
    <x v="0"/>
    <s v="HH latrine kits to be distributed"/>
    <n v="0.8"/>
    <n v="1585.6000000000001"/>
    <n v="2"/>
    <s v="Low coverage"/>
    <x v="0"/>
    <x v="0"/>
    <x v="0"/>
    <x v="0"/>
    <m/>
  </r>
  <r>
    <x v="3"/>
    <m/>
    <m/>
    <m/>
    <x v="108"/>
    <m/>
    <m/>
    <x v="0"/>
    <x v="2"/>
    <x v="0"/>
    <n v="0"/>
    <n v="0"/>
    <n v="63"/>
    <m/>
    <x v="0"/>
    <x v="0"/>
    <m/>
    <x v="1"/>
    <x v="0"/>
    <d v="2016-01-07T00:00:00"/>
    <m/>
    <x v="0"/>
    <n v="0"/>
    <n v="0"/>
    <s v="No"/>
    <n v="0"/>
    <n v="1"/>
    <n v="0"/>
    <n v="0"/>
    <m/>
    <n v="0"/>
    <n v="0"/>
    <n v="1"/>
    <n v="63"/>
    <n v="1"/>
    <n v="63"/>
    <n v="1"/>
    <n v="63"/>
    <s v="80-100%"/>
    <n v="0"/>
    <n v="0"/>
    <s v="no"/>
    <n v="0"/>
    <n v="0"/>
    <n v="0"/>
    <n v="1"/>
    <n v="63"/>
    <m/>
    <n v="0"/>
    <n v="3"/>
    <n v="42"/>
    <x v="1"/>
    <n v="1"/>
    <n v="63"/>
    <n v="1"/>
    <n v="63"/>
    <n v="0"/>
    <n v="0"/>
    <x v="0"/>
    <s v="n/a"/>
    <n v="0"/>
    <s v="n/a"/>
    <s v="n/a"/>
    <s v="n/a"/>
    <s v="n/a"/>
    <s v="n/a"/>
    <s v="n/a"/>
    <s v="n/a"/>
    <s v="n/a"/>
    <s v="n/a"/>
    <s v="n/a"/>
    <n v="1"/>
    <s v="n/a"/>
    <s v="Latrines at each HH"/>
    <s v="n/a"/>
    <m/>
    <m/>
    <s v="n/a"/>
    <n v="0"/>
    <n v="0"/>
    <s v="n/a"/>
    <s v="n/a"/>
    <s v="n/a"/>
    <x v="0"/>
    <s v="HH latrine kits to be distributed"/>
    <n v="0.2"/>
    <n v="12.600000000000001"/>
    <n v="2"/>
    <s v="Low coverage"/>
    <x v="0"/>
    <x v="0"/>
    <x v="0"/>
    <x v="0"/>
    <m/>
  </r>
  <r>
    <x v="3"/>
    <m/>
    <m/>
    <m/>
    <x v="109"/>
    <m/>
    <m/>
    <x v="0"/>
    <x v="0"/>
    <x v="0"/>
    <n v="0"/>
    <n v="0"/>
    <n v="1583"/>
    <m/>
    <x v="1"/>
    <x v="0"/>
    <m/>
    <x v="0"/>
    <x v="0"/>
    <d v="2016-01-07T00:00:00"/>
    <m/>
    <x v="0"/>
    <n v="0"/>
    <n v="0"/>
    <s v="No"/>
    <n v="0"/>
    <m/>
    <n v="0"/>
    <m/>
    <m/>
    <n v="0"/>
    <n v="0"/>
    <n v="0"/>
    <n v="0"/>
    <n v="0"/>
    <n v="0"/>
    <n v="0"/>
    <n v="0"/>
    <s v="0-10%"/>
    <n v="0"/>
    <n v="0"/>
    <s v="no"/>
    <n v="6.3319999999999999"/>
    <n v="0"/>
    <n v="0"/>
    <n v="0.9"/>
    <n v="1424.7"/>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8"/>
    <s v="Zaw Ma Tat"/>
    <s v="198049"/>
    <x v="110"/>
    <m/>
    <m/>
    <x v="0"/>
    <x v="0"/>
    <x v="0"/>
    <n v="0"/>
    <n v="0"/>
    <n v="430"/>
    <m/>
    <x v="0"/>
    <x v="0"/>
    <m/>
    <x v="1"/>
    <x v="0"/>
    <d v="2016-01-07T00:00:00"/>
    <m/>
    <x v="0"/>
    <n v="0"/>
    <n v="0"/>
    <s v="No"/>
    <n v="0"/>
    <n v="2"/>
    <n v="0"/>
    <n v="0"/>
    <m/>
    <n v="0"/>
    <n v="0"/>
    <n v="1"/>
    <n v="430"/>
    <n v="1"/>
    <n v="430"/>
    <n v="1"/>
    <n v="430"/>
    <s v="80-100%"/>
    <n v="0"/>
    <n v="0"/>
    <s v="no"/>
    <n v="0"/>
    <n v="0"/>
    <n v="0"/>
    <n v="1"/>
    <n v="430"/>
    <m/>
    <n v="0"/>
    <n v="14"/>
    <n v="42"/>
    <x v="1"/>
    <n v="1"/>
    <n v="430"/>
    <n v="1"/>
    <n v="430"/>
    <n v="0"/>
    <n v="0"/>
    <x v="0"/>
    <s v="n/a"/>
    <n v="0"/>
    <s v="n/a"/>
    <s v="n/a"/>
    <s v="n/a"/>
    <s v="n/a"/>
    <s v="n/a"/>
    <s v="n/a"/>
    <s v="n/a"/>
    <s v="n/a"/>
    <s v="n/a"/>
    <s v="n/a"/>
    <n v="1"/>
    <s v="n/a"/>
    <s v="Latrines at each HH"/>
    <s v="n/a"/>
    <m/>
    <m/>
    <s v="n/a"/>
    <n v="0"/>
    <n v="0"/>
    <s v="n/a"/>
    <s v="n/a"/>
    <s v="n/a"/>
    <x v="0"/>
    <s v="HH latrine kits to be distributed"/>
    <n v="0.8"/>
    <n v="344"/>
    <n v="2"/>
    <s v="Low coverage"/>
    <x v="0"/>
    <x v="0"/>
    <x v="0"/>
    <x v="0"/>
    <m/>
  </r>
  <r>
    <x v="3"/>
    <m/>
    <m/>
    <m/>
    <x v="111"/>
    <m/>
    <m/>
    <x v="0"/>
    <x v="6"/>
    <x v="0"/>
    <n v="0"/>
    <n v="0"/>
    <n v="516"/>
    <m/>
    <x v="2"/>
    <x v="0"/>
    <m/>
    <x v="0"/>
    <x v="0"/>
    <d v="2016-01-07T00:00:00"/>
    <m/>
    <x v="0"/>
    <n v="0"/>
    <n v="0"/>
    <s v="No"/>
    <n v="0"/>
    <n v="2"/>
    <n v="0"/>
    <n v="1"/>
    <m/>
    <n v="0"/>
    <n v="0"/>
    <n v="0.96899224806201545"/>
    <n v="500"/>
    <n v="0.96899224806201545"/>
    <n v="500"/>
    <n v="0.96899224806201545"/>
    <n v="500"/>
    <s v="80-100%"/>
    <n v="0"/>
    <n v="0"/>
    <s v="yes"/>
    <n v="6.4000000000000057E-2"/>
    <n v="0"/>
    <n v="0"/>
    <n v="0.9"/>
    <n v="464.4000000000000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12"/>
    <m/>
    <m/>
    <x v="0"/>
    <x v="2"/>
    <x v="0"/>
    <n v="0"/>
    <n v="0"/>
    <n v="816"/>
    <m/>
    <x v="2"/>
    <x v="0"/>
    <m/>
    <x v="1"/>
    <x v="0"/>
    <d v="2016-01-07T00:00:00"/>
    <m/>
    <x v="0"/>
    <n v="0"/>
    <n v="0"/>
    <s v="No"/>
    <n v="0"/>
    <n v="1"/>
    <n v="0"/>
    <n v="0"/>
    <m/>
    <n v="0"/>
    <n v="0"/>
    <n v="0.30637254901960786"/>
    <n v="250.00000000000003"/>
    <n v="0.30637254901960786"/>
    <n v="250.00000000000003"/>
    <n v="0.30637254901960786"/>
    <n v="250.00000000000003"/>
    <s v="30-45%"/>
    <n v="0"/>
    <n v="0"/>
    <s v="no"/>
    <n v="2.2639999999999998"/>
    <n v="0"/>
    <n v="0"/>
    <n v="0.31"/>
    <n v="252.96"/>
    <m/>
    <n v="0"/>
    <n v="73"/>
    <n v="42"/>
    <x v="0"/>
    <n v="1"/>
    <n v="816"/>
    <n v="1"/>
    <n v="816"/>
    <n v="0"/>
    <n v="0"/>
    <x v="0"/>
    <s v="n/a"/>
    <n v="0"/>
    <s v="n/a"/>
    <s v="n/a"/>
    <s v="n/a"/>
    <s v="n/a"/>
    <s v="n/a"/>
    <s v="n/a"/>
    <s v="n/a"/>
    <s v="n/a"/>
    <s v="n/a"/>
    <s v="n/a"/>
    <n v="1"/>
    <s v="n/a"/>
    <s v="Latrines at each HH"/>
    <s v="n/a"/>
    <m/>
    <m/>
    <s v="n/a"/>
    <n v="0"/>
    <n v="0"/>
    <s v="n/a"/>
    <s v="n/a"/>
    <s v="n/a"/>
    <x v="0"/>
    <s v="HH latrine kits to be distributed"/>
    <n v="0.8"/>
    <n v="652.80000000000007"/>
    <n v="2"/>
    <s v="Low coverage"/>
    <x v="0"/>
    <x v="0"/>
    <x v="0"/>
    <x v="0"/>
    <m/>
  </r>
  <r>
    <x v="3"/>
    <s v="MMR012009063"/>
    <s v="Myo Thu Gyi"/>
    <s v="197992"/>
    <x v="113"/>
    <m/>
    <m/>
    <x v="0"/>
    <x v="0"/>
    <x v="0"/>
    <n v="0"/>
    <n v="0"/>
    <n v="1169"/>
    <s v="Not affected"/>
    <x v="1"/>
    <x v="0"/>
    <m/>
    <x v="1"/>
    <x v="0"/>
    <d v="2016-01-07T00:00:00"/>
    <m/>
    <x v="0"/>
    <n v="0"/>
    <n v="0"/>
    <s v="No"/>
    <n v="2"/>
    <n v="4"/>
    <n v="4"/>
    <n v="1"/>
    <m/>
    <n v="0"/>
    <n v="0"/>
    <n v="1"/>
    <n v="1169"/>
    <n v="1"/>
    <n v="1169"/>
    <n v="1"/>
    <n v="1169"/>
    <s v="80-100%"/>
    <n v="0"/>
    <n v="0"/>
    <s v="yes"/>
    <n v="0"/>
    <n v="0"/>
    <n v="0"/>
    <n v="1"/>
    <n v="1169"/>
    <m/>
    <n v="0"/>
    <n v="99"/>
    <n v="42"/>
    <x v="0"/>
    <n v="1"/>
    <n v="1169"/>
    <n v="1"/>
    <n v="1169"/>
    <n v="0"/>
    <n v="0"/>
    <x v="0"/>
    <s v="n/a"/>
    <n v="0"/>
    <s v="n/a"/>
    <s v="n/a"/>
    <s v="n/a"/>
    <s v="n/a"/>
    <s v="n/a"/>
    <s v="n/a"/>
    <s v="n/a"/>
    <s v="n/a"/>
    <s v="n/a"/>
    <s v="n/a"/>
    <n v="1"/>
    <s v="n/a"/>
    <s v="Latrines at each HH"/>
    <s v="n/a"/>
    <m/>
    <m/>
    <s v="n/a"/>
    <n v="0"/>
    <n v="0"/>
    <s v="n/a"/>
    <s v="n/a"/>
    <s v="n/a"/>
    <x v="0"/>
    <s v="HH latrine kits to be distributed"/>
    <n v="1"/>
    <n v="1169"/>
    <n v="2"/>
    <s v="Low coverage"/>
    <x v="0"/>
    <x v="0"/>
    <x v="0"/>
    <x v="0"/>
    <m/>
  </r>
  <r>
    <x v="3"/>
    <s v="MMR012009063"/>
    <s v="Myo Thu Gyi"/>
    <s v="197989"/>
    <x v="114"/>
    <m/>
    <m/>
    <x v="0"/>
    <x v="0"/>
    <x v="0"/>
    <n v="0"/>
    <n v="0"/>
    <n v="2466"/>
    <s v="Not affected"/>
    <x v="1"/>
    <x v="0"/>
    <m/>
    <x v="1"/>
    <x v="0"/>
    <d v="2016-01-07T00:00:00"/>
    <m/>
    <x v="0"/>
    <n v="0"/>
    <n v="0"/>
    <s v="No"/>
    <n v="1"/>
    <n v="1"/>
    <n v="5"/>
    <n v="2"/>
    <m/>
    <n v="0"/>
    <n v="0"/>
    <n v="0.33792917004595835"/>
    <n v="833.33333333333326"/>
    <n v="0.33792917004595835"/>
    <n v="833.33333333333326"/>
    <n v="0.33792917004595835"/>
    <n v="833.33333333333326"/>
    <s v="30-45%"/>
    <n v="0"/>
    <n v="0"/>
    <s v="yes"/>
    <n v="7.8640000000000008"/>
    <n v="0"/>
    <n v="0"/>
    <n v="0.34"/>
    <n v="838.44"/>
    <m/>
    <n v="0"/>
    <n v="292"/>
    <n v="42"/>
    <x v="1"/>
    <n v="1"/>
    <n v="2466"/>
    <n v="1"/>
    <n v="2466"/>
    <n v="0"/>
    <n v="0"/>
    <x v="0"/>
    <s v="n/a"/>
    <n v="0"/>
    <s v="n/a"/>
    <s v="n/a"/>
    <s v="n/a"/>
    <s v="n/a"/>
    <s v="n/a"/>
    <s v="n/a"/>
    <s v="n/a"/>
    <s v="n/a"/>
    <s v="n/a"/>
    <s v="n/a"/>
    <n v="1"/>
    <s v="n/a"/>
    <s v="Latrines at each HH"/>
    <s v="n/a"/>
    <m/>
    <m/>
    <s v="n/a"/>
    <n v="0"/>
    <n v="0"/>
    <s v="n/a"/>
    <s v="n/a"/>
    <s v="n/a"/>
    <x v="0"/>
    <s v="HH latrine kits to be distributed"/>
    <n v="0.3"/>
    <n v="739.8"/>
    <n v="2"/>
    <s v="Low coverage"/>
    <x v="0"/>
    <x v="0"/>
    <x v="0"/>
    <x v="0"/>
    <m/>
  </r>
  <r>
    <x v="3"/>
    <s v="MMR012009066"/>
    <s v="Tat U Chaung"/>
    <s v="217894"/>
    <x v="115"/>
    <m/>
    <m/>
    <x v="0"/>
    <x v="2"/>
    <x v="0"/>
    <n v="0"/>
    <n v="0"/>
    <n v="226"/>
    <m/>
    <x v="0"/>
    <x v="0"/>
    <m/>
    <x v="1"/>
    <x v="0"/>
    <d v="2016-01-07T00:00:00"/>
    <m/>
    <x v="0"/>
    <n v="0"/>
    <n v="0"/>
    <s v="No"/>
    <n v="2"/>
    <n v="0"/>
    <n v="0"/>
    <n v="0"/>
    <m/>
    <n v="0"/>
    <n v="0"/>
    <n v="1"/>
    <n v="226"/>
    <n v="1"/>
    <n v="226"/>
    <n v="1"/>
    <n v="226"/>
    <s v="80-100%"/>
    <n v="0"/>
    <n v="0"/>
    <s v="no"/>
    <n v="0"/>
    <n v="0"/>
    <n v="0"/>
    <n v="1"/>
    <n v="226"/>
    <m/>
    <n v="0"/>
    <n v="12"/>
    <n v="42"/>
    <x v="0"/>
    <n v="1"/>
    <n v="226"/>
    <n v="1"/>
    <n v="226"/>
    <n v="0"/>
    <n v="0"/>
    <x v="0"/>
    <s v="n/a"/>
    <n v="0"/>
    <s v="n/a"/>
    <s v="n/a"/>
    <s v="n/a"/>
    <s v="n/a"/>
    <s v="n/a"/>
    <s v="n/a"/>
    <s v="n/a"/>
    <s v="n/a"/>
    <s v="n/a"/>
    <s v="n/a"/>
    <n v="1"/>
    <s v="n/a"/>
    <s v="Latrines at each HH"/>
    <s v="n/a"/>
    <m/>
    <m/>
    <s v="n/a"/>
    <n v="0"/>
    <n v="0"/>
    <s v="n/a"/>
    <s v="n/a"/>
    <s v="n/a"/>
    <x v="0"/>
    <s v="HH latrine kits to be distributed"/>
    <n v="0.5"/>
    <n v="113"/>
    <n v="2"/>
    <s v="Low coverage"/>
    <x v="0"/>
    <x v="0"/>
    <x v="0"/>
    <x v="0"/>
    <m/>
  </r>
  <r>
    <x v="3"/>
    <s v="MMR012009066"/>
    <s v="Tat U Chaung"/>
    <s v="217895"/>
    <x v="116"/>
    <m/>
    <m/>
    <x v="0"/>
    <x v="2"/>
    <x v="0"/>
    <n v="0"/>
    <n v="0"/>
    <n v="239"/>
    <m/>
    <x v="0"/>
    <x v="0"/>
    <m/>
    <x v="1"/>
    <x v="0"/>
    <d v="2016-01-07T00:00:00"/>
    <m/>
    <x v="0"/>
    <n v="0"/>
    <n v="0"/>
    <s v="No"/>
    <n v="0"/>
    <n v="1"/>
    <n v="0"/>
    <n v="0"/>
    <m/>
    <n v="0"/>
    <n v="0"/>
    <n v="1"/>
    <n v="239"/>
    <n v="1"/>
    <n v="239"/>
    <n v="1"/>
    <n v="239"/>
    <s v="80-100%"/>
    <n v="0"/>
    <n v="0"/>
    <s v="no"/>
    <n v="0"/>
    <n v="0"/>
    <n v="0"/>
    <n v="1"/>
    <n v="239"/>
    <m/>
    <n v="0"/>
    <n v="53"/>
    <n v="42"/>
    <x v="0"/>
    <n v="1"/>
    <n v="239"/>
    <n v="1"/>
    <n v="239"/>
    <n v="0"/>
    <n v="0"/>
    <x v="0"/>
    <s v="n/a"/>
    <n v="0"/>
    <s v="n/a"/>
    <s v="n/a"/>
    <s v="n/a"/>
    <s v="n/a"/>
    <s v="n/a"/>
    <s v="n/a"/>
    <s v="n/a"/>
    <s v="n/a"/>
    <s v="n/a"/>
    <s v="n/a"/>
    <n v="1"/>
    <s v="n/a"/>
    <s v="Latrines at each HH"/>
    <s v="n/a"/>
    <m/>
    <m/>
    <s v="n/a"/>
    <n v="0"/>
    <n v="0"/>
    <s v="n/a"/>
    <s v="n/a"/>
    <s v="n/a"/>
    <x v="0"/>
    <s v="HH latrine kits to be distributed"/>
    <n v="0.5"/>
    <n v="119.5"/>
    <n v="2"/>
    <s v="Low coverage"/>
    <x v="0"/>
    <x v="0"/>
    <x v="0"/>
    <x v="0"/>
    <m/>
  </r>
  <r>
    <x v="3"/>
    <m/>
    <m/>
    <m/>
    <x v="117"/>
    <m/>
    <m/>
    <x v="0"/>
    <x v="2"/>
    <x v="0"/>
    <n v="0"/>
    <n v="0"/>
    <n v="1200"/>
    <m/>
    <x v="1"/>
    <x v="0"/>
    <m/>
    <x v="1"/>
    <x v="0"/>
    <d v="2016-01-07T00:00:00"/>
    <m/>
    <x v="0"/>
    <n v="0"/>
    <n v="0"/>
    <s v="No"/>
    <n v="0"/>
    <n v="3"/>
    <n v="0"/>
    <n v="0"/>
    <m/>
    <n v="0"/>
    <n v="0"/>
    <n v="0.625"/>
    <n v="750"/>
    <n v="0.625"/>
    <n v="750"/>
    <n v="0.625"/>
    <n v="750"/>
    <s v="60-80%"/>
    <n v="0"/>
    <n v="0"/>
    <s v="no"/>
    <n v="1.7999999999999998"/>
    <n v="0"/>
    <n v="0"/>
    <n v="0.63"/>
    <n v="756"/>
    <m/>
    <n v="0"/>
    <n v="196"/>
    <n v="42"/>
    <x v="0"/>
    <n v="1"/>
    <n v="1200"/>
    <n v="1"/>
    <n v="1200"/>
    <n v="0"/>
    <n v="0"/>
    <x v="0"/>
    <s v="n/a"/>
    <n v="0"/>
    <s v="n/a"/>
    <s v="n/a"/>
    <s v="n/a"/>
    <s v="n/a"/>
    <s v="n/a"/>
    <s v="n/a"/>
    <s v="n/a"/>
    <s v="n/a"/>
    <s v="n/a"/>
    <s v="n/a"/>
    <n v="1"/>
    <s v="n/a"/>
    <s v="Latrines at each HH"/>
    <s v="n/a"/>
    <m/>
    <m/>
    <s v="n/a"/>
    <n v="0"/>
    <n v="0"/>
    <s v="n/a"/>
    <s v="n/a"/>
    <s v="n/a"/>
    <x v="0"/>
    <s v="HH latrine kits to be distributed"/>
    <n v="0.2"/>
    <n v="240"/>
    <n v="2"/>
    <s v="Low coverage"/>
    <x v="0"/>
    <x v="0"/>
    <x v="0"/>
    <x v="0"/>
    <m/>
  </r>
  <r>
    <x v="3"/>
    <s v="MMR012009031"/>
    <s v="Kat Pa Kaung"/>
    <s v="197890"/>
    <x v="118"/>
    <m/>
    <m/>
    <x v="0"/>
    <x v="2"/>
    <x v="0"/>
    <n v="0"/>
    <n v="0"/>
    <n v="102"/>
    <m/>
    <x v="0"/>
    <x v="0"/>
    <m/>
    <x v="0"/>
    <x v="0"/>
    <d v="2016-01-07T00:00:00"/>
    <m/>
    <x v="0"/>
    <n v="0"/>
    <n v="0"/>
    <s v="No"/>
    <n v="0"/>
    <n v="0"/>
    <n v="0"/>
    <n v="1"/>
    <m/>
    <n v="0"/>
    <n v="0"/>
    <n v="0"/>
    <n v="0"/>
    <n v="0"/>
    <n v="0"/>
    <n v="0"/>
    <n v="0"/>
    <s v="0-10%"/>
    <n v="0"/>
    <n v="0"/>
    <s v="yes"/>
    <n v="0.40799999999999997"/>
    <n v="0"/>
    <n v="0"/>
    <n v="0.9"/>
    <n v="91.8"/>
    <s v=" 1-pond renovated"/>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29"/>
    <s v="Ah Htet Pyue Ma"/>
    <s v="197887"/>
    <x v="119"/>
    <m/>
    <m/>
    <x v="0"/>
    <x v="0"/>
    <x v="0"/>
    <n v="0"/>
    <n v="0"/>
    <n v="1158"/>
    <m/>
    <x v="1"/>
    <x v="0"/>
    <m/>
    <x v="0"/>
    <x v="0"/>
    <d v="2016-01-07T00:00:00"/>
    <m/>
    <x v="0"/>
    <n v="0"/>
    <n v="0"/>
    <s v="No"/>
    <n v="6"/>
    <n v="30"/>
    <n v="0"/>
    <n v="1"/>
    <m/>
    <n v="0"/>
    <n v="0"/>
    <n v="1"/>
    <n v="1158"/>
    <n v="1"/>
    <n v="1158"/>
    <n v="1"/>
    <n v="1158"/>
    <s v="80-100%"/>
    <n v="0"/>
    <n v="0"/>
    <s v="yes"/>
    <n v="0"/>
    <n v="0"/>
    <n v="0"/>
    <n v="1"/>
    <n v="1158"/>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84"/>
    <s v="Kyauk Pan Du"/>
    <s v="198075"/>
    <x v="120"/>
    <m/>
    <m/>
    <x v="0"/>
    <x v="2"/>
    <x v="0"/>
    <n v="0"/>
    <n v="0"/>
    <n v="232"/>
    <m/>
    <x v="0"/>
    <x v="0"/>
    <m/>
    <x v="1"/>
    <x v="0"/>
    <d v="2016-01-07T00:00:00"/>
    <m/>
    <x v="0"/>
    <n v="0"/>
    <n v="0"/>
    <s v="No"/>
    <n v="1"/>
    <n v="0"/>
    <n v="0"/>
    <n v="0"/>
    <m/>
    <n v="0"/>
    <n v="0"/>
    <n v="1"/>
    <n v="232"/>
    <n v="1"/>
    <n v="232"/>
    <n v="1"/>
    <n v="232"/>
    <s v="80-100%"/>
    <n v="0"/>
    <n v="0"/>
    <s v="no"/>
    <n v="0"/>
    <n v="0"/>
    <n v="0"/>
    <n v="1"/>
    <n v="232"/>
    <m/>
    <n v="0"/>
    <n v="44"/>
    <n v="42"/>
    <x v="0"/>
    <n v="1"/>
    <n v="232"/>
    <n v="1"/>
    <n v="232"/>
    <n v="0"/>
    <n v="0"/>
    <x v="0"/>
    <s v="n/a"/>
    <n v="0"/>
    <s v="n/a"/>
    <s v="n/a"/>
    <s v="n/a"/>
    <s v="n/a"/>
    <s v="n/a"/>
    <s v="n/a"/>
    <s v="n/a"/>
    <s v="n/a"/>
    <s v="n/a"/>
    <s v="n/a"/>
    <n v="1"/>
    <s v="n/a"/>
    <s v="Latrines at each HH"/>
    <s v="n/a"/>
    <m/>
    <m/>
    <s v="n/a"/>
    <n v="0"/>
    <n v="0"/>
    <s v="n/a"/>
    <s v="n/a"/>
    <s v="n/a"/>
    <x v="0"/>
    <s v="HH latrine kits to be distributed"/>
    <n v="0"/>
    <n v="0"/>
    <n v="2"/>
    <s v="Low coverage"/>
    <x v="0"/>
    <x v="0"/>
    <x v="0"/>
    <x v="0"/>
    <m/>
  </r>
  <r>
    <x v="3"/>
    <s v="MMR012009081"/>
    <s v="Kyaung Taung"/>
    <s v="198058"/>
    <x v="121"/>
    <m/>
    <m/>
    <x v="0"/>
    <x v="0"/>
    <x v="0"/>
    <n v="0"/>
    <n v="0"/>
    <n v="2025"/>
    <m/>
    <x v="1"/>
    <x v="0"/>
    <m/>
    <x v="0"/>
    <x v="0"/>
    <d v="2016-01-07T00:00:00"/>
    <m/>
    <x v="0"/>
    <n v="0"/>
    <n v="0"/>
    <s v="No"/>
    <n v="5"/>
    <n v="70"/>
    <n v="0"/>
    <n v="4"/>
    <m/>
    <n v="0"/>
    <n v="0"/>
    <n v="1"/>
    <n v="2025"/>
    <n v="1"/>
    <n v="2025"/>
    <n v="1"/>
    <n v="2025"/>
    <s v="80-100%"/>
    <n v="0"/>
    <n v="0"/>
    <s v="yes"/>
    <n v="0"/>
    <n v="0"/>
    <n v="0"/>
    <n v="1"/>
    <n v="2025"/>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27"/>
    <s v="Kyet Yoe Pyin"/>
    <s v="197880"/>
    <x v="122"/>
    <m/>
    <m/>
    <x v="0"/>
    <x v="0"/>
    <x v="0"/>
    <n v="0"/>
    <n v="0"/>
    <n v="566"/>
    <m/>
    <x v="2"/>
    <x v="0"/>
    <m/>
    <x v="0"/>
    <x v="0"/>
    <d v="2016-01-07T00:00:00"/>
    <m/>
    <x v="0"/>
    <n v="0"/>
    <n v="0"/>
    <s v="No"/>
    <n v="0"/>
    <n v="3"/>
    <n v="0"/>
    <n v="3"/>
    <m/>
    <n v="0"/>
    <n v="0"/>
    <n v="1"/>
    <n v="566"/>
    <n v="1"/>
    <n v="566"/>
    <n v="1"/>
    <n v="566"/>
    <s v="80-100%"/>
    <n v="0"/>
    <n v="0"/>
    <s v="yes"/>
    <n v="0"/>
    <n v="0"/>
    <n v="0"/>
    <n v="1"/>
    <n v="566"/>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8"/>
    <s v="Zaw Ma Tat"/>
    <s v="198048"/>
    <x v="123"/>
    <m/>
    <m/>
    <x v="0"/>
    <x v="0"/>
    <x v="0"/>
    <n v="0"/>
    <n v="0"/>
    <n v="750"/>
    <m/>
    <x v="2"/>
    <x v="0"/>
    <m/>
    <x v="1"/>
    <x v="0"/>
    <d v="2016-01-07T00:00:00"/>
    <m/>
    <x v="0"/>
    <n v="0"/>
    <n v="0"/>
    <s v="No"/>
    <n v="4"/>
    <n v="50"/>
    <n v="0"/>
    <n v="0"/>
    <m/>
    <n v="0"/>
    <n v="0"/>
    <n v="1"/>
    <n v="750"/>
    <n v="1"/>
    <n v="750"/>
    <n v="1"/>
    <n v="750"/>
    <s v="80-100%"/>
    <n v="0"/>
    <n v="0"/>
    <s v="no"/>
    <n v="0"/>
    <n v="0"/>
    <n v="0"/>
    <n v="1"/>
    <n v="750"/>
    <m/>
    <n v="0"/>
    <n v="65"/>
    <n v="42"/>
    <x v="1"/>
    <n v="1"/>
    <n v="750"/>
    <n v="1"/>
    <n v="750"/>
    <n v="0"/>
    <n v="0"/>
    <x v="0"/>
    <s v="n/a"/>
    <n v="0"/>
    <s v="n/a"/>
    <s v="n/a"/>
    <s v="n/a"/>
    <s v="n/a"/>
    <s v="n/a"/>
    <s v="n/a"/>
    <s v="n/a"/>
    <s v="n/a"/>
    <s v="n/a"/>
    <s v="n/a"/>
    <n v="1"/>
    <s v="n/a"/>
    <s v="Latrines at each HH"/>
    <s v="n/a"/>
    <m/>
    <m/>
    <s v="n/a"/>
    <n v="0"/>
    <n v="0"/>
    <s v="n/a"/>
    <s v="n/a"/>
    <s v="n/a"/>
    <x v="0"/>
    <s v="HH latrine kits to be distributed"/>
    <n v="0.5"/>
    <n v="375"/>
    <n v="2"/>
    <s v="Low coverage"/>
    <x v="0"/>
    <x v="0"/>
    <x v="0"/>
    <x v="0"/>
    <m/>
  </r>
  <r>
    <x v="3"/>
    <s v="MMR012009027"/>
    <s v="Kyet Yoe Pyin"/>
    <s v="197879"/>
    <x v="124"/>
    <m/>
    <m/>
    <x v="0"/>
    <x v="0"/>
    <x v="0"/>
    <n v="0"/>
    <n v="0"/>
    <n v="2701"/>
    <m/>
    <x v="1"/>
    <x v="0"/>
    <m/>
    <x v="0"/>
    <x v="0"/>
    <d v="2016-01-07T00:00:00"/>
    <m/>
    <x v="0"/>
    <n v="0"/>
    <n v="0"/>
    <s v="No"/>
    <n v="0"/>
    <n v="5"/>
    <n v="0"/>
    <n v="5"/>
    <m/>
    <n v="0"/>
    <n v="0"/>
    <n v="0.46279155868196964"/>
    <n v="1250"/>
    <n v="0.46279155868196964"/>
    <n v="1250"/>
    <n v="0.46279155868196964"/>
    <n v="1250"/>
    <s v="45-60%"/>
    <n v="0"/>
    <n v="0"/>
    <s v="yes"/>
    <n v="5.8040000000000003"/>
    <n v="0"/>
    <n v="0"/>
    <n v="0.9"/>
    <n v="2430.9"/>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25"/>
    <m/>
    <m/>
    <x v="0"/>
    <x v="2"/>
    <x v="0"/>
    <n v="0"/>
    <n v="0"/>
    <n v="379"/>
    <m/>
    <x v="0"/>
    <x v="0"/>
    <m/>
    <x v="0"/>
    <x v="0"/>
    <d v="2016-01-07T00:00:00"/>
    <m/>
    <x v="0"/>
    <n v="0"/>
    <n v="0"/>
    <s v="No"/>
    <n v="4"/>
    <n v="0"/>
    <n v="0"/>
    <n v="0"/>
    <m/>
    <n v="0"/>
    <n v="0"/>
    <n v="1"/>
    <n v="379"/>
    <n v="1"/>
    <n v="379"/>
    <n v="1"/>
    <n v="379"/>
    <s v="80-100%"/>
    <n v="0"/>
    <n v="0"/>
    <s v="no"/>
    <n v="0"/>
    <n v="0"/>
    <n v="0"/>
    <n v="1"/>
    <n v="379"/>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6"/>
    <s v="Tat U Chaung"/>
    <s v="198001"/>
    <x v="126"/>
    <m/>
    <m/>
    <x v="0"/>
    <x v="0"/>
    <x v="0"/>
    <n v="0"/>
    <n v="0"/>
    <n v="253"/>
    <m/>
    <x v="0"/>
    <x v="0"/>
    <m/>
    <x v="1"/>
    <x v="0"/>
    <d v="2016-01-07T00:00:00"/>
    <m/>
    <x v="0"/>
    <n v="0"/>
    <n v="0"/>
    <s v="No"/>
    <n v="1"/>
    <n v="10"/>
    <n v="0"/>
    <n v="1"/>
    <m/>
    <n v="0"/>
    <n v="0"/>
    <n v="1"/>
    <n v="253"/>
    <n v="1"/>
    <n v="253"/>
    <n v="1"/>
    <n v="253"/>
    <s v="80-100%"/>
    <n v="0"/>
    <n v="0"/>
    <s v="yes"/>
    <n v="0"/>
    <n v="0"/>
    <n v="0"/>
    <n v="1"/>
    <n v="253"/>
    <m/>
    <n v="0"/>
    <n v="35"/>
    <n v="42"/>
    <x v="1"/>
    <n v="1"/>
    <n v="253"/>
    <n v="1"/>
    <n v="253"/>
    <n v="0"/>
    <n v="0"/>
    <x v="0"/>
    <s v="n/a"/>
    <n v="0"/>
    <s v="n/a"/>
    <s v="n/a"/>
    <s v="n/a"/>
    <s v="n/a"/>
    <s v="n/a"/>
    <s v="n/a"/>
    <s v="n/a"/>
    <s v="n/a"/>
    <s v="n/a"/>
    <s v="n/a"/>
    <n v="1"/>
    <s v="n/a"/>
    <s v="Latrines at each HH"/>
    <s v="n/a"/>
    <m/>
    <m/>
    <s v="n/a"/>
    <n v="0"/>
    <n v="0"/>
    <s v="n/a"/>
    <s v="n/a"/>
    <s v="n/a"/>
    <x v="0"/>
    <s v="HH latrine kits to be distributed"/>
    <n v="0.8"/>
    <n v="202.4"/>
    <n v="2"/>
    <s v="Low coverage"/>
    <x v="0"/>
    <x v="0"/>
    <x v="0"/>
    <x v="0"/>
    <m/>
  </r>
  <r>
    <x v="3"/>
    <s v="MMR012009065"/>
    <s v="Pan Taw Pyin"/>
    <s v="197996"/>
    <x v="127"/>
    <m/>
    <m/>
    <x v="0"/>
    <x v="0"/>
    <x v="0"/>
    <n v="0"/>
    <n v="0"/>
    <n v="578"/>
    <m/>
    <x v="2"/>
    <x v="0"/>
    <m/>
    <x v="1"/>
    <x v="0"/>
    <d v="2016-01-07T00:00:00"/>
    <m/>
    <x v="0"/>
    <n v="0"/>
    <n v="0"/>
    <s v="No"/>
    <n v="6"/>
    <n v="7"/>
    <n v="0"/>
    <n v="2"/>
    <m/>
    <n v="0"/>
    <n v="0"/>
    <n v="1"/>
    <n v="578"/>
    <n v="1"/>
    <n v="578"/>
    <n v="1"/>
    <n v="578"/>
    <s v="80-100%"/>
    <n v="0"/>
    <n v="0"/>
    <s v="yes"/>
    <n v="0"/>
    <n v="0"/>
    <n v="0"/>
    <n v="1"/>
    <n v="578"/>
    <m/>
    <n v="0"/>
    <n v="29"/>
    <n v="42"/>
    <x v="1"/>
    <n v="1"/>
    <n v="578"/>
    <n v="1"/>
    <n v="578"/>
    <n v="0"/>
    <n v="0"/>
    <x v="0"/>
    <s v="n/a"/>
    <n v="0"/>
    <s v="n/a"/>
    <s v="n/a"/>
    <s v="n/a"/>
    <s v="n/a"/>
    <s v="n/a"/>
    <s v="n/a"/>
    <s v="n/a"/>
    <s v="n/a"/>
    <s v="n/a"/>
    <s v="n/a"/>
    <n v="1"/>
    <s v="n/a"/>
    <s v="Latrines at each HH"/>
    <s v="n/a"/>
    <m/>
    <m/>
    <s v="n/a"/>
    <n v="0"/>
    <n v="0"/>
    <s v="n/a"/>
    <s v="n/a"/>
    <s v="n/a"/>
    <x v="0"/>
    <s v="HH latrine kits to be distributed"/>
    <n v="0.2"/>
    <n v="115.60000000000001"/>
    <n v="2"/>
    <s v="Low coverage"/>
    <x v="0"/>
    <x v="0"/>
    <x v="0"/>
    <x v="0"/>
    <m/>
  </r>
  <r>
    <x v="3"/>
    <m/>
    <m/>
    <m/>
    <x v="128"/>
    <m/>
    <m/>
    <x v="0"/>
    <x v="0"/>
    <x v="0"/>
    <n v="0"/>
    <n v="0"/>
    <n v="2936"/>
    <m/>
    <x v="1"/>
    <x v="0"/>
    <m/>
    <x v="0"/>
    <x v="0"/>
    <d v="2016-01-07T00:00:00"/>
    <m/>
    <x v="0"/>
    <n v="0"/>
    <n v="0"/>
    <s v="No"/>
    <n v="3"/>
    <n v="10"/>
    <n v="0"/>
    <n v="8"/>
    <m/>
    <n v="0"/>
    <n v="0"/>
    <n v="1"/>
    <n v="2936"/>
    <n v="1"/>
    <n v="2936"/>
    <n v="1"/>
    <n v="2936"/>
    <s v="80-100%"/>
    <n v="0"/>
    <n v="0"/>
    <s v="yes"/>
    <n v="0"/>
    <n v="0"/>
    <n v="0"/>
    <n v="1"/>
    <n v="2936"/>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29"/>
    <m/>
    <m/>
    <x v="0"/>
    <x v="0"/>
    <x v="0"/>
    <n v="0"/>
    <n v="0"/>
    <n v="2317"/>
    <m/>
    <x v="1"/>
    <x v="0"/>
    <m/>
    <x v="0"/>
    <x v="0"/>
    <d v="2016-01-07T00:00:00"/>
    <m/>
    <x v="0"/>
    <n v="0"/>
    <n v="0"/>
    <s v="No"/>
    <n v="4"/>
    <n v="5"/>
    <n v="0"/>
    <n v="3"/>
    <m/>
    <n v="0"/>
    <n v="0"/>
    <n v="0.97108329736728527"/>
    <n v="2250"/>
    <n v="0.97108329736728527"/>
    <n v="2250"/>
    <n v="0.97108329736728527"/>
    <n v="2250"/>
    <s v="80-100%"/>
    <n v="0"/>
    <n v="0"/>
    <s v="yes"/>
    <n v="0.26800000000000068"/>
    <n v="0"/>
    <n v="0"/>
    <n v="0.97"/>
    <n v="2247.4899999999998"/>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30"/>
    <m/>
    <m/>
    <x v="0"/>
    <x v="0"/>
    <x v="0"/>
    <n v="0"/>
    <n v="0"/>
    <n v="3506"/>
    <m/>
    <x v="1"/>
    <x v="0"/>
    <m/>
    <x v="0"/>
    <x v="0"/>
    <d v="2016-01-07T00:00:00"/>
    <m/>
    <x v="0"/>
    <n v="0"/>
    <n v="0"/>
    <s v="No"/>
    <n v="3"/>
    <n v="10"/>
    <n v="0"/>
    <n v="4"/>
    <m/>
    <n v="0"/>
    <n v="0"/>
    <n v="0.92698231602966341"/>
    <n v="3250"/>
    <n v="0.92698231602966341"/>
    <n v="3250"/>
    <n v="0.92698231602966341"/>
    <n v="3250"/>
    <s v="80-100%"/>
    <n v="0"/>
    <n v="0"/>
    <s v="yes"/>
    <n v="1.0239999999999991"/>
    <n v="0"/>
    <n v="0"/>
    <n v="0.93"/>
    <n v="3260.5800000000004"/>
    <s v=" 1-pond renovated"/>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2"/>
    <s v="U Daung"/>
    <s v="198028"/>
    <x v="131"/>
    <m/>
    <m/>
    <x v="0"/>
    <x v="0"/>
    <x v="0"/>
    <n v="0"/>
    <n v="0"/>
    <n v="775"/>
    <m/>
    <x v="2"/>
    <x v="0"/>
    <m/>
    <x v="0"/>
    <x v="0"/>
    <d v="2016-01-07T00:00:00"/>
    <m/>
    <x v="0"/>
    <n v="0"/>
    <n v="0"/>
    <s v="No"/>
    <n v="0"/>
    <n v="5"/>
    <n v="0"/>
    <n v="1"/>
    <m/>
    <n v="0"/>
    <n v="0"/>
    <n v="1"/>
    <n v="775"/>
    <n v="1"/>
    <n v="775"/>
    <n v="1"/>
    <n v="775"/>
    <s v="80-100%"/>
    <n v="0"/>
    <n v="0"/>
    <s v="yes"/>
    <n v="0"/>
    <n v="0"/>
    <n v="0"/>
    <n v="1"/>
    <n v="775"/>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2"/>
    <s v="U Daung"/>
    <s v="198028"/>
    <x v="131"/>
    <m/>
    <m/>
    <x v="0"/>
    <x v="0"/>
    <x v="0"/>
    <n v="0"/>
    <n v="0"/>
    <n v="1496"/>
    <m/>
    <x v="1"/>
    <x v="0"/>
    <m/>
    <x v="0"/>
    <x v="0"/>
    <d v="2016-01-07T00:00:00"/>
    <m/>
    <x v="0"/>
    <n v="0"/>
    <n v="0"/>
    <s v="No"/>
    <n v="4"/>
    <n v="15"/>
    <n v="0"/>
    <n v="1"/>
    <m/>
    <n v="0"/>
    <n v="0"/>
    <n v="1"/>
    <n v="1496"/>
    <n v="1"/>
    <n v="1496"/>
    <n v="1"/>
    <n v="1496"/>
    <s v="80-100%"/>
    <n v="0"/>
    <n v="0"/>
    <s v="yes"/>
    <n v="0"/>
    <n v="0"/>
    <n v="0"/>
    <n v="1"/>
    <n v="1496"/>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32"/>
    <m/>
    <m/>
    <x v="0"/>
    <x v="2"/>
    <x v="0"/>
    <n v="0"/>
    <n v="0"/>
    <n v="304"/>
    <m/>
    <x v="0"/>
    <x v="0"/>
    <m/>
    <x v="0"/>
    <x v="0"/>
    <d v="2016-01-07T00:00:00"/>
    <m/>
    <x v="0"/>
    <n v="0"/>
    <n v="0"/>
    <s v="No"/>
    <n v="2"/>
    <n v="0"/>
    <n v="0"/>
    <n v="0"/>
    <m/>
    <n v="0"/>
    <n v="0"/>
    <n v="1"/>
    <n v="304"/>
    <n v="1"/>
    <n v="304"/>
    <n v="1"/>
    <n v="304"/>
    <s v="80-100%"/>
    <n v="0"/>
    <n v="0"/>
    <s v="no"/>
    <n v="0"/>
    <n v="0"/>
    <n v="0"/>
    <n v="1"/>
    <n v="304"/>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6"/>
    <s v="Tat U Chaung"/>
    <s v="197999"/>
    <x v="133"/>
    <m/>
    <m/>
    <x v="0"/>
    <x v="0"/>
    <x v="0"/>
    <n v="0"/>
    <n v="0"/>
    <n v="230"/>
    <m/>
    <x v="0"/>
    <x v="0"/>
    <m/>
    <x v="1"/>
    <x v="0"/>
    <d v="2016-01-07T00:00:00"/>
    <m/>
    <x v="0"/>
    <n v="0"/>
    <n v="0"/>
    <s v="No"/>
    <n v="8"/>
    <n v="30"/>
    <n v="0"/>
    <n v="3"/>
    <m/>
    <n v="0"/>
    <n v="0"/>
    <n v="1"/>
    <n v="230"/>
    <n v="1"/>
    <n v="230"/>
    <n v="1"/>
    <n v="230"/>
    <s v="80-100%"/>
    <n v="0"/>
    <n v="0"/>
    <s v="yes"/>
    <n v="0"/>
    <n v="0"/>
    <n v="0"/>
    <n v="1"/>
    <n v="230"/>
    <m/>
    <n v="0"/>
    <n v="207"/>
    <n v="42"/>
    <x v="0"/>
    <n v="1"/>
    <n v="230"/>
    <n v="1"/>
    <n v="230"/>
    <n v="0"/>
    <n v="0"/>
    <x v="0"/>
    <s v="n/a"/>
    <n v="0"/>
    <s v="n/a"/>
    <s v="n/a"/>
    <s v="n/a"/>
    <s v="n/a"/>
    <s v="n/a"/>
    <s v="n/a"/>
    <s v="n/a"/>
    <s v="n/a"/>
    <s v="n/a"/>
    <s v="n/a"/>
    <n v="1"/>
    <s v="n/a"/>
    <s v="Latrines at each HH"/>
    <s v="n/a"/>
    <m/>
    <m/>
    <s v="n/a"/>
    <n v="0"/>
    <n v="0"/>
    <s v="n/a"/>
    <s v="n/a"/>
    <s v="n/a"/>
    <x v="0"/>
    <s v="HH latrine kits to be distributed"/>
    <n v="0.5"/>
    <n v="115"/>
    <n v="2"/>
    <s v="Low coverage"/>
    <x v="0"/>
    <x v="0"/>
    <x v="0"/>
    <x v="0"/>
    <m/>
  </r>
  <r>
    <x v="3"/>
    <m/>
    <m/>
    <m/>
    <x v="134"/>
    <m/>
    <m/>
    <x v="0"/>
    <x v="0"/>
    <x v="0"/>
    <n v="0"/>
    <n v="0"/>
    <n v="1196"/>
    <m/>
    <x v="1"/>
    <x v="0"/>
    <m/>
    <x v="0"/>
    <x v="0"/>
    <d v="2016-01-07T00:00:00"/>
    <m/>
    <x v="0"/>
    <n v="0"/>
    <n v="0"/>
    <s v="No"/>
    <n v="2"/>
    <n v="16"/>
    <n v="0"/>
    <n v="10"/>
    <m/>
    <n v="0"/>
    <n v="0"/>
    <n v="1"/>
    <n v="1196"/>
    <n v="1"/>
    <n v="1196"/>
    <n v="1"/>
    <n v="1196"/>
    <s v="80-100%"/>
    <n v="0"/>
    <n v="0"/>
    <s v="yes"/>
    <n v="0"/>
    <n v="0"/>
    <n v="0"/>
    <n v="1"/>
    <n v="1196"/>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6"/>
    <s v="Tat U Chaung"/>
    <s v="198000"/>
    <x v="135"/>
    <m/>
    <m/>
    <x v="0"/>
    <x v="0"/>
    <x v="0"/>
    <n v="0"/>
    <n v="0"/>
    <n v="638"/>
    <m/>
    <x v="2"/>
    <x v="0"/>
    <m/>
    <x v="1"/>
    <x v="0"/>
    <d v="2016-01-07T00:00:00"/>
    <m/>
    <x v="0"/>
    <n v="0"/>
    <n v="0"/>
    <s v="No"/>
    <n v="1"/>
    <n v="5"/>
    <n v="0"/>
    <n v="1"/>
    <m/>
    <n v="0"/>
    <n v="0"/>
    <n v="1"/>
    <n v="638"/>
    <n v="1"/>
    <n v="638"/>
    <n v="1"/>
    <n v="638"/>
    <s v="80-100%"/>
    <n v="0"/>
    <n v="0"/>
    <s v="yes"/>
    <n v="0"/>
    <n v="0"/>
    <n v="0"/>
    <n v="1"/>
    <n v="638"/>
    <m/>
    <n v="0"/>
    <n v="48"/>
    <n v="42"/>
    <x v="1"/>
    <n v="1"/>
    <n v="638"/>
    <n v="1"/>
    <n v="638"/>
    <n v="0"/>
    <n v="0"/>
    <x v="0"/>
    <s v="n/a"/>
    <n v="0"/>
    <s v="n/a"/>
    <s v="n/a"/>
    <s v="n/a"/>
    <s v="n/a"/>
    <s v="n/a"/>
    <s v="n/a"/>
    <s v="n/a"/>
    <s v="n/a"/>
    <s v="n/a"/>
    <s v="n/a"/>
    <n v="1"/>
    <s v="n/a"/>
    <s v="Latrines at each HH"/>
    <s v="n/a"/>
    <m/>
    <m/>
    <s v="n/a"/>
    <n v="0"/>
    <n v="0"/>
    <s v="n/a"/>
    <s v="n/a"/>
    <s v="n/a"/>
    <x v="0"/>
    <s v="HH latrine kits to be distributed"/>
    <n v="0.8"/>
    <n v="510.40000000000003"/>
    <n v="2"/>
    <s v="Low coverage"/>
    <x v="0"/>
    <x v="0"/>
    <x v="0"/>
    <x v="0"/>
    <m/>
  </r>
  <r>
    <x v="3"/>
    <m/>
    <m/>
    <m/>
    <x v="136"/>
    <m/>
    <m/>
    <x v="0"/>
    <x v="2"/>
    <x v="0"/>
    <n v="0"/>
    <n v="0"/>
    <n v="370"/>
    <m/>
    <x v="0"/>
    <x v="0"/>
    <m/>
    <x v="1"/>
    <x v="0"/>
    <d v="2016-01-07T00:00:00"/>
    <m/>
    <x v="0"/>
    <n v="0"/>
    <n v="0"/>
    <s v="No"/>
    <n v="0"/>
    <n v="0"/>
    <n v="0"/>
    <n v="1"/>
    <m/>
    <n v="0"/>
    <n v="0"/>
    <n v="0"/>
    <n v="0"/>
    <n v="0"/>
    <n v="0"/>
    <n v="0"/>
    <n v="0"/>
    <s v="0-10%"/>
    <n v="0"/>
    <n v="0"/>
    <s v="yes"/>
    <n v="1.48"/>
    <n v="0"/>
    <n v="0"/>
    <n v="0"/>
    <n v="0"/>
    <m/>
    <n v="0"/>
    <n v="28"/>
    <n v="42"/>
    <x v="0"/>
    <n v="1"/>
    <n v="370"/>
    <n v="1"/>
    <n v="370"/>
    <n v="0"/>
    <n v="0"/>
    <x v="0"/>
    <s v="n/a"/>
    <n v="0"/>
    <s v="n/a"/>
    <s v="n/a"/>
    <s v="n/a"/>
    <s v="n/a"/>
    <s v="n/a"/>
    <s v="n/a"/>
    <s v="n/a"/>
    <s v="n/a"/>
    <s v="n/a"/>
    <s v="n/a"/>
    <n v="1"/>
    <s v="n/a"/>
    <s v="Latrines at each HH"/>
    <s v="n/a"/>
    <m/>
    <m/>
    <s v="n/a"/>
    <n v="0"/>
    <n v="0"/>
    <s v="n/a"/>
    <s v="n/a"/>
    <s v="n/a"/>
    <x v="0"/>
    <s v="HH latrine kits to be distributed"/>
    <n v="0.7"/>
    <n v="259"/>
    <n v="2"/>
    <s v="Low coverage"/>
    <x v="0"/>
    <x v="0"/>
    <x v="0"/>
    <x v="0"/>
    <m/>
  </r>
  <r>
    <x v="3"/>
    <m/>
    <m/>
    <m/>
    <x v="136"/>
    <m/>
    <m/>
    <x v="0"/>
    <x v="2"/>
    <x v="0"/>
    <n v="0"/>
    <n v="0"/>
    <n v="253"/>
    <m/>
    <x v="0"/>
    <x v="0"/>
    <m/>
    <x v="0"/>
    <x v="0"/>
    <d v="2016-01-07T00:00:00"/>
    <m/>
    <x v="0"/>
    <n v="0"/>
    <n v="0"/>
    <s v="No"/>
    <n v="1"/>
    <n v="4"/>
    <n v="0"/>
    <n v="1"/>
    <m/>
    <n v="0"/>
    <n v="0"/>
    <n v="1"/>
    <n v="253"/>
    <n v="1"/>
    <n v="253"/>
    <n v="1"/>
    <n v="253"/>
    <s v="80-100%"/>
    <n v="0"/>
    <n v="0"/>
    <s v="yes"/>
    <n v="0"/>
    <n v="0"/>
    <n v="0"/>
    <n v="1"/>
    <n v="25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37"/>
    <m/>
    <m/>
    <x v="0"/>
    <x v="2"/>
    <x v="0"/>
    <n v="0"/>
    <n v="0"/>
    <n v="547"/>
    <m/>
    <x v="2"/>
    <x v="0"/>
    <m/>
    <x v="0"/>
    <x v="0"/>
    <d v="2016-01-07T00:00:00"/>
    <m/>
    <x v="0"/>
    <n v="0"/>
    <n v="0"/>
    <s v="No"/>
    <n v="2"/>
    <n v="6"/>
    <n v="0"/>
    <n v="0"/>
    <m/>
    <n v="0"/>
    <n v="0"/>
    <n v="1"/>
    <n v="547"/>
    <n v="1"/>
    <n v="547"/>
    <n v="1"/>
    <n v="547"/>
    <s v="80-100%"/>
    <n v="0"/>
    <n v="0"/>
    <s v="no"/>
    <n v="0"/>
    <n v="0"/>
    <n v="0"/>
    <n v="1"/>
    <n v="547"/>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37"/>
    <m/>
    <m/>
    <x v="0"/>
    <x v="2"/>
    <x v="0"/>
    <n v="0"/>
    <n v="0"/>
    <n v="383"/>
    <m/>
    <x v="0"/>
    <x v="0"/>
    <m/>
    <x v="0"/>
    <x v="0"/>
    <d v="2016-01-07T00:00:00"/>
    <m/>
    <x v="0"/>
    <n v="0"/>
    <n v="0"/>
    <s v="No"/>
    <n v="4"/>
    <n v="0"/>
    <n v="0"/>
    <n v="1"/>
    <m/>
    <n v="0"/>
    <n v="0"/>
    <n v="1"/>
    <n v="383"/>
    <n v="1"/>
    <n v="383"/>
    <n v="1"/>
    <n v="383"/>
    <s v="80-100%"/>
    <n v="0"/>
    <n v="0"/>
    <s v="yes"/>
    <n v="0"/>
    <n v="0"/>
    <n v="0"/>
    <n v="1"/>
    <n v="38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38"/>
    <m/>
    <m/>
    <x v="0"/>
    <x v="0"/>
    <x v="0"/>
    <n v="0"/>
    <n v="0"/>
    <n v="2000"/>
    <m/>
    <x v="1"/>
    <x v="0"/>
    <m/>
    <x v="1"/>
    <x v="0"/>
    <d v="2016-01-07T00:00:00"/>
    <m/>
    <x v="0"/>
    <n v="0"/>
    <n v="0"/>
    <s v="No"/>
    <n v="0"/>
    <n v="15"/>
    <n v="0"/>
    <n v="0"/>
    <m/>
    <n v="0"/>
    <n v="0"/>
    <n v="1"/>
    <n v="2000"/>
    <n v="1"/>
    <n v="2000"/>
    <n v="1"/>
    <n v="2000"/>
    <s v="80-100%"/>
    <n v="0"/>
    <n v="0"/>
    <s v="no"/>
    <n v="0"/>
    <n v="0"/>
    <n v="0"/>
    <n v="1"/>
    <n v="2000"/>
    <m/>
    <n v="0"/>
    <n v="184"/>
    <n v="42"/>
    <x v="0"/>
    <n v="1"/>
    <n v="2000"/>
    <n v="1"/>
    <n v="2000"/>
    <n v="0"/>
    <n v="0"/>
    <x v="0"/>
    <s v="n/a"/>
    <n v="0"/>
    <s v="n/a"/>
    <s v="n/a"/>
    <s v="n/a"/>
    <s v="n/a"/>
    <s v="n/a"/>
    <s v="n/a"/>
    <s v="n/a"/>
    <s v="n/a"/>
    <s v="n/a"/>
    <s v="n/a"/>
    <n v="1"/>
    <s v="n/a"/>
    <s v="Latrines at each HH"/>
    <s v="n/a"/>
    <m/>
    <m/>
    <s v="n/a"/>
    <n v="0"/>
    <n v="0"/>
    <s v="n/a"/>
    <s v="n/a"/>
    <s v="n/a"/>
    <x v="0"/>
    <s v="HH latrine kits to be distributed"/>
    <n v="0.5"/>
    <n v="1000"/>
    <n v="2"/>
    <s v="Low coverage"/>
    <x v="0"/>
    <x v="0"/>
    <x v="0"/>
    <x v="0"/>
    <m/>
  </r>
  <r>
    <x v="3"/>
    <s v="MMR012009035"/>
    <s v="Chan Pyin"/>
    <s v="197897"/>
    <x v="139"/>
    <m/>
    <m/>
    <x v="0"/>
    <x v="2"/>
    <x v="0"/>
    <n v="0"/>
    <n v="0"/>
    <n v="105"/>
    <m/>
    <x v="0"/>
    <x v="0"/>
    <m/>
    <x v="0"/>
    <x v="0"/>
    <d v="2016-01-07T00:00:00"/>
    <m/>
    <x v="0"/>
    <n v="0"/>
    <n v="0"/>
    <s v="No"/>
    <n v="0"/>
    <n v="0"/>
    <n v="0"/>
    <n v="1"/>
    <m/>
    <n v="0"/>
    <n v="0"/>
    <n v="0"/>
    <n v="0"/>
    <n v="0"/>
    <n v="0"/>
    <n v="0"/>
    <n v="0"/>
    <s v="0-10%"/>
    <n v="0"/>
    <n v="0"/>
    <s v="yes"/>
    <n v="0.42"/>
    <n v="0"/>
    <n v="0"/>
    <n v="0.9"/>
    <n v="94.5"/>
    <s v=" 1-pond renovated"/>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8"/>
    <s v="Zaw Ma Tat"/>
    <s v="198047"/>
    <x v="140"/>
    <m/>
    <m/>
    <x v="0"/>
    <x v="0"/>
    <x v="0"/>
    <n v="0"/>
    <n v="0"/>
    <n v="450"/>
    <m/>
    <x v="0"/>
    <x v="0"/>
    <m/>
    <x v="1"/>
    <x v="0"/>
    <d v="2016-01-07T00:00:00"/>
    <m/>
    <x v="0"/>
    <n v="0"/>
    <n v="0"/>
    <s v="No"/>
    <n v="0"/>
    <n v="3"/>
    <n v="0"/>
    <n v="1"/>
    <m/>
    <n v="0"/>
    <n v="0"/>
    <n v="1"/>
    <n v="450"/>
    <n v="1"/>
    <n v="450"/>
    <n v="1"/>
    <n v="450"/>
    <s v="80-100%"/>
    <n v="0"/>
    <n v="0"/>
    <s v="yes"/>
    <n v="0"/>
    <n v="0"/>
    <n v="0"/>
    <n v="1"/>
    <n v="450"/>
    <m/>
    <n v="0"/>
    <n v="26"/>
    <n v="42"/>
    <x v="1"/>
    <n v="1"/>
    <n v="450"/>
    <n v="1"/>
    <n v="450"/>
    <n v="0"/>
    <n v="0"/>
    <x v="0"/>
    <s v="n/a"/>
    <n v="0"/>
    <s v="n/a"/>
    <s v="n/a"/>
    <s v="n/a"/>
    <s v="n/a"/>
    <s v="n/a"/>
    <s v="n/a"/>
    <s v="n/a"/>
    <s v="n/a"/>
    <s v="n/a"/>
    <s v="n/a"/>
    <n v="1"/>
    <s v="n/a"/>
    <s v="Latrines at each HH"/>
    <s v="n/a"/>
    <m/>
    <m/>
    <s v="n/a"/>
    <n v="0"/>
    <n v="0"/>
    <s v="n/a"/>
    <s v="n/a"/>
    <s v="n/a"/>
    <x v="0"/>
    <s v="HH latrine kits to be distributed"/>
    <n v="1"/>
    <n v="450"/>
    <n v="2"/>
    <s v="Low coverage"/>
    <x v="0"/>
    <x v="0"/>
    <x v="0"/>
    <x v="0"/>
    <m/>
  </r>
  <r>
    <x v="3"/>
    <m/>
    <m/>
    <m/>
    <x v="141"/>
    <m/>
    <m/>
    <x v="0"/>
    <x v="2"/>
    <x v="0"/>
    <n v="0"/>
    <n v="0"/>
    <n v="841"/>
    <m/>
    <x v="2"/>
    <x v="0"/>
    <m/>
    <x v="1"/>
    <x v="0"/>
    <d v="2016-01-07T00:00:00"/>
    <m/>
    <x v="0"/>
    <n v="0"/>
    <n v="0"/>
    <s v="No"/>
    <n v="1"/>
    <n v="0"/>
    <n v="0"/>
    <n v="0"/>
    <m/>
    <n v="0"/>
    <n v="0"/>
    <n v="0.29726516052318669"/>
    <n v="250"/>
    <n v="0.29726516052318669"/>
    <n v="250"/>
    <n v="0.29726516052318669"/>
    <n v="250"/>
    <s v="15-30%"/>
    <n v="0"/>
    <n v="0"/>
    <s v="no"/>
    <n v="2.3639999999999999"/>
    <n v="0"/>
    <n v="0"/>
    <n v="0.3"/>
    <n v="252.29999999999998"/>
    <m/>
    <n v="0"/>
    <n v="90"/>
    <n v="42"/>
    <x v="0"/>
    <n v="1"/>
    <n v="841"/>
    <n v="1"/>
    <n v="841"/>
    <n v="0"/>
    <n v="0"/>
    <x v="0"/>
    <s v="n/a"/>
    <n v="0"/>
    <s v="n/a"/>
    <s v="n/a"/>
    <s v="n/a"/>
    <s v="n/a"/>
    <s v="n/a"/>
    <s v="n/a"/>
    <s v="n/a"/>
    <s v="n/a"/>
    <s v="n/a"/>
    <s v="n/a"/>
    <n v="1"/>
    <s v="n/a"/>
    <s v="Latrines at each HH"/>
    <s v="n/a"/>
    <m/>
    <m/>
    <s v="n/a"/>
    <n v="0"/>
    <n v="0"/>
    <s v="n/a"/>
    <s v="n/a"/>
    <s v="n/a"/>
    <x v="0"/>
    <s v="HH latrine kits to be distributed"/>
    <n v="0.3"/>
    <n v="252.29999999999998"/>
    <n v="2"/>
    <s v="Low coverage"/>
    <x v="0"/>
    <x v="0"/>
    <x v="0"/>
    <x v="0"/>
    <m/>
  </r>
  <r>
    <x v="3"/>
    <s v="MMR012009066"/>
    <s v="Tat U Chaung"/>
    <s v="198002"/>
    <x v="142"/>
    <m/>
    <m/>
    <x v="0"/>
    <x v="0"/>
    <x v="0"/>
    <n v="0"/>
    <n v="0"/>
    <n v="640"/>
    <m/>
    <x v="2"/>
    <x v="0"/>
    <m/>
    <x v="1"/>
    <x v="0"/>
    <d v="2016-01-07T00:00:00"/>
    <m/>
    <x v="0"/>
    <n v="0"/>
    <n v="0"/>
    <s v="No"/>
    <n v="1"/>
    <n v="0"/>
    <n v="0"/>
    <n v="0"/>
    <m/>
    <n v="0"/>
    <n v="0"/>
    <n v="0.390625"/>
    <n v="250"/>
    <n v="0.390625"/>
    <n v="250"/>
    <n v="0.390625"/>
    <n v="250"/>
    <s v="30-45%"/>
    <n v="0"/>
    <n v="0"/>
    <s v="no"/>
    <n v="1.56"/>
    <n v="0"/>
    <n v="0"/>
    <n v="0.39"/>
    <n v="249.60000000000002"/>
    <m/>
    <n v="0"/>
    <n v="35"/>
    <n v="42"/>
    <x v="1"/>
    <n v="1"/>
    <n v="640"/>
    <n v="1"/>
    <n v="640"/>
    <n v="0"/>
    <n v="0"/>
    <x v="0"/>
    <s v="n/a"/>
    <n v="0"/>
    <s v="n/a"/>
    <s v="n/a"/>
    <s v="n/a"/>
    <s v="n/a"/>
    <s v="n/a"/>
    <s v="n/a"/>
    <s v="n/a"/>
    <s v="n/a"/>
    <s v="n/a"/>
    <s v="n/a"/>
    <n v="1"/>
    <s v="n/a"/>
    <s v="Latrines at each HH"/>
    <s v="n/a"/>
    <m/>
    <m/>
    <s v="n/a"/>
    <n v="0"/>
    <n v="0"/>
    <s v="n/a"/>
    <s v="n/a"/>
    <s v="n/a"/>
    <x v="0"/>
    <s v="HH latrine kits to be distributed"/>
    <n v="0.8"/>
    <n v="512"/>
    <n v="2"/>
    <s v="Low coverage"/>
    <x v="0"/>
    <x v="0"/>
    <x v="0"/>
    <x v="0"/>
    <m/>
  </r>
  <r>
    <x v="3"/>
    <s v="MMR012009063"/>
    <s v="Myo Thu Gyi"/>
    <s v="197991"/>
    <x v="143"/>
    <m/>
    <m/>
    <x v="0"/>
    <x v="0"/>
    <x v="0"/>
    <n v="0"/>
    <n v="0"/>
    <n v="2135"/>
    <m/>
    <x v="1"/>
    <x v="0"/>
    <m/>
    <x v="1"/>
    <x v="0"/>
    <d v="2016-01-07T00:00:00"/>
    <m/>
    <x v="0"/>
    <n v="0"/>
    <n v="0"/>
    <s v="No"/>
    <n v="7"/>
    <n v="6"/>
    <n v="0"/>
    <n v="3"/>
    <m/>
    <n v="0"/>
    <n v="0"/>
    <n v="1"/>
    <n v="2135"/>
    <n v="1"/>
    <n v="2135"/>
    <n v="1"/>
    <n v="2135"/>
    <s v="80-100%"/>
    <n v="0"/>
    <n v="0"/>
    <s v="yes"/>
    <n v="0"/>
    <n v="0"/>
    <n v="0"/>
    <n v="1"/>
    <n v="2135"/>
    <m/>
    <n v="0"/>
    <n v="151"/>
    <n v="42"/>
    <x v="1"/>
    <n v="1"/>
    <n v="2135"/>
    <n v="1"/>
    <n v="2135"/>
    <n v="0"/>
    <n v="0"/>
    <x v="0"/>
    <s v="n/a"/>
    <n v="0"/>
    <s v="n/a"/>
    <s v="n/a"/>
    <s v="n/a"/>
    <s v="n/a"/>
    <s v="n/a"/>
    <s v="n/a"/>
    <s v="n/a"/>
    <s v="n/a"/>
    <s v="n/a"/>
    <s v="n/a"/>
    <n v="1"/>
    <s v="n/a"/>
    <s v="Latrines at each HH"/>
    <s v="n/a"/>
    <m/>
    <m/>
    <s v="n/a"/>
    <n v="0"/>
    <n v="0"/>
    <s v="n/a"/>
    <s v="n/a"/>
    <s v="n/a"/>
    <x v="0"/>
    <s v="HH latrine kits to be distributed"/>
    <n v="0.3"/>
    <n v="640.5"/>
    <n v="2"/>
    <s v="Low coverage"/>
    <x v="0"/>
    <x v="0"/>
    <x v="0"/>
    <x v="0"/>
    <m/>
  </r>
  <r>
    <x v="3"/>
    <m/>
    <m/>
    <m/>
    <x v="52"/>
    <m/>
    <m/>
    <x v="0"/>
    <x v="0"/>
    <x v="0"/>
    <n v="0"/>
    <n v="0"/>
    <n v="1810"/>
    <m/>
    <x v="1"/>
    <x v="0"/>
    <m/>
    <x v="0"/>
    <x v="0"/>
    <d v="2016-01-07T00:00:00"/>
    <m/>
    <x v="0"/>
    <n v="0"/>
    <n v="0"/>
    <s v="No"/>
    <n v="3"/>
    <n v="90"/>
    <n v="0"/>
    <n v="3"/>
    <m/>
    <n v="0"/>
    <n v="0"/>
    <n v="1"/>
    <n v="1810"/>
    <n v="1"/>
    <n v="1810"/>
    <n v="1"/>
    <n v="1810"/>
    <s v="80-100%"/>
    <n v="0"/>
    <n v="0"/>
    <s v="yes"/>
    <n v="0"/>
    <n v="0"/>
    <n v="0"/>
    <n v="1"/>
    <n v="1810"/>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44"/>
    <m/>
    <m/>
    <x v="0"/>
    <x v="2"/>
    <x v="0"/>
    <n v="0"/>
    <n v="0"/>
    <n v="273"/>
    <m/>
    <x v="0"/>
    <x v="0"/>
    <m/>
    <x v="0"/>
    <x v="0"/>
    <d v="2016-01-07T00:00:00"/>
    <m/>
    <x v="0"/>
    <n v="0"/>
    <n v="0"/>
    <s v="No"/>
    <n v="1"/>
    <n v="0"/>
    <n v="0"/>
    <n v="0"/>
    <m/>
    <n v="0"/>
    <n v="0"/>
    <n v="0.91575091575091572"/>
    <n v="250"/>
    <n v="0.91575091575091572"/>
    <n v="250"/>
    <n v="0.91575091575091572"/>
    <n v="250"/>
    <s v="80-100%"/>
    <n v="0"/>
    <n v="0"/>
    <s v="no"/>
    <n v="9.2000000000000082E-2"/>
    <n v="0"/>
    <n v="0"/>
    <n v="0.92"/>
    <n v="251.16000000000003"/>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45"/>
    <m/>
    <m/>
    <x v="0"/>
    <x v="2"/>
    <x v="0"/>
    <n v="0"/>
    <n v="0"/>
    <n v="292"/>
    <m/>
    <x v="0"/>
    <x v="0"/>
    <m/>
    <x v="0"/>
    <x v="0"/>
    <d v="2016-01-07T00:00:00"/>
    <m/>
    <x v="0"/>
    <n v="0"/>
    <n v="0"/>
    <s v="No"/>
    <n v="0"/>
    <n v="0"/>
    <n v="0"/>
    <n v="0"/>
    <m/>
    <n v="0"/>
    <n v="0"/>
    <n v="0"/>
    <n v="0"/>
    <n v="0"/>
    <n v="0"/>
    <n v="0"/>
    <n v="0"/>
    <s v="0-10%"/>
    <n v="0"/>
    <n v="0"/>
    <s v="no"/>
    <n v="1.1679999999999999"/>
    <n v="0"/>
    <n v="0"/>
    <n v="0.9"/>
    <n v="262.8"/>
    <s v="1- spring cash flow renovated"/>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NA"/>
    <s v="NA"/>
    <m/>
    <x v="146"/>
    <m/>
    <m/>
    <x v="0"/>
    <x v="2"/>
    <x v="0"/>
    <n v="0"/>
    <n v="0"/>
    <n v="250"/>
    <m/>
    <x v="0"/>
    <x v="0"/>
    <m/>
    <x v="1"/>
    <x v="0"/>
    <d v="2016-01-07T00:00:00"/>
    <m/>
    <x v="0"/>
    <n v="0"/>
    <n v="0"/>
    <s v="No"/>
    <n v="1"/>
    <n v="0"/>
    <n v="0"/>
    <n v="0"/>
    <m/>
    <n v="0"/>
    <n v="0"/>
    <n v="1"/>
    <n v="250"/>
    <n v="1"/>
    <n v="250"/>
    <n v="1"/>
    <n v="250"/>
    <s v="80-100%"/>
    <n v="0"/>
    <n v="0"/>
    <s v="no"/>
    <n v="0"/>
    <n v="0"/>
    <n v="0"/>
    <n v="1"/>
    <n v="250"/>
    <m/>
    <n v="0"/>
    <n v="40"/>
    <n v="42"/>
    <x v="0"/>
    <n v="1"/>
    <n v="250"/>
    <n v="1"/>
    <n v="250"/>
    <n v="0"/>
    <n v="0"/>
    <x v="0"/>
    <s v="n/a"/>
    <n v="0"/>
    <s v="n/a"/>
    <s v="n/a"/>
    <s v="n/a"/>
    <s v="n/a"/>
    <s v="n/a"/>
    <s v="n/a"/>
    <s v="n/a"/>
    <s v="n/a"/>
    <s v="n/a"/>
    <s v="n/a"/>
    <n v="1"/>
    <s v="n/a"/>
    <s v="Latrines at each HH"/>
    <s v="n/a"/>
    <m/>
    <m/>
    <s v="n/a"/>
    <n v="0"/>
    <n v="0"/>
    <s v="n/a"/>
    <s v="n/a"/>
    <s v="n/a"/>
    <x v="0"/>
    <s v="HH latrine kits to be distributed"/>
    <n v="1"/>
    <n v="250"/>
    <n v="2"/>
    <s v="Low coverage"/>
    <x v="0"/>
    <x v="0"/>
    <x v="0"/>
    <x v="0"/>
    <m/>
  </r>
  <r>
    <x v="3"/>
    <s v="MMR012009065"/>
    <s v="Pan Taw Pyin"/>
    <s v="197997"/>
    <x v="147"/>
    <m/>
    <m/>
    <x v="0"/>
    <x v="0"/>
    <x v="0"/>
    <n v="0"/>
    <n v="0"/>
    <n v="423"/>
    <m/>
    <x v="0"/>
    <x v="0"/>
    <m/>
    <x v="1"/>
    <x v="0"/>
    <d v="2016-01-07T00:00:00"/>
    <m/>
    <x v="0"/>
    <n v="0"/>
    <n v="0"/>
    <s v="No"/>
    <n v="5"/>
    <n v="4"/>
    <n v="0"/>
    <n v="1"/>
    <m/>
    <n v="0"/>
    <n v="0"/>
    <n v="1"/>
    <n v="423"/>
    <n v="1"/>
    <n v="423"/>
    <n v="1"/>
    <n v="423"/>
    <s v="80-100%"/>
    <n v="0"/>
    <n v="0"/>
    <s v="yes"/>
    <n v="0"/>
    <n v="0"/>
    <n v="0"/>
    <n v="1"/>
    <n v="423"/>
    <m/>
    <n v="0"/>
    <n v="16"/>
    <n v="42"/>
    <x v="1"/>
    <n v="1"/>
    <n v="423"/>
    <n v="1"/>
    <n v="423"/>
    <n v="0"/>
    <n v="0"/>
    <x v="0"/>
    <s v="n/a"/>
    <n v="0"/>
    <s v="n/a"/>
    <s v="n/a"/>
    <s v="n/a"/>
    <s v="n/a"/>
    <s v="n/a"/>
    <s v="n/a"/>
    <s v="n/a"/>
    <s v="n/a"/>
    <s v="n/a"/>
    <s v="n/a"/>
    <n v="1"/>
    <s v="n/a"/>
    <s v="Latrines at each HH"/>
    <s v="n/a"/>
    <m/>
    <m/>
    <s v="n/a"/>
    <n v="0"/>
    <n v="0"/>
    <s v="n/a"/>
    <s v="n/a"/>
    <s v="n/a"/>
    <x v="0"/>
    <s v="HH latrine kits to be distributed"/>
    <n v="0.8"/>
    <n v="338.40000000000003"/>
    <n v="2"/>
    <s v="Low coverage"/>
    <x v="0"/>
    <x v="0"/>
    <x v="0"/>
    <x v="0"/>
    <m/>
  </r>
  <r>
    <x v="3"/>
    <s v="MMR012009024"/>
    <s v="Sa Bai Kone"/>
    <s v="197867"/>
    <x v="148"/>
    <m/>
    <m/>
    <x v="0"/>
    <x v="0"/>
    <x v="0"/>
    <n v="0"/>
    <n v="0"/>
    <n v="310"/>
    <m/>
    <x v="0"/>
    <x v="0"/>
    <m/>
    <x v="0"/>
    <x v="0"/>
    <d v="2016-01-07T00:00:00"/>
    <m/>
    <x v="0"/>
    <n v="0"/>
    <n v="0"/>
    <s v="No"/>
    <n v="0"/>
    <n v="0"/>
    <n v="0"/>
    <n v="1"/>
    <m/>
    <n v="0"/>
    <n v="0"/>
    <n v="0"/>
    <n v="0"/>
    <n v="0"/>
    <n v="0"/>
    <n v="0"/>
    <n v="0"/>
    <s v="0-10%"/>
    <n v="0"/>
    <n v="0"/>
    <s v="yes"/>
    <n v="1.24"/>
    <n v="0"/>
    <n v="0"/>
    <n v="0.9"/>
    <n v="279"/>
    <s v=" 1-pond renovated"/>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65"/>
    <s v="Pan Taw Pyin"/>
    <s v="197996"/>
    <x v="149"/>
    <m/>
    <m/>
    <x v="0"/>
    <x v="0"/>
    <x v="0"/>
    <n v="0"/>
    <n v="0"/>
    <n v="2495"/>
    <m/>
    <x v="1"/>
    <x v="0"/>
    <m/>
    <x v="1"/>
    <x v="0"/>
    <d v="2016-01-07T00:00:00"/>
    <m/>
    <x v="0"/>
    <n v="0"/>
    <n v="0"/>
    <s v="No"/>
    <n v="5"/>
    <n v="3"/>
    <n v="0"/>
    <n v="2"/>
    <m/>
    <n v="0"/>
    <n v="0"/>
    <n v="0.80160320641282568"/>
    <n v="2000"/>
    <n v="0.80160320641282568"/>
    <n v="2000"/>
    <n v="0.80160320641282568"/>
    <n v="2000"/>
    <s v="80-100%"/>
    <n v="0"/>
    <n v="0"/>
    <s v="yes"/>
    <n v="1.9800000000000004"/>
    <n v="0"/>
    <n v="0"/>
    <n v="0.8"/>
    <n v="1996"/>
    <m/>
    <n v="0"/>
    <n v="32"/>
    <n v="42"/>
    <x v="1"/>
    <n v="0.5386773547094188"/>
    <n v="1344"/>
    <n v="0.5386773547094188"/>
    <n v="1344"/>
    <n v="0"/>
    <n v="0"/>
    <x v="0"/>
    <s v="n/a"/>
    <n v="0"/>
    <s v="n/a"/>
    <s v="n/a"/>
    <s v="n/a"/>
    <s v="n/a"/>
    <s v="n/a"/>
    <s v="n/a"/>
    <s v="n/a"/>
    <s v="n/a"/>
    <s v="n/a"/>
    <s v="n/a"/>
    <n v="1"/>
    <s v="n/a"/>
    <s v="Latrines at each HH"/>
    <s v="n/a"/>
    <m/>
    <m/>
    <s v="n/a"/>
    <n v="0"/>
    <n v="0"/>
    <s v="n/a"/>
    <s v="n/a"/>
    <s v="n/a"/>
    <x v="0"/>
    <s v="HH latrine kits to be distributed"/>
    <n v="0.2"/>
    <n v="499"/>
    <n v="2"/>
    <s v="Low coverage"/>
    <x v="0"/>
    <x v="0"/>
    <x v="0"/>
    <x v="0"/>
    <m/>
  </r>
  <r>
    <x v="3"/>
    <s v="MMR012009063"/>
    <s v="Myo Thu Gyi"/>
    <s v="197990"/>
    <x v="150"/>
    <m/>
    <m/>
    <x v="0"/>
    <x v="0"/>
    <x v="0"/>
    <n v="0"/>
    <n v="0"/>
    <n v="3020"/>
    <m/>
    <x v="1"/>
    <x v="0"/>
    <m/>
    <x v="1"/>
    <x v="0"/>
    <d v="2016-01-07T00:00:00"/>
    <m/>
    <x v="0"/>
    <n v="0"/>
    <n v="0"/>
    <s v="No"/>
    <n v="1"/>
    <n v="7"/>
    <n v="0"/>
    <n v="2"/>
    <m/>
    <n v="0"/>
    <n v="0"/>
    <n v="0.66225165562913912"/>
    <n v="2000.0000000000002"/>
    <n v="0.66225165562913912"/>
    <n v="2000.0000000000002"/>
    <n v="0.66225165562913912"/>
    <n v="2000.0000000000002"/>
    <s v="60-80%"/>
    <n v="0"/>
    <n v="0"/>
    <s v="yes"/>
    <n v="4.08"/>
    <n v="0"/>
    <n v="0"/>
    <n v="0.66"/>
    <n v="1993.2"/>
    <m/>
    <n v="0"/>
    <n v="189"/>
    <n v="42"/>
    <x v="1"/>
    <n v="1"/>
    <n v="3020"/>
    <n v="1"/>
    <n v="3020"/>
    <n v="0"/>
    <n v="0"/>
    <x v="0"/>
    <s v="n/a"/>
    <n v="0"/>
    <s v="n/a"/>
    <s v="n/a"/>
    <s v="n/a"/>
    <s v="n/a"/>
    <s v="n/a"/>
    <s v="n/a"/>
    <s v="n/a"/>
    <s v="n/a"/>
    <s v="n/a"/>
    <s v="n/a"/>
    <n v="1"/>
    <s v="n/a"/>
    <s v="Latrines at each HH"/>
    <s v="n/a"/>
    <m/>
    <m/>
    <s v="n/a"/>
    <n v="0"/>
    <n v="0"/>
    <s v="n/a"/>
    <s v="n/a"/>
    <s v="n/a"/>
    <x v="0"/>
    <s v="HH latrine kits to be distributed"/>
    <n v="0.5"/>
    <n v="1510"/>
    <n v="2"/>
    <s v="Low coverage"/>
    <x v="0"/>
    <x v="0"/>
    <x v="0"/>
    <x v="0"/>
    <m/>
  </r>
  <r>
    <x v="3"/>
    <s v="MMR012009063"/>
    <s v="Myo Thu Gyi"/>
    <s v="197990"/>
    <x v="150"/>
    <m/>
    <m/>
    <x v="0"/>
    <x v="2"/>
    <x v="0"/>
    <n v="0"/>
    <n v="0"/>
    <n v="495"/>
    <m/>
    <x v="0"/>
    <x v="0"/>
    <m/>
    <x v="1"/>
    <x v="0"/>
    <d v="2016-01-07T00:00:00"/>
    <m/>
    <x v="0"/>
    <n v="0"/>
    <n v="0"/>
    <s v="No"/>
    <n v="2"/>
    <n v="0"/>
    <n v="0"/>
    <n v="1"/>
    <m/>
    <n v="0"/>
    <n v="0"/>
    <n v="1"/>
    <n v="495"/>
    <n v="1"/>
    <n v="495"/>
    <n v="1"/>
    <n v="495"/>
    <s v="80-100%"/>
    <n v="0"/>
    <n v="0"/>
    <s v="yes"/>
    <n v="0"/>
    <n v="0"/>
    <n v="0"/>
    <n v="1"/>
    <n v="495"/>
    <m/>
    <n v="0"/>
    <n v="40"/>
    <n v="42"/>
    <x v="0"/>
    <n v="1"/>
    <n v="495"/>
    <n v="1"/>
    <n v="495"/>
    <n v="0"/>
    <n v="0"/>
    <x v="0"/>
    <s v="n/a"/>
    <n v="0"/>
    <s v="n/a"/>
    <s v="n/a"/>
    <s v="n/a"/>
    <s v="n/a"/>
    <s v="n/a"/>
    <s v="n/a"/>
    <s v="n/a"/>
    <s v="n/a"/>
    <s v="n/a"/>
    <s v="n/a"/>
    <n v="1"/>
    <s v="n/a"/>
    <s v="Latrines at each HH"/>
    <s v="n/a"/>
    <m/>
    <m/>
    <s v="n/a"/>
    <n v="0"/>
    <n v="0"/>
    <s v="n/a"/>
    <s v="n/a"/>
    <s v="n/a"/>
    <x v="0"/>
    <s v="HH latrine kits to be distributed"/>
    <n v="0.2"/>
    <n v="99"/>
    <n v="2"/>
    <s v="Low coverage"/>
    <x v="0"/>
    <x v="0"/>
    <x v="0"/>
    <x v="0"/>
    <m/>
  </r>
  <r>
    <x v="3"/>
    <m/>
    <m/>
    <m/>
    <x v="151"/>
    <m/>
    <m/>
    <x v="0"/>
    <x v="0"/>
    <x v="0"/>
    <n v="0"/>
    <n v="0"/>
    <n v="4122"/>
    <m/>
    <x v="1"/>
    <x v="0"/>
    <m/>
    <x v="0"/>
    <x v="0"/>
    <d v="2016-01-07T00:00:00"/>
    <m/>
    <x v="0"/>
    <n v="0"/>
    <n v="0"/>
    <s v="No"/>
    <n v="6"/>
    <n v="40"/>
    <n v="0"/>
    <n v="3"/>
    <m/>
    <n v="0"/>
    <n v="0"/>
    <n v="1"/>
    <n v="4122"/>
    <n v="1"/>
    <n v="4122"/>
    <n v="1"/>
    <n v="4122"/>
    <s v="80-100%"/>
    <n v="0"/>
    <n v="0"/>
    <s v="yes"/>
    <n v="0"/>
    <n v="0"/>
    <n v="0"/>
    <n v="1"/>
    <n v="4122"/>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m/>
    <m/>
    <m/>
    <x v="152"/>
    <m/>
    <m/>
    <x v="0"/>
    <x v="2"/>
    <x v="0"/>
    <n v="0"/>
    <n v="0"/>
    <n v="372"/>
    <m/>
    <x v="0"/>
    <x v="0"/>
    <m/>
    <x v="0"/>
    <x v="0"/>
    <d v="2016-01-07T00:00:00"/>
    <m/>
    <x v="0"/>
    <n v="0"/>
    <n v="0"/>
    <s v="No"/>
    <n v="3"/>
    <n v="0"/>
    <n v="0"/>
    <n v="0"/>
    <m/>
    <n v="0"/>
    <n v="0"/>
    <n v="1"/>
    <n v="372"/>
    <n v="1"/>
    <n v="372"/>
    <n v="1"/>
    <n v="372"/>
    <s v="80-100%"/>
    <n v="0"/>
    <n v="0"/>
    <s v="no"/>
    <n v="0"/>
    <n v="0"/>
    <n v="0"/>
    <n v="1"/>
    <n v="372"/>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3"/>
    <s v="MMR012009078"/>
    <s v="Zaw Ma Tat"/>
    <s v="198045"/>
    <x v="153"/>
    <m/>
    <m/>
    <x v="0"/>
    <x v="0"/>
    <x v="0"/>
    <n v="0"/>
    <n v="0"/>
    <n v="342"/>
    <m/>
    <x v="0"/>
    <x v="0"/>
    <m/>
    <x v="1"/>
    <x v="0"/>
    <d v="2016-01-07T00:00:00"/>
    <m/>
    <x v="0"/>
    <n v="0"/>
    <n v="0"/>
    <s v="No"/>
    <n v="10"/>
    <n v="30"/>
    <n v="0"/>
    <n v="0"/>
    <m/>
    <n v="0"/>
    <n v="0"/>
    <n v="1"/>
    <n v="342"/>
    <n v="1"/>
    <n v="342"/>
    <n v="1"/>
    <n v="342"/>
    <s v="80-100%"/>
    <n v="0"/>
    <n v="0"/>
    <s v="no"/>
    <n v="0"/>
    <n v="0"/>
    <n v="0"/>
    <n v="1"/>
    <n v="342"/>
    <m/>
    <n v="0"/>
    <n v="74"/>
    <n v="42"/>
    <x v="1"/>
    <n v="1"/>
    <n v="342"/>
    <n v="1"/>
    <n v="342"/>
    <n v="0"/>
    <n v="0"/>
    <x v="0"/>
    <s v="n/a"/>
    <n v="0"/>
    <s v="n/a"/>
    <s v="n/a"/>
    <s v="n/a"/>
    <s v="n/a"/>
    <s v="n/a"/>
    <s v="n/a"/>
    <s v="n/a"/>
    <s v="n/a"/>
    <s v="n/a"/>
    <s v="n/a"/>
    <n v="1"/>
    <s v="n/a"/>
    <s v="Latrines at each HH"/>
    <s v="n/a"/>
    <m/>
    <m/>
    <s v="n/a"/>
    <n v="0"/>
    <n v="0"/>
    <s v="n/a"/>
    <s v="n/a"/>
    <s v="n/a"/>
    <x v="0"/>
    <s v="HH latrine kits to be distributed"/>
    <n v="0.3"/>
    <n v="102.6"/>
    <n v="2"/>
    <s v="Low coverage"/>
    <x v="0"/>
    <x v="0"/>
    <x v="0"/>
    <x v="0"/>
    <m/>
  </r>
  <r>
    <x v="3"/>
    <s v="MMR012009072"/>
    <s v="U Daung"/>
    <s v="198026"/>
    <x v="154"/>
    <m/>
    <m/>
    <x v="0"/>
    <x v="0"/>
    <x v="0"/>
    <n v="0"/>
    <n v="0"/>
    <n v="765"/>
    <m/>
    <x v="2"/>
    <x v="0"/>
    <m/>
    <x v="0"/>
    <x v="0"/>
    <d v="2016-01-07T00:00:00"/>
    <m/>
    <x v="0"/>
    <n v="0"/>
    <n v="0"/>
    <s v="No"/>
    <n v="1"/>
    <m/>
    <n v="0"/>
    <n v="9"/>
    <m/>
    <n v="0"/>
    <n v="0"/>
    <n v="0.32679738562091504"/>
    <n v="250"/>
    <n v="0.32679738562091504"/>
    <n v="250"/>
    <n v="0.32679738562091504"/>
    <n v="250"/>
    <s v="30-45%"/>
    <n v="0"/>
    <n v="0"/>
    <s v="yes"/>
    <n v="2.06"/>
    <n v="0"/>
    <n v="0"/>
    <n v="0.9"/>
    <n v="688.5"/>
    <s v=" Planned Pond renovation with hand pump installation "/>
    <n v="0"/>
    <m/>
    <n v="42"/>
    <x v="5"/>
    <n v="0"/>
    <n v="0"/>
    <n v="0"/>
    <n v="0"/>
    <n v="0"/>
    <n v="0"/>
    <x v="0"/>
    <s v="n/a"/>
    <n v="0"/>
    <s v="n/a"/>
    <s v="n/a"/>
    <s v="n/a"/>
    <s v="n/a"/>
    <s v="n/a"/>
    <s v="n/a"/>
    <s v="n/a"/>
    <s v="n/a"/>
    <s v="n/a"/>
    <s v="n/a"/>
    <n v="0.7"/>
    <s v="n/a"/>
    <s v=" Required Latrines for  HHs , Public &amp; schools"/>
    <s v="n/a"/>
    <m/>
    <m/>
    <s v="n/a"/>
    <n v="0"/>
    <n v="0"/>
    <s v="n/a"/>
    <s v="n/a"/>
    <s v="n/a"/>
    <x v="0"/>
    <s v="Not yet, Hygiene kits to be distributed"/>
    <n v="0"/>
    <n v="0"/>
    <n v="0"/>
    <s v="Low coverage"/>
    <x v="0"/>
    <x v="0"/>
    <x v="0"/>
    <x v="0"/>
    <s v="75 (%) of water facilities will be manage by community themselves at end of project"/>
  </r>
  <r>
    <x v="4"/>
    <m/>
    <m/>
    <s v="MMR012CMP006"/>
    <x v="155"/>
    <n v="93.299485000000004"/>
    <n v="20.480898"/>
    <x v="0"/>
    <x v="0"/>
    <x v="5"/>
    <n v="86"/>
    <n v="496"/>
    <n v="496"/>
    <s v="Moderately affected"/>
    <x v="0"/>
    <x v="2"/>
    <s v="UNHCR"/>
    <x v="3"/>
    <x v="1"/>
    <m/>
    <m/>
    <x v="1"/>
    <n v="0"/>
    <n v="0"/>
    <s v="No"/>
    <n v="1"/>
    <n v="3"/>
    <n v="0"/>
    <n v="8"/>
    <m/>
    <n v="0"/>
    <n v="1"/>
    <n v="1"/>
    <n v="496"/>
    <n v="1"/>
    <n v="496"/>
    <n v="1"/>
    <n v="496"/>
    <s v="80-100%"/>
    <n v="0"/>
    <n v="0"/>
    <s v="yes"/>
    <n v="0"/>
    <n v="496"/>
    <n v="0"/>
    <n v="1"/>
    <n v="496"/>
    <m/>
    <n v="0"/>
    <n v="22"/>
    <n v="6"/>
    <x v="2"/>
    <n v="0.2661290322580645"/>
    <n v="132"/>
    <n v="0.2661290322580645"/>
    <n v="132"/>
    <n v="0"/>
    <n v="0"/>
    <x v="0"/>
    <n v="0.8"/>
    <n v="396.8"/>
    <s v="n/a"/>
    <n v="2"/>
    <s v="n/a"/>
    <s v="n/a"/>
    <s v="n/a"/>
    <s v="n/a"/>
    <s v="n/a"/>
    <s v="n/a"/>
    <s v="n/a"/>
    <s v="n/a"/>
    <s v="n/a"/>
    <s v="n/a"/>
    <m/>
    <s v="n/a"/>
    <m/>
    <m/>
    <s v="n/a"/>
    <m/>
    <m/>
    <s v="n/a"/>
    <s v="n/a"/>
    <s v="n/a"/>
    <x v="0"/>
    <s v="MRCS Distributed Hygiene Kits in January 2014"/>
    <m/>
    <n v="0"/>
    <m/>
    <s v="No coverage"/>
    <x v="3"/>
    <x v="2"/>
    <x v="3"/>
    <x v="2"/>
    <m/>
  </r>
  <r>
    <x v="4"/>
    <m/>
    <m/>
    <n v="196994"/>
    <x v="156"/>
    <n v="93.257272"/>
    <n v="20.392137999999999"/>
    <x v="0"/>
    <x v="2"/>
    <x v="5"/>
    <n v="3"/>
    <n v="20"/>
    <n v="20"/>
    <s v="Moderately affected"/>
    <x v="0"/>
    <x v="2"/>
    <m/>
    <x v="3"/>
    <x v="1"/>
    <m/>
    <m/>
    <x v="1"/>
    <n v="0"/>
    <n v="0"/>
    <s v="No"/>
    <n v="0"/>
    <n v="0"/>
    <n v="0"/>
    <n v="4"/>
    <m/>
    <n v="0"/>
    <n v="1"/>
    <n v="0"/>
    <n v="0"/>
    <n v="0"/>
    <n v="0"/>
    <n v="1"/>
    <n v="20"/>
    <s v="0-10%"/>
    <n v="0"/>
    <n v="0"/>
    <s v="yes"/>
    <n v="0.08"/>
    <n v="20"/>
    <n v="0"/>
    <n v="1"/>
    <n v="20"/>
    <m/>
    <n v="0"/>
    <n v="8"/>
    <n v="6"/>
    <x v="2"/>
    <n v="1"/>
    <n v="20"/>
    <n v="1"/>
    <n v="20"/>
    <n v="0"/>
    <n v="0"/>
    <x v="0"/>
    <n v="1"/>
    <n v="20"/>
    <s v="n/a"/>
    <n v="0"/>
    <s v="n/a"/>
    <s v="n/a"/>
    <s v="n/a"/>
    <s v="n/a"/>
    <s v="n/a"/>
    <s v="n/a"/>
    <s v="n/a"/>
    <s v="n/a"/>
    <s v="n/a"/>
    <s v="n/a"/>
    <m/>
    <s v="n/a"/>
    <m/>
    <m/>
    <s v="n/a"/>
    <m/>
    <m/>
    <s v="n/a"/>
    <s v="n/a"/>
    <s v="n/a"/>
    <x v="0"/>
    <m/>
    <m/>
    <n v="0"/>
    <m/>
    <s v="No coverage"/>
    <x v="3"/>
    <x v="2"/>
    <x v="3"/>
    <x v="2"/>
    <m/>
  </r>
  <r>
    <x v="4"/>
    <m/>
    <m/>
    <s v="MMR012CMP003"/>
    <x v="157"/>
    <n v="93.249669999999995"/>
    <n v="20.39902"/>
    <x v="1"/>
    <x v="0"/>
    <x v="5"/>
    <n v="86"/>
    <n v="521"/>
    <n v="521"/>
    <s v="Moderately affected"/>
    <x v="2"/>
    <x v="2"/>
    <s v="UNHCR"/>
    <x v="3"/>
    <x v="1"/>
    <m/>
    <m/>
    <x v="2"/>
    <n v="0"/>
    <n v="0"/>
    <s v="No"/>
    <n v="0"/>
    <n v="0"/>
    <n v="0"/>
    <n v="5"/>
    <m/>
    <n v="0"/>
    <n v="1"/>
    <n v="0"/>
    <n v="0"/>
    <n v="0"/>
    <n v="0"/>
    <n v="1"/>
    <n v="521"/>
    <s v="0-10%"/>
    <n v="0"/>
    <n v="0"/>
    <s v="yes"/>
    <n v="1.3025"/>
    <n v="521"/>
    <n v="0"/>
    <n v="1"/>
    <n v="521"/>
    <m/>
    <n v="0"/>
    <n v="18"/>
    <n v="20"/>
    <x v="4"/>
    <n v="0.69097888675623798"/>
    <n v="360"/>
    <n v="0.69097888675623798"/>
    <n v="360"/>
    <n v="0"/>
    <n v="0"/>
    <x v="3"/>
    <n v="1"/>
    <n v="521"/>
    <n v="8.0500000000000007"/>
    <n v="3"/>
    <n v="3.2245681381957769E-2"/>
    <n v="16.799999999999997"/>
    <n v="90.035714285714292"/>
    <n v="1"/>
    <n v="514"/>
    <n v="0"/>
    <n v="0"/>
    <n v="5.21"/>
    <n v="0.23"/>
    <n v="119.83"/>
    <s v="bathing spaces are 6 per 1 facility"/>
    <m/>
    <m/>
    <m/>
    <s v="To be done"/>
    <m/>
    <m/>
    <n v="86"/>
    <n v="0"/>
    <n v="0"/>
    <x v="3"/>
    <s v="MRCS Distributed"/>
    <m/>
    <n v="0"/>
    <m/>
    <s v="No coverage"/>
    <x v="3"/>
    <x v="2"/>
    <x v="3"/>
    <x v="2"/>
    <m/>
  </r>
  <r>
    <x v="4"/>
    <m/>
    <m/>
    <s v="MMR012CMP002"/>
    <x v="158"/>
    <n v="93.257272"/>
    <n v="20.392137999999999"/>
    <x v="0"/>
    <x v="0"/>
    <x v="5"/>
    <n v="187"/>
    <n v="1001"/>
    <n v="1001"/>
    <s v="Moderately affected"/>
    <x v="1"/>
    <x v="2"/>
    <s v="UNHCR"/>
    <x v="3"/>
    <x v="1"/>
    <m/>
    <m/>
    <x v="2"/>
    <n v="0"/>
    <n v="0"/>
    <s v="No"/>
    <n v="0"/>
    <n v="0"/>
    <n v="0"/>
    <n v="6"/>
    <m/>
    <n v="0"/>
    <n v="1"/>
    <n v="0"/>
    <n v="0"/>
    <n v="0"/>
    <n v="0"/>
    <n v="1"/>
    <n v="1001"/>
    <s v="0-10%"/>
    <n v="0"/>
    <n v="0"/>
    <s v="yes"/>
    <n v="4.0039999999999996"/>
    <n v="1001"/>
    <n v="0"/>
    <n v="1"/>
    <n v="1001"/>
    <s v="3 wells exist but are not used at all"/>
    <m/>
    <n v="41"/>
    <n v="6"/>
    <x v="2"/>
    <n v="0.24575424575424576"/>
    <n v="246"/>
    <n v="0.24575424575424576"/>
    <n v="246"/>
    <n v="0"/>
    <n v="0"/>
    <x v="3"/>
    <n v="1"/>
    <n v="1001"/>
    <s v="n/a"/>
    <n v="3"/>
    <s v="n/a"/>
    <s v="n/a"/>
    <s v="n/a"/>
    <n v="0.8928571428571429"/>
    <s v="n/a"/>
    <m/>
    <s v="n/a"/>
    <s v="n/a"/>
    <n v="0"/>
    <s v="n/a"/>
    <s v="bathing spaces are 6 per 1 facility"/>
    <s v="n/a"/>
    <m/>
    <m/>
    <s v="n/a"/>
    <m/>
    <m/>
    <s v="n/a"/>
    <s v="n/a"/>
    <s v="n/a"/>
    <x v="0"/>
    <s v="MRCS Distributed"/>
    <m/>
    <n v="0"/>
    <m/>
    <s v="No coverage"/>
    <x v="3"/>
    <x v="2"/>
    <x v="3"/>
    <x v="2"/>
    <m/>
  </r>
  <r>
    <x v="4"/>
    <m/>
    <m/>
    <s v="MMR012CMP001"/>
    <x v="159"/>
    <n v="93.271642"/>
    <n v="20.377523"/>
    <x v="0"/>
    <x v="0"/>
    <x v="5"/>
    <n v="19"/>
    <n v="142"/>
    <n v="1716"/>
    <s v="Moderately affected"/>
    <x v="1"/>
    <x v="2"/>
    <s v="UNHCR"/>
    <x v="3"/>
    <x v="1"/>
    <m/>
    <m/>
    <x v="2"/>
    <n v="0"/>
    <n v="0"/>
    <s v="No"/>
    <n v="0"/>
    <n v="0"/>
    <n v="0"/>
    <n v="17"/>
    <m/>
    <n v="0"/>
    <n v="8.7995337995337999E-2"/>
    <n v="0"/>
    <n v="0"/>
    <n v="0"/>
    <n v="0"/>
    <n v="8.7995337995337999E-2"/>
    <n v="151"/>
    <s v="0-10%"/>
    <n v="0"/>
    <n v="0"/>
    <s v="yes"/>
    <n v="6.8639999999999999"/>
    <n v="151"/>
    <n v="0"/>
    <n v="0.09"/>
    <n v="154.44"/>
    <s v="1 additional pond is used only for non drinking purposes"/>
    <n v="0"/>
    <n v="17"/>
    <n v="6"/>
    <x v="0"/>
    <n v="5.944055944055944E-2"/>
    <n v="102"/>
    <n v="5.944055944055944E-2"/>
    <n v="102"/>
    <n v="0"/>
    <n v="0"/>
    <x v="0"/>
    <n v="0.8"/>
    <n v="1372.8000000000002"/>
    <s v="n/a"/>
    <n v="0"/>
    <s v="n/a"/>
    <s v="n/a"/>
    <s v="n/a"/>
    <s v="n/a"/>
    <s v="n/a"/>
    <s v="n/a"/>
    <s v="n/a"/>
    <s v="n/a"/>
    <s v="n/a"/>
    <s v="n/a"/>
    <m/>
    <s v="n/a"/>
    <m/>
    <m/>
    <s v="n/a"/>
    <m/>
    <m/>
    <s v="n/a"/>
    <s v="n/a"/>
    <s v="n/a"/>
    <x v="0"/>
    <s v="MRCS Distributed"/>
    <m/>
    <n v="0"/>
    <m/>
    <s v="No coverage"/>
    <x v="3"/>
    <x v="2"/>
    <x v="3"/>
    <x v="2"/>
    <m/>
  </r>
  <r>
    <x v="4"/>
    <m/>
    <m/>
    <s v="MMR012CMP008"/>
    <x v="160"/>
    <n v="93.313627999999994"/>
    <n v="20.407971"/>
    <x v="0"/>
    <x v="0"/>
    <x v="5"/>
    <n v="225"/>
    <n v="1318"/>
    <n v="1989"/>
    <s v="Moderately affected"/>
    <x v="1"/>
    <x v="2"/>
    <s v="UNHCR"/>
    <x v="3"/>
    <x v="1"/>
    <m/>
    <m/>
    <x v="2"/>
    <n v="0"/>
    <n v="0"/>
    <s v="No"/>
    <n v="0"/>
    <n v="0"/>
    <n v="0"/>
    <n v="7"/>
    <m/>
    <n v="0"/>
    <n v="0.69029663147310205"/>
    <n v="0"/>
    <n v="0"/>
    <n v="0"/>
    <n v="0"/>
    <n v="0.69029663147310205"/>
    <n v="1373"/>
    <s v="0-10%"/>
    <n v="0"/>
    <n v="0"/>
    <s v="yes"/>
    <n v="7.9560000000000004"/>
    <n v="1373"/>
    <n v="0"/>
    <n v="1"/>
    <n v="1989"/>
    <s v="1 additional pond is used only for the mosque"/>
    <n v="0"/>
    <n v="37"/>
    <n v="6"/>
    <x v="0"/>
    <n v="0.11161387631975868"/>
    <n v="222"/>
    <n v="0.11161387631975868"/>
    <n v="222"/>
    <n v="0"/>
    <n v="0"/>
    <x v="0"/>
    <n v="1"/>
    <n v="1989"/>
    <s v="n/a"/>
    <n v="4"/>
    <s v="n/a"/>
    <s v="n/a"/>
    <s v="n/a"/>
    <s v="n/a"/>
    <s v="n/a"/>
    <s v="n/a"/>
    <s v="n/a"/>
    <s v="n/a"/>
    <s v="n/a"/>
    <s v="n/a"/>
    <s v="bathing spaces are 6 per 1 facility"/>
    <s v="n/a"/>
    <m/>
    <m/>
    <s v="n/a"/>
    <m/>
    <m/>
    <s v="n/a"/>
    <s v="n/a"/>
    <s v="n/a"/>
    <x v="0"/>
    <s v="MRCS Distributed"/>
    <m/>
    <n v="0"/>
    <m/>
    <s v="No coverage"/>
    <x v="3"/>
    <x v="2"/>
    <x v="3"/>
    <x v="2"/>
    <m/>
  </r>
  <r>
    <x v="4"/>
    <m/>
    <m/>
    <s v="MMR012CMP104"/>
    <x v="161"/>
    <n v="93.314695"/>
    <n v="20.409645000000001"/>
    <x v="1"/>
    <x v="2"/>
    <x v="5"/>
    <n v="18"/>
    <n v="72"/>
    <n v="72"/>
    <s v="Moderately affected"/>
    <x v="0"/>
    <x v="2"/>
    <s v="UNHCR"/>
    <x v="3"/>
    <x v="1"/>
    <m/>
    <m/>
    <x v="2"/>
    <n v="0"/>
    <n v="0"/>
    <s v="No"/>
    <n v="0"/>
    <n v="0"/>
    <n v="0"/>
    <n v="3"/>
    <m/>
    <n v="0"/>
    <n v="1"/>
    <n v="0"/>
    <n v="0"/>
    <n v="0"/>
    <n v="0"/>
    <n v="1"/>
    <n v="72"/>
    <s v="0-10%"/>
    <n v="0"/>
    <n v="0"/>
    <s v="yes"/>
    <n v="0.18"/>
    <n v="72"/>
    <n v="0"/>
    <n v="1"/>
    <n v="72"/>
    <m/>
    <n v="0"/>
    <n v="6"/>
    <n v="20"/>
    <x v="4"/>
    <n v="1"/>
    <n v="72"/>
    <n v="1"/>
    <n v="72"/>
    <n v="0"/>
    <n v="0"/>
    <x v="3"/>
    <n v="1"/>
    <n v="72"/>
    <n v="0"/>
    <n v="2"/>
    <n v="0.15555555555555556"/>
    <n v="11.2"/>
    <n v="10.857142857142858"/>
    <n v="1"/>
    <n v="73"/>
    <n v="0"/>
    <n v="0"/>
    <n v="0.72"/>
    <n v="0"/>
    <n v="0"/>
    <m/>
    <m/>
    <m/>
    <m/>
    <s v="To be done"/>
    <m/>
    <m/>
    <n v="18"/>
    <n v="0"/>
    <n v="0"/>
    <x v="3"/>
    <s v="MRCS Distributed"/>
    <m/>
    <n v="0"/>
    <m/>
    <s v="No coverage"/>
    <x v="3"/>
    <x v="2"/>
    <x v="3"/>
    <x v="2"/>
    <m/>
  </r>
  <r>
    <x v="4"/>
    <m/>
    <m/>
    <s v="MMR012CMP005"/>
    <x v="162"/>
    <n v="93.258573999999996"/>
    <n v="20.587142"/>
    <x v="0"/>
    <x v="0"/>
    <x v="5"/>
    <n v="275"/>
    <n v="1637"/>
    <n v="1637"/>
    <s v="Hightly affected"/>
    <x v="1"/>
    <x v="2"/>
    <s v="UNHCR"/>
    <x v="3"/>
    <x v="1"/>
    <m/>
    <m/>
    <x v="1"/>
    <n v="0"/>
    <n v="0"/>
    <s v="No"/>
    <n v="2"/>
    <n v="1"/>
    <n v="0"/>
    <n v="2"/>
    <m/>
    <n v="0"/>
    <n v="1"/>
    <n v="0.45815516188149052"/>
    <n v="750"/>
    <n v="0.45815516188149052"/>
    <n v="750"/>
    <n v="1"/>
    <n v="1637"/>
    <s v="45-60%"/>
    <n v="0"/>
    <n v="0"/>
    <s v="yes"/>
    <n v="3.548"/>
    <n v="1637"/>
    <n v="0"/>
    <n v="1"/>
    <n v="1637"/>
    <m/>
    <n v="10"/>
    <n v="41"/>
    <n v="6"/>
    <x v="2"/>
    <n v="0.15027489309712888"/>
    <n v="245.99999999999997"/>
    <n v="0.15027489309712888"/>
    <n v="245.99999999999997"/>
    <n v="0"/>
    <n v="0"/>
    <x v="0"/>
    <n v="1"/>
    <n v="1637"/>
    <s v="n/a"/>
    <n v="2"/>
    <s v="n/a"/>
    <s v="n/a"/>
    <s v="n/a"/>
    <s v="n/a"/>
    <s v="n/a"/>
    <s v="n/a"/>
    <s v="n/a"/>
    <s v="n/a"/>
    <s v="n/a"/>
    <s v="n/a"/>
    <m/>
    <s v="n/a"/>
    <m/>
    <m/>
    <s v="n/a"/>
    <m/>
    <m/>
    <s v="n/a"/>
    <s v="n/a"/>
    <s v="n/a"/>
    <x v="0"/>
    <s v="MRCS distributed  Hygiene Kits in January 2014"/>
    <m/>
    <n v="0"/>
    <m/>
    <s v="No coverage"/>
    <x v="3"/>
    <x v="2"/>
    <x v="3"/>
    <x v="2"/>
    <m/>
  </r>
  <r>
    <x v="5"/>
    <m/>
    <m/>
    <s v="MMR012CMP009"/>
    <x v="163"/>
    <n v="93.245551000000006"/>
    <n v="20.576577"/>
    <x v="0"/>
    <x v="0"/>
    <x v="5"/>
    <n v="204"/>
    <n v="1127"/>
    <n v="3489"/>
    <s v="Moderately affected"/>
    <x v="1"/>
    <x v="2"/>
    <s v="UNHCR"/>
    <x v="3"/>
    <x v="1"/>
    <m/>
    <m/>
    <x v="1"/>
    <n v="0"/>
    <n v="0"/>
    <s v="No"/>
    <n v="0"/>
    <n v="0"/>
    <n v="0"/>
    <n v="9"/>
    <m/>
    <n v="0"/>
    <n v="0.35798222986529094"/>
    <n v="0"/>
    <n v="0"/>
    <n v="0"/>
    <n v="0"/>
    <n v="0.35798222986529094"/>
    <n v="1249"/>
    <s v="0-10%"/>
    <n v="0"/>
    <n v="0"/>
    <s v="yes"/>
    <n v="13.956"/>
    <n v="1249"/>
    <n v="0"/>
    <n v="1"/>
    <n v="3489"/>
    <s v="1 additional well is used for non drinking purposes as the water is very turbid"/>
    <n v="0"/>
    <n v="30"/>
    <n v="6"/>
    <x v="0"/>
    <n v="5.1590713671539126E-2"/>
    <n v="180"/>
    <n v="5.1590713671539126E-2"/>
    <n v="180"/>
    <n v="0"/>
    <n v="0"/>
    <x v="0"/>
    <n v="1"/>
    <n v="3489"/>
    <s v="n/a"/>
    <n v="0"/>
    <s v="n/a"/>
    <s v="n/a"/>
    <s v="n/a"/>
    <s v="n/a"/>
    <s v="n/a"/>
    <s v="n/a"/>
    <s v="n/a"/>
    <s v="n/a"/>
    <s v="n/a"/>
    <s v="n/a"/>
    <m/>
    <s v="n/a"/>
    <m/>
    <m/>
    <s v="n/a"/>
    <m/>
    <m/>
    <s v="n/a"/>
    <s v="n/a"/>
    <s v="n/a"/>
    <x v="0"/>
    <m/>
    <m/>
    <n v="0"/>
    <m/>
    <s v="No coverage"/>
    <x v="3"/>
    <x v="2"/>
    <x v="3"/>
    <x v="2"/>
    <m/>
  </r>
  <r>
    <x v="5"/>
    <m/>
    <m/>
    <n v="196429"/>
    <x v="164"/>
    <n v="93.246099999999998"/>
    <n v="20.581499999999998"/>
    <x v="0"/>
    <x v="2"/>
    <x v="1"/>
    <n v="0"/>
    <n v="0"/>
    <n v="308"/>
    <s v="Moderately affected"/>
    <x v="0"/>
    <x v="2"/>
    <m/>
    <x v="3"/>
    <x v="1"/>
    <m/>
    <m/>
    <x v="1"/>
    <n v="0"/>
    <n v="0"/>
    <s v="No"/>
    <n v="1"/>
    <n v="0"/>
    <n v="0"/>
    <n v="1"/>
    <m/>
    <n v="0"/>
    <n v="1"/>
    <n v="0.81168831168831168"/>
    <n v="250"/>
    <n v="0.81168831168831168"/>
    <n v="250"/>
    <n v="1"/>
    <n v="308"/>
    <s v="80-100%"/>
    <n v="0"/>
    <n v="0"/>
    <s v="yes"/>
    <n v="0.23199999999999998"/>
    <n v="308"/>
    <n v="0"/>
    <n v="1"/>
    <n v="308"/>
    <m/>
    <n v="0"/>
    <n v="4"/>
    <n v="6"/>
    <x v="0"/>
    <n v="7.792207792207792E-2"/>
    <n v="24"/>
    <n v="7.792207792207792E-2"/>
    <n v="24"/>
    <n v="0"/>
    <n v="0"/>
    <x v="0"/>
    <n v="0.9"/>
    <n v="277.2"/>
    <s v="n/a"/>
    <n v="0"/>
    <s v="n/a"/>
    <s v="n/a"/>
    <s v="n/a"/>
    <s v="n/a"/>
    <s v="n/a"/>
    <s v="n/a"/>
    <s v="n/a"/>
    <s v="n/a"/>
    <s v="n/a"/>
    <s v="n/a"/>
    <m/>
    <s v="n/a"/>
    <m/>
    <m/>
    <s v="n/a"/>
    <m/>
    <m/>
    <s v="n/a"/>
    <s v="n/a"/>
    <s v="n/a"/>
    <x v="0"/>
    <m/>
    <m/>
    <n v="0"/>
    <m/>
    <s v="No coverage"/>
    <x v="3"/>
    <x v="2"/>
    <x v="3"/>
    <x v="2"/>
    <m/>
  </r>
  <r>
    <x v="5"/>
    <m/>
    <m/>
    <s v="MMR012CMP012"/>
    <x v="165"/>
    <n v="93.239519999999999"/>
    <n v="20.61692"/>
    <x v="1"/>
    <x v="7"/>
    <x v="5"/>
    <n v="10"/>
    <n v="64"/>
    <n v="64"/>
    <s v="Hightly affected"/>
    <x v="0"/>
    <x v="2"/>
    <s v="UNHCR"/>
    <x v="3"/>
    <x v="1"/>
    <m/>
    <m/>
    <x v="2"/>
    <n v="0"/>
    <n v="0"/>
    <s v="No"/>
    <n v="0"/>
    <n v="0"/>
    <n v="0"/>
    <n v="1"/>
    <m/>
    <n v="0"/>
    <n v="1"/>
    <n v="0"/>
    <n v="0"/>
    <n v="0"/>
    <n v="0"/>
    <n v="1"/>
    <n v="64"/>
    <s v="0-10%"/>
    <n v="0"/>
    <n v="0"/>
    <s v="yes"/>
    <n v="0.16"/>
    <n v="64"/>
    <n v="0"/>
    <n v="1"/>
    <n v="64"/>
    <m/>
    <n v="0"/>
    <n v="3"/>
    <n v="20"/>
    <x v="4"/>
    <n v="0.9375"/>
    <n v="60"/>
    <n v="0.9375"/>
    <n v="60"/>
    <n v="0"/>
    <n v="0"/>
    <x v="3"/>
    <n v="0.94"/>
    <n v="60.16"/>
    <n v="0.20000000000000018"/>
    <n v="0"/>
    <n v="0"/>
    <n v="0"/>
    <n v="11.428571428571429"/>
    <n v="0"/>
    <n v="0"/>
    <n v="0"/>
    <n v="0"/>
    <n v="0.64"/>
    <n v="0"/>
    <n v="0"/>
    <m/>
    <m/>
    <m/>
    <m/>
    <s v="To be done"/>
    <m/>
    <m/>
    <n v="10"/>
    <n v="0"/>
    <n v="0"/>
    <x v="3"/>
    <m/>
    <m/>
    <n v="0"/>
    <m/>
    <s v="No coverage"/>
    <x v="3"/>
    <x v="2"/>
    <x v="3"/>
    <x v="2"/>
    <m/>
  </r>
  <r>
    <x v="5"/>
    <m/>
    <m/>
    <s v="MMR012CMP010"/>
    <x v="166"/>
    <n v="93.217039999999997"/>
    <n v="20.501757999999999"/>
    <x v="0"/>
    <x v="0"/>
    <x v="5"/>
    <n v="365"/>
    <n v="2366"/>
    <n v="2366"/>
    <s v="Moderately affected"/>
    <x v="1"/>
    <x v="2"/>
    <s v="UNHCR"/>
    <x v="3"/>
    <x v="1"/>
    <m/>
    <m/>
    <x v="2"/>
    <n v="0"/>
    <n v="0"/>
    <s v="No"/>
    <n v="3"/>
    <n v="5"/>
    <n v="0"/>
    <n v="5"/>
    <m/>
    <n v="0"/>
    <n v="1"/>
    <n v="0.84530853761622993"/>
    <n v="2000"/>
    <n v="0.84530853761622993"/>
    <n v="2000"/>
    <n v="1"/>
    <n v="2366"/>
    <s v="80-100%"/>
    <n v="0"/>
    <n v="0"/>
    <s v="yes"/>
    <n v="1.4640000000000004"/>
    <n v="2366"/>
    <n v="0"/>
    <n v="1"/>
    <n v="2366"/>
    <m/>
    <n v="0"/>
    <n v="30"/>
    <n v="6"/>
    <x v="2"/>
    <n v="7.6077768385460695E-2"/>
    <n v="180"/>
    <n v="7.6077768385460695E-2"/>
    <n v="180"/>
    <n v="0"/>
    <n v="0"/>
    <x v="0"/>
    <n v="0.8"/>
    <n v="1892.8000000000002"/>
    <s v="n/a"/>
    <n v="13"/>
    <s v="n/a"/>
    <s v="n/a"/>
    <s v="n/a"/>
    <s v="n/a"/>
    <s v="n/a"/>
    <s v="n/a"/>
    <s v="n/a"/>
    <s v="n/a"/>
    <s v="n/a"/>
    <s v="n/a"/>
    <s v="bathing spaces are 6 per 1 facility"/>
    <s v="n/a"/>
    <m/>
    <m/>
    <s v="n/a"/>
    <m/>
    <m/>
    <s v="n/a"/>
    <s v="n/a"/>
    <s v="n/a"/>
    <x v="0"/>
    <m/>
    <m/>
    <n v="0"/>
    <m/>
    <s v="No coverage"/>
    <x v="3"/>
    <x v="2"/>
    <x v="3"/>
    <x v="2"/>
    <m/>
  </r>
  <r>
    <x v="5"/>
    <m/>
    <m/>
    <s v="MMR012CMP117"/>
    <x v="167"/>
    <n v="93.246863000000005"/>
    <n v="20.495086000000001"/>
    <x v="1"/>
    <x v="2"/>
    <x v="5"/>
    <n v="31"/>
    <n v="131"/>
    <n v="131"/>
    <s v="Hightly affected"/>
    <x v="0"/>
    <x v="2"/>
    <s v="UNHCR"/>
    <x v="3"/>
    <x v="1"/>
    <m/>
    <m/>
    <x v="2"/>
    <n v="0"/>
    <n v="0"/>
    <s v="No"/>
    <n v="0"/>
    <n v="0"/>
    <n v="0"/>
    <n v="5"/>
    <m/>
    <n v="0"/>
    <n v="1"/>
    <n v="0"/>
    <n v="0"/>
    <n v="0"/>
    <n v="0"/>
    <n v="1"/>
    <n v="131"/>
    <s v="0-10%"/>
    <n v="0"/>
    <n v="0"/>
    <s v="yes"/>
    <n v="0.32750000000000001"/>
    <n v="131"/>
    <n v="0"/>
    <n v="1"/>
    <n v="131"/>
    <m/>
    <n v="0"/>
    <n v="10"/>
    <n v="20"/>
    <x v="6"/>
    <n v="1"/>
    <n v="131"/>
    <n v="1"/>
    <n v="131"/>
    <n v="0"/>
    <n v="0"/>
    <x v="3"/>
    <n v="1"/>
    <n v="131"/>
    <n v="0"/>
    <n v="0"/>
    <n v="0"/>
    <n v="0"/>
    <n v="23.392857142857146"/>
    <n v="0"/>
    <n v="0"/>
    <n v="0"/>
    <n v="0"/>
    <n v="1.31"/>
    <n v="0"/>
    <n v="0"/>
    <m/>
    <m/>
    <m/>
    <m/>
    <s v="To be done"/>
    <m/>
    <m/>
    <n v="31"/>
    <n v="0"/>
    <n v="0"/>
    <x v="3"/>
    <m/>
    <m/>
    <n v="0"/>
    <m/>
    <s v="No coverage"/>
    <x v="3"/>
    <x v="2"/>
    <x v="3"/>
    <x v="2"/>
    <m/>
  </r>
  <r>
    <x v="6"/>
    <m/>
    <m/>
    <n v="197254"/>
    <x v="168"/>
    <n v="93.367999999999995"/>
    <n v="20.0215"/>
    <x v="0"/>
    <x v="2"/>
    <x v="1"/>
    <n v="0"/>
    <n v="0"/>
    <n v="652"/>
    <s v="Not affected"/>
    <x v="2"/>
    <x v="1"/>
    <m/>
    <x v="4"/>
    <x v="0"/>
    <d v="2015-11-30T00:00:00"/>
    <m/>
    <x v="0"/>
    <n v="0"/>
    <n v="0"/>
    <s v="No"/>
    <n v="0"/>
    <n v="0"/>
    <n v="0"/>
    <n v="0"/>
    <m/>
    <n v="0"/>
    <n v="0"/>
    <n v="0"/>
    <n v="0"/>
    <n v="0"/>
    <n v="0"/>
    <n v="0"/>
    <n v="0"/>
    <s v="0-10%"/>
    <n v="0"/>
    <n v="0"/>
    <s v="no"/>
    <n v="2.6080000000000001"/>
    <n v="0"/>
    <n v="0"/>
    <n v="0"/>
    <n v="0"/>
    <s v="piping connection to pond water supply, construction of storage tank"/>
    <n v="0"/>
    <n v="0"/>
    <n v="6"/>
    <x v="1"/>
    <n v="0"/>
    <n v="0"/>
    <n v="0"/>
    <n v="0"/>
    <n v="0"/>
    <n v="0"/>
    <x v="0"/>
    <n v="0.36809815950920244"/>
    <n v="240"/>
    <s v="n/a"/>
    <s v="n/a"/>
    <s v="n/a"/>
    <s v="n/a"/>
    <s v="n/a"/>
    <s v="n/a"/>
    <s v="n/a"/>
    <s v="n/a"/>
    <s v="n/a"/>
    <s v="n/a"/>
    <s v="n/a"/>
    <s v="n/a"/>
    <s v="82 HH's new permanent 4 ring latrines,  participatory approach"/>
    <s v="n/a"/>
    <m/>
    <m/>
    <s v="n/a"/>
    <m/>
    <m/>
    <s v="n/a"/>
    <s v="n/a"/>
    <s v="n/a"/>
    <x v="0"/>
    <m/>
    <m/>
    <n v="0"/>
    <m/>
    <s v="No coverage"/>
    <x v="1"/>
    <x v="0"/>
    <x v="0"/>
    <x v="4"/>
    <m/>
  </r>
  <r>
    <x v="6"/>
    <m/>
    <m/>
    <n v="197253"/>
    <x v="169"/>
    <n v="93.3767"/>
    <n v="20.023900000000001"/>
    <x v="0"/>
    <x v="2"/>
    <x v="1"/>
    <n v="0"/>
    <n v="0"/>
    <n v="421"/>
    <s v="Not affected"/>
    <x v="0"/>
    <x v="1"/>
    <m/>
    <x v="4"/>
    <x v="0"/>
    <d v="2015-11-30T00:00:00"/>
    <m/>
    <x v="0"/>
    <n v="0"/>
    <n v="0"/>
    <s v="No"/>
    <n v="0"/>
    <n v="0"/>
    <n v="0"/>
    <n v="1"/>
    <m/>
    <n v="0"/>
    <n v="0"/>
    <n v="0"/>
    <n v="0"/>
    <n v="0"/>
    <n v="0"/>
    <n v="0"/>
    <n v="0"/>
    <s v="0-10%"/>
    <n v="0"/>
    <n v="0"/>
    <s v="yes"/>
    <n v="1.6839999999999999"/>
    <n v="0"/>
    <n v="0"/>
    <n v="0"/>
    <n v="0"/>
    <m/>
    <n v="0"/>
    <n v="0"/>
    <n v="6"/>
    <x v="1"/>
    <n v="0"/>
    <n v="0"/>
    <n v="0"/>
    <n v="0"/>
    <n v="0"/>
    <n v="0"/>
    <x v="0"/>
    <n v="0.71258907363420421"/>
    <n v="299.99999999999994"/>
    <s v="n/a"/>
    <s v="n/a"/>
    <s v="n/a"/>
    <s v="n/a"/>
    <s v="n/a"/>
    <s v="n/a"/>
    <s v="n/a"/>
    <s v="n/a"/>
    <s v="n/a"/>
    <s v="n/a"/>
    <s v="n/a"/>
    <s v="n/a"/>
    <s v="50 HH's new permanent 4 ring latrines,  participatory approach"/>
    <s v="n/a"/>
    <m/>
    <m/>
    <s v="n/a"/>
    <m/>
    <m/>
    <s v="n/a"/>
    <s v="n/a"/>
    <s v="n/a"/>
    <x v="0"/>
    <m/>
    <m/>
    <n v="0"/>
    <m/>
    <s v="No coverage"/>
    <x v="1"/>
    <x v="0"/>
    <x v="0"/>
    <x v="4"/>
    <m/>
  </r>
  <r>
    <x v="6"/>
    <m/>
    <m/>
    <n v="217974"/>
    <x v="170"/>
    <n v="93.375100000000003"/>
    <n v="20.032299999999999"/>
    <x v="0"/>
    <x v="2"/>
    <x v="1"/>
    <n v="0"/>
    <n v="0"/>
    <n v="360"/>
    <s v="Not affected"/>
    <x v="0"/>
    <x v="1"/>
    <m/>
    <x v="4"/>
    <x v="0"/>
    <d v="2015-11-30T00:00:00"/>
    <m/>
    <x v="0"/>
    <n v="0"/>
    <n v="0"/>
    <s v="No"/>
    <n v="0"/>
    <n v="0"/>
    <n v="0"/>
    <n v="0"/>
    <m/>
    <n v="0"/>
    <n v="0"/>
    <n v="0"/>
    <n v="0"/>
    <n v="0"/>
    <n v="0"/>
    <n v="0"/>
    <n v="0"/>
    <s v="0-10%"/>
    <n v="0"/>
    <n v="0"/>
    <s v="no"/>
    <n v="1.44"/>
    <n v="0"/>
    <n v="0"/>
    <n v="0"/>
    <n v="0"/>
    <s v="piping connection to pond water supply, construction of storage tank"/>
    <n v="0"/>
    <n v="0"/>
    <n v="6"/>
    <x v="1"/>
    <n v="0"/>
    <n v="0"/>
    <n v="0"/>
    <n v="0"/>
    <n v="0"/>
    <n v="0"/>
    <x v="0"/>
    <n v="1"/>
    <n v="360"/>
    <s v="n/a"/>
    <s v="n/a"/>
    <s v="n/a"/>
    <s v="n/a"/>
    <s v="n/a"/>
    <s v="n/a"/>
    <s v="n/a"/>
    <s v="n/a"/>
    <s v="n/a"/>
    <s v="n/a"/>
    <s v="n/a"/>
    <s v="n/a"/>
    <s v="22 HH's new permanent 4 ring latrines,  participatory approach"/>
    <s v="n/a"/>
    <m/>
    <m/>
    <s v="n/a"/>
    <m/>
    <m/>
    <s v="n/a"/>
    <s v="n/a"/>
    <s v="n/a"/>
    <x v="0"/>
    <m/>
    <m/>
    <n v="0"/>
    <m/>
    <s v="No coverage"/>
    <x v="1"/>
    <x v="0"/>
    <x v="0"/>
    <x v="4"/>
    <m/>
  </r>
  <r>
    <x v="6"/>
    <m/>
    <m/>
    <n v="197279"/>
    <x v="171"/>
    <n v="93.35"/>
    <n v="20.100000000000001"/>
    <x v="0"/>
    <x v="2"/>
    <x v="0"/>
    <n v="0"/>
    <n v="0"/>
    <n v="964"/>
    <s v="Not affected"/>
    <x v="2"/>
    <x v="1"/>
    <m/>
    <x v="4"/>
    <x v="0"/>
    <d v="2015-11-30T00:00:00"/>
    <m/>
    <x v="1"/>
    <n v="0"/>
    <n v="0"/>
    <s v="No"/>
    <m/>
    <m/>
    <m/>
    <m/>
    <m/>
    <m/>
    <m/>
    <n v="0"/>
    <n v="0"/>
    <n v="0"/>
    <n v="0"/>
    <n v="0"/>
    <n v="0"/>
    <s v="0-10%"/>
    <n v="0"/>
    <n v="0"/>
    <s v="no"/>
    <n v="3.8559999999999999"/>
    <n v="0"/>
    <n v="0"/>
    <m/>
    <n v="0"/>
    <m/>
    <m/>
    <m/>
    <n v="6"/>
    <x v="5"/>
    <n v="0"/>
    <n v="0"/>
    <n v="0"/>
    <n v="0"/>
    <n v="0"/>
    <n v="0"/>
    <x v="0"/>
    <n v="0.09"/>
    <n v="86.759999999999991"/>
    <s v="n/a"/>
    <s v="n/a"/>
    <s v="n/a"/>
    <s v="n/a"/>
    <s v="n/a"/>
    <s v="n/a"/>
    <s v="n/a"/>
    <s v="n/a"/>
    <s v="n/a"/>
    <s v="n/a"/>
    <s v="n/a"/>
    <s v="n/a"/>
    <m/>
    <s v="n/a"/>
    <m/>
    <m/>
    <s v="n/a"/>
    <m/>
    <m/>
    <s v="n/a"/>
    <s v="n/a"/>
    <s v="n/a"/>
    <x v="0"/>
    <m/>
    <m/>
    <n v="0"/>
    <m/>
    <s v="Excellent coverage"/>
    <x v="1"/>
    <x v="0"/>
    <x v="0"/>
    <x v="4"/>
    <m/>
  </r>
  <r>
    <x v="6"/>
    <m/>
    <m/>
    <n v="197277"/>
    <x v="172"/>
    <n v="93.36"/>
    <n v="20.079999999999998"/>
    <x v="0"/>
    <x v="2"/>
    <x v="0"/>
    <n v="0"/>
    <n v="0"/>
    <n v="368"/>
    <s v="Not affected"/>
    <x v="0"/>
    <x v="1"/>
    <m/>
    <x v="4"/>
    <x v="0"/>
    <d v="2015-11-30T00:00:00"/>
    <m/>
    <x v="1"/>
    <n v="0"/>
    <n v="0"/>
    <s v="No"/>
    <m/>
    <m/>
    <m/>
    <m/>
    <m/>
    <m/>
    <m/>
    <n v="0"/>
    <n v="0"/>
    <n v="0"/>
    <n v="0"/>
    <n v="0"/>
    <n v="0"/>
    <s v="0-10%"/>
    <n v="0"/>
    <n v="0"/>
    <s v="no"/>
    <n v="1.472"/>
    <n v="0"/>
    <n v="0"/>
    <m/>
    <n v="0"/>
    <m/>
    <m/>
    <m/>
    <n v="6"/>
    <x v="5"/>
    <n v="0"/>
    <n v="0"/>
    <n v="0"/>
    <n v="0"/>
    <n v="0"/>
    <n v="0"/>
    <x v="0"/>
    <n v="0"/>
    <n v="0"/>
    <s v="n/a"/>
    <s v="n/a"/>
    <s v="n/a"/>
    <s v="n/a"/>
    <s v="n/a"/>
    <s v="n/a"/>
    <s v="n/a"/>
    <s v="n/a"/>
    <s v="n/a"/>
    <s v="n/a"/>
    <s v="n/a"/>
    <s v="n/a"/>
    <m/>
    <s v="n/a"/>
    <m/>
    <m/>
    <s v="n/a"/>
    <m/>
    <m/>
    <s v="n/a"/>
    <s v="n/a"/>
    <s v="n/a"/>
    <x v="0"/>
    <m/>
    <m/>
    <n v="0"/>
    <m/>
    <s v="Excellent coverage"/>
    <x v="1"/>
    <x v="0"/>
    <x v="0"/>
    <x v="4"/>
    <m/>
  </r>
  <r>
    <x v="6"/>
    <m/>
    <m/>
    <s v="MMR012CMP013"/>
    <x v="173"/>
    <n v="93.373951000000005"/>
    <n v="20.041981"/>
    <x v="1"/>
    <x v="2"/>
    <x v="2"/>
    <n v="41"/>
    <n v="198"/>
    <n v="198"/>
    <s v="Not affected"/>
    <x v="0"/>
    <x v="1"/>
    <s v="RI"/>
    <x v="4"/>
    <x v="0"/>
    <d v="2015-11-30T00:00:00"/>
    <m/>
    <x v="0"/>
    <n v="0"/>
    <n v="0"/>
    <s v="No"/>
    <n v="0"/>
    <n v="0"/>
    <n v="0"/>
    <n v="1"/>
    <m/>
    <n v="1"/>
    <n v="1"/>
    <n v="0"/>
    <n v="0"/>
    <n v="0"/>
    <n v="0"/>
    <n v="1"/>
    <n v="198"/>
    <s v="0-10%"/>
    <n v="0"/>
    <n v="0"/>
    <s v="yes"/>
    <n v="0.495"/>
    <n v="198"/>
    <n v="198"/>
    <n v="1"/>
    <n v="198"/>
    <s v="1 town pond untreated; gravity-fed to 2 camp taps which last through dry season (but IDPs are also free to walk to this pond)."/>
    <n v="0"/>
    <n v="14"/>
    <n v="20"/>
    <x v="6"/>
    <n v="1"/>
    <n v="198"/>
    <n v="1"/>
    <n v="198"/>
    <n v="0"/>
    <n v="0"/>
    <x v="0"/>
    <n v="1"/>
    <n v="198"/>
    <n v="0"/>
    <n v="7"/>
    <n v="0.19797979797979795"/>
    <n v="39.199999999999996"/>
    <n v="28.357142857142861"/>
    <n v="1"/>
    <n v="198"/>
    <n v="2"/>
    <n v="1"/>
    <n v="0"/>
    <n v="0"/>
    <n v="0"/>
    <s v="all handwashing stations repaired"/>
    <d v="2015-09-14T00:00:00"/>
    <m/>
    <m/>
    <d v="2016-09-13T00:00:00"/>
    <n v="42"/>
    <n v="4"/>
    <n v="0"/>
    <n v="1"/>
    <n v="198"/>
    <x v="3"/>
    <m/>
    <n v="1"/>
    <n v="198"/>
    <n v="2"/>
    <s v="Excellent coverage"/>
    <x v="5"/>
    <x v="3"/>
    <x v="2"/>
    <x v="1"/>
    <s v="Waste currently being incinerated 2x/week. Bins distributed in Feb. No separating pits. "/>
  </r>
  <r>
    <x v="6"/>
    <m/>
    <m/>
    <s v="MMR012CMP013"/>
    <x v="173"/>
    <n v="93.373951000000005"/>
    <n v="20.041981"/>
    <x v="0"/>
    <x v="2"/>
    <x v="1"/>
    <n v="0"/>
    <n v="0"/>
    <n v="1047"/>
    <s v="Not affected"/>
    <x v="1"/>
    <x v="1"/>
    <m/>
    <x v="4"/>
    <x v="0"/>
    <d v="2015-11-30T00:00:00"/>
    <m/>
    <x v="0"/>
    <n v="0"/>
    <n v="0"/>
    <s v="No"/>
    <n v="0"/>
    <n v="0"/>
    <n v="0"/>
    <n v="1"/>
    <m/>
    <n v="0"/>
    <n v="0"/>
    <n v="0"/>
    <n v="0"/>
    <n v="0"/>
    <n v="0"/>
    <n v="0"/>
    <n v="0"/>
    <s v="0-10%"/>
    <n v="0"/>
    <n v="0"/>
    <s v="yes"/>
    <n v="4.1879999999999997"/>
    <n v="0"/>
    <n v="0"/>
    <n v="0"/>
    <n v="0"/>
    <s v="Pond renovation, fencing and stairs"/>
    <n v="0"/>
    <n v="0"/>
    <n v="6"/>
    <x v="1"/>
    <n v="0"/>
    <n v="0"/>
    <n v="0"/>
    <n v="0"/>
    <n v="0"/>
    <n v="0"/>
    <x v="0"/>
    <n v="0"/>
    <n v="0"/>
    <s v="n/a"/>
    <s v="n/a"/>
    <s v="n/a"/>
    <s v="n/a"/>
    <s v="n/a"/>
    <s v="n/a"/>
    <s v="n/a"/>
    <s v="n/a"/>
    <s v="n/a"/>
    <s v="n/a"/>
    <s v="n/a"/>
    <s v="n/a"/>
    <m/>
    <s v="n/a"/>
    <m/>
    <m/>
    <s v="n/a"/>
    <m/>
    <m/>
    <s v="n/a"/>
    <s v="n/a"/>
    <s v="n/a"/>
    <x v="0"/>
    <m/>
    <n v="0"/>
    <n v="0"/>
    <n v="0"/>
    <s v="No coverage"/>
    <x v="1"/>
    <x v="0"/>
    <x v="0"/>
    <x v="4"/>
    <m/>
  </r>
  <r>
    <x v="6"/>
    <m/>
    <m/>
    <n v="197286"/>
    <x v="174"/>
    <n v="93.41"/>
    <n v="20.149999999999999"/>
    <x v="0"/>
    <x v="2"/>
    <x v="0"/>
    <n v="0"/>
    <n v="0"/>
    <n v="629"/>
    <s v="Not affected"/>
    <x v="2"/>
    <x v="1"/>
    <m/>
    <x v="4"/>
    <x v="0"/>
    <d v="2015-11-30T00:00:00"/>
    <m/>
    <x v="1"/>
    <n v="0"/>
    <n v="0"/>
    <s v="No"/>
    <m/>
    <m/>
    <m/>
    <m/>
    <m/>
    <m/>
    <m/>
    <n v="0"/>
    <n v="0"/>
    <n v="0"/>
    <n v="0"/>
    <n v="0"/>
    <n v="0"/>
    <s v="0-10%"/>
    <n v="0"/>
    <n v="0"/>
    <s v="no"/>
    <n v="2.516"/>
    <n v="0"/>
    <n v="0"/>
    <m/>
    <n v="0"/>
    <m/>
    <m/>
    <m/>
    <n v="6"/>
    <x v="5"/>
    <n v="0"/>
    <n v="0"/>
    <n v="0"/>
    <n v="0"/>
    <n v="0"/>
    <n v="0"/>
    <x v="0"/>
    <n v="0"/>
    <n v="0"/>
    <s v="n/a"/>
    <s v="n/a"/>
    <s v="n/a"/>
    <s v="n/a"/>
    <s v="n/a"/>
    <s v="n/a"/>
    <s v="n/a"/>
    <s v="n/a"/>
    <s v="n/a"/>
    <s v="n/a"/>
    <s v="n/a"/>
    <s v="n/a"/>
    <m/>
    <s v="n/a"/>
    <m/>
    <m/>
    <s v="n/a"/>
    <m/>
    <m/>
    <s v="n/a"/>
    <s v="n/a"/>
    <s v="n/a"/>
    <x v="0"/>
    <m/>
    <m/>
    <n v="0"/>
    <m/>
    <s v="Excellent coverage"/>
    <x v="1"/>
    <x v="0"/>
    <x v="0"/>
    <x v="4"/>
    <m/>
  </r>
  <r>
    <x v="6"/>
    <m/>
    <m/>
    <n v="197309"/>
    <x v="175"/>
    <n v="93.42"/>
    <n v="20.010000000000002"/>
    <x v="0"/>
    <x v="2"/>
    <x v="0"/>
    <n v="0"/>
    <n v="0"/>
    <n v="415"/>
    <s v="Not affected"/>
    <x v="0"/>
    <x v="1"/>
    <m/>
    <x v="4"/>
    <x v="0"/>
    <d v="2015-11-30T00:00:00"/>
    <m/>
    <x v="1"/>
    <n v="0"/>
    <n v="0"/>
    <s v="No"/>
    <m/>
    <m/>
    <m/>
    <m/>
    <m/>
    <m/>
    <m/>
    <n v="0"/>
    <n v="0"/>
    <n v="0"/>
    <n v="0"/>
    <n v="0"/>
    <n v="0"/>
    <s v="0-10%"/>
    <n v="0"/>
    <n v="0"/>
    <s v="no"/>
    <n v="1.66"/>
    <n v="0"/>
    <n v="0"/>
    <m/>
    <n v="0"/>
    <m/>
    <m/>
    <m/>
    <n v="6"/>
    <x v="5"/>
    <n v="0"/>
    <n v="0"/>
    <n v="0"/>
    <n v="0"/>
    <n v="0"/>
    <n v="0"/>
    <x v="0"/>
    <n v="0"/>
    <n v="0"/>
    <s v="n/a"/>
    <s v="n/a"/>
    <s v="n/a"/>
    <s v="n/a"/>
    <s v="n/a"/>
    <s v="n/a"/>
    <s v="n/a"/>
    <s v="n/a"/>
    <s v="n/a"/>
    <s v="n/a"/>
    <s v="n/a"/>
    <s v="n/a"/>
    <m/>
    <s v="n/a"/>
    <m/>
    <m/>
    <s v="n/a"/>
    <m/>
    <m/>
    <s v="n/a"/>
    <s v="n/a"/>
    <s v="n/a"/>
    <x v="0"/>
    <m/>
    <m/>
    <n v="0"/>
    <m/>
    <s v="Excellent coverage"/>
    <x v="1"/>
    <x v="0"/>
    <x v="0"/>
    <x v="4"/>
    <m/>
  </r>
  <r>
    <x v="6"/>
    <m/>
    <m/>
    <n v="197255"/>
    <x v="176"/>
    <n v="93.38"/>
    <n v="20.03"/>
    <x v="0"/>
    <x v="2"/>
    <x v="0"/>
    <n v="0"/>
    <n v="0"/>
    <n v="307"/>
    <s v="Not affected"/>
    <x v="0"/>
    <x v="1"/>
    <m/>
    <x v="4"/>
    <x v="0"/>
    <d v="2015-11-30T00:00:00"/>
    <m/>
    <x v="1"/>
    <n v="0"/>
    <n v="0"/>
    <s v="No"/>
    <m/>
    <m/>
    <m/>
    <m/>
    <m/>
    <m/>
    <m/>
    <n v="0"/>
    <n v="0"/>
    <n v="0"/>
    <n v="0"/>
    <n v="0"/>
    <n v="0"/>
    <s v="0-10%"/>
    <n v="0"/>
    <n v="0"/>
    <s v="no"/>
    <n v="1.228"/>
    <n v="0"/>
    <n v="0"/>
    <m/>
    <n v="0"/>
    <m/>
    <m/>
    <m/>
    <n v="6"/>
    <x v="5"/>
    <n v="0"/>
    <n v="0"/>
    <n v="0"/>
    <n v="0"/>
    <n v="0"/>
    <n v="0"/>
    <x v="0"/>
    <n v="0"/>
    <n v="0"/>
    <s v="n/a"/>
    <s v="n/a"/>
    <s v="n/a"/>
    <s v="n/a"/>
    <s v="n/a"/>
    <s v="n/a"/>
    <s v="n/a"/>
    <s v="n/a"/>
    <s v="n/a"/>
    <s v="n/a"/>
    <s v="n/a"/>
    <s v="n/a"/>
    <s v="46 HH's new permanent 4 ring latrines, participatory approach"/>
    <s v="n/a"/>
    <m/>
    <m/>
    <s v="n/a"/>
    <m/>
    <m/>
    <s v="n/a"/>
    <s v="n/a"/>
    <s v="n/a"/>
    <x v="0"/>
    <m/>
    <m/>
    <n v="0"/>
    <m/>
    <s v="Excellent coverage"/>
    <x v="1"/>
    <x v="0"/>
    <x v="0"/>
    <x v="4"/>
    <m/>
  </r>
  <r>
    <x v="6"/>
    <m/>
    <m/>
    <n v="217973"/>
    <x v="177"/>
    <n v="93.373000000000005"/>
    <n v="20.032800000000002"/>
    <x v="0"/>
    <x v="2"/>
    <x v="1"/>
    <n v="0"/>
    <n v="0"/>
    <n v="237"/>
    <s v="Not affected"/>
    <x v="0"/>
    <x v="1"/>
    <m/>
    <x v="4"/>
    <x v="0"/>
    <d v="2015-11-30T00:00:00"/>
    <m/>
    <x v="0"/>
    <n v="0"/>
    <n v="0"/>
    <s v="No"/>
    <n v="0"/>
    <n v="0"/>
    <n v="0"/>
    <n v="1"/>
    <m/>
    <n v="0"/>
    <n v="0"/>
    <n v="0"/>
    <n v="0"/>
    <n v="0"/>
    <n v="0"/>
    <n v="0"/>
    <n v="0"/>
    <s v="0-10%"/>
    <n v="0"/>
    <n v="0"/>
    <s v="yes"/>
    <n v="0.94799999999999995"/>
    <n v="0"/>
    <n v="0"/>
    <n v="0"/>
    <n v="0"/>
    <s v="piping connection to pond water supply, construction of storage tank"/>
    <n v="0"/>
    <n v="0"/>
    <n v="6"/>
    <x v="1"/>
    <n v="0"/>
    <n v="0"/>
    <n v="0"/>
    <n v="0"/>
    <n v="0"/>
    <n v="0"/>
    <x v="0"/>
    <n v="0"/>
    <n v="0"/>
    <s v="n/a"/>
    <s v="n/a"/>
    <s v="n/a"/>
    <s v="n/a"/>
    <s v="n/a"/>
    <s v="n/a"/>
    <s v="n/a"/>
    <s v="n/a"/>
    <s v="n/a"/>
    <s v="n/a"/>
    <s v="n/a"/>
    <s v="n/a"/>
    <s v="21 HH's new permanent 4 ring latrines,  participatory approach"/>
    <s v="n/a"/>
    <m/>
    <m/>
    <s v="n/a"/>
    <m/>
    <m/>
    <s v="n/a"/>
    <s v="n/a"/>
    <s v="n/a"/>
    <x v="0"/>
    <m/>
    <m/>
    <n v="0"/>
    <m/>
    <s v="No coverage"/>
    <x v="1"/>
    <x v="0"/>
    <x v="0"/>
    <x v="4"/>
    <m/>
  </r>
  <r>
    <x v="6"/>
    <m/>
    <m/>
    <s v="MMR012CMP014"/>
    <x v="178"/>
    <n v="93.370037999999994"/>
    <n v="20.037655000000001"/>
    <x v="1"/>
    <x v="0"/>
    <x v="2"/>
    <n v="668"/>
    <n v="2701"/>
    <n v="2701"/>
    <s v="Not affected"/>
    <x v="3"/>
    <x v="1"/>
    <s v="RI"/>
    <x v="4"/>
    <x v="0"/>
    <d v="2015-11-30T00:00:00"/>
    <m/>
    <x v="0"/>
    <n v="0"/>
    <n v="0"/>
    <s v="No"/>
    <n v="0"/>
    <n v="0"/>
    <n v="0"/>
    <n v="5"/>
    <m/>
    <n v="0.2"/>
    <n v="1"/>
    <n v="0"/>
    <n v="0"/>
    <n v="0"/>
    <n v="0"/>
    <n v="1"/>
    <n v="2701"/>
    <s v="0-10%"/>
    <n v="0"/>
    <n v="0"/>
    <s v="yes"/>
    <n v="6.7525000000000004"/>
    <n v="2701"/>
    <n v="540.20000000000005"/>
    <n v="1"/>
    <n v="2701"/>
    <s v="5 untreated ponds, with rainwater collection at a number of community locations and also by individual households."/>
    <n v="0"/>
    <n v="172"/>
    <n v="20"/>
    <x v="4"/>
    <n v="1"/>
    <n v="2701"/>
    <n v="1"/>
    <n v="2701"/>
    <n v="0"/>
    <n v="0"/>
    <x v="1"/>
    <n v="1"/>
    <n v="2701"/>
    <n v="0"/>
    <n v="474.79999999999995"/>
    <n v="0.98440577563865217"/>
    <n v="2658.8799999999997"/>
    <n v="7.5214285714286575"/>
    <n v="1"/>
    <n v="2186.25"/>
    <n v="17"/>
    <n v="0.62939651980747868"/>
    <n v="10.010000000000002"/>
    <n v="1"/>
    <n v="2701"/>
    <s v="Latrines desludged June 2015. 25 latrines damaged by Cyclone Komen. An estimated 70% of HHs have homemade shower points attached to their shelter. 5 communal laundry/bathing facilities constructed can hold 3 hh's."/>
    <d v="2015-09-14T00:00:00"/>
    <m/>
    <m/>
    <d v="2016-09-13T00:00:00"/>
    <n v="722"/>
    <n v="4"/>
    <n v="0"/>
    <n v="1"/>
    <n v="2701"/>
    <x v="3"/>
    <m/>
    <n v="1"/>
    <n v="2701"/>
    <n v="8"/>
    <s v="Excellent coverage"/>
    <x v="5"/>
    <x v="3"/>
    <x v="2"/>
    <x v="1"/>
    <s v="Waste currently being collected 3 times per week and incinerated. Bins distributed in Feb. No separating pits. One sanitary pad dumping area."/>
  </r>
  <r>
    <x v="6"/>
    <m/>
    <m/>
    <n v="197378"/>
    <x v="179"/>
    <n v="93.540599999999998"/>
    <n v="20.061299999999999"/>
    <x v="0"/>
    <x v="2"/>
    <x v="1"/>
    <n v="0"/>
    <n v="0"/>
    <n v="103"/>
    <s v="Not affected"/>
    <x v="0"/>
    <x v="1"/>
    <m/>
    <x v="4"/>
    <x v="0"/>
    <d v="2015-11-30T00:00:00"/>
    <m/>
    <x v="0"/>
    <n v="0"/>
    <n v="0"/>
    <s v="No"/>
    <n v="6"/>
    <n v="54"/>
    <n v="0"/>
    <n v="2"/>
    <m/>
    <n v="0"/>
    <n v="0"/>
    <n v="1"/>
    <n v="103"/>
    <n v="1"/>
    <n v="103"/>
    <n v="1"/>
    <n v="103"/>
    <s v="80-100%"/>
    <n v="0"/>
    <n v="0"/>
    <s v="yes"/>
    <n v="0"/>
    <n v="0"/>
    <n v="0"/>
    <n v="0"/>
    <n v="0"/>
    <s v="Pond renovation, fencing and stairs"/>
    <n v="0"/>
    <n v="0"/>
    <n v="6"/>
    <x v="1"/>
    <n v="0"/>
    <n v="0"/>
    <n v="0"/>
    <n v="0"/>
    <n v="0"/>
    <n v="0"/>
    <x v="0"/>
    <n v="0"/>
    <n v="0"/>
    <s v="n/a"/>
    <s v="n/a"/>
    <s v="n/a"/>
    <s v="n/a"/>
    <s v="n/a"/>
    <s v="n/a"/>
    <s v="n/a"/>
    <s v="n/a"/>
    <s v="n/a"/>
    <s v="n/a"/>
    <s v="n/a"/>
    <s v="n/a"/>
    <m/>
    <s v="n/a"/>
    <m/>
    <m/>
    <s v="n/a"/>
    <m/>
    <m/>
    <s v="n/a"/>
    <s v="n/a"/>
    <s v="n/a"/>
    <x v="0"/>
    <m/>
    <m/>
    <n v="0"/>
    <m/>
    <s v="Excellent coverage"/>
    <x v="1"/>
    <x v="0"/>
    <x v="0"/>
    <x v="4"/>
    <m/>
  </r>
  <r>
    <x v="6"/>
    <m/>
    <m/>
    <n v="197280"/>
    <x v="180"/>
    <n v="93.34"/>
    <n v="20.12"/>
    <x v="0"/>
    <x v="2"/>
    <x v="0"/>
    <n v="0"/>
    <n v="0"/>
    <n v="2341"/>
    <s v="Not affected"/>
    <x v="1"/>
    <x v="1"/>
    <m/>
    <x v="4"/>
    <x v="0"/>
    <d v="2015-11-30T00:00:00"/>
    <m/>
    <x v="1"/>
    <n v="0"/>
    <n v="0"/>
    <s v="No"/>
    <m/>
    <m/>
    <m/>
    <m/>
    <m/>
    <m/>
    <m/>
    <n v="0"/>
    <n v="0"/>
    <n v="0"/>
    <n v="0"/>
    <n v="0"/>
    <n v="0"/>
    <s v="0-10%"/>
    <n v="0"/>
    <n v="0"/>
    <s v="no"/>
    <n v="9.3640000000000008"/>
    <n v="0"/>
    <n v="0"/>
    <m/>
    <n v="0"/>
    <m/>
    <m/>
    <m/>
    <n v="6"/>
    <x v="5"/>
    <n v="0"/>
    <n v="0"/>
    <n v="0"/>
    <n v="0"/>
    <n v="0"/>
    <n v="0"/>
    <x v="0"/>
    <n v="0"/>
    <n v="0"/>
    <s v="n/a"/>
    <s v="n/a"/>
    <s v="n/a"/>
    <s v="n/a"/>
    <s v="n/a"/>
    <s v="n/a"/>
    <s v="n/a"/>
    <s v="n/a"/>
    <s v="n/a"/>
    <s v="n/a"/>
    <s v="n/a"/>
    <s v="n/a"/>
    <m/>
    <s v="n/a"/>
    <m/>
    <m/>
    <s v="n/a"/>
    <m/>
    <m/>
    <s v="n/a"/>
    <s v="n/a"/>
    <s v="n/a"/>
    <x v="0"/>
    <m/>
    <m/>
    <n v="0"/>
    <m/>
    <s v="Excellent coverage"/>
    <x v="1"/>
    <x v="0"/>
    <x v="0"/>
    <x v="4"/>
    <m/>
  </r>
  <r>
    <x v="6"/>
    <m/>
    <m/>
    <n v="197366"/>
    <x v="181"/>
    <n v="93.483999999999995"/>
    <n v="20.084"/>
    <x v="0"/>
    <x v="2"/>
    <x v="1"/>
    <n v="0"/>
    <n v="0"/>
    <n v="2331"/>
    <s v="Not affected"/>
    <x v="1"/>
    <x v="1"/>
    <m/>
    <x v="4"/>
    <x v="0"/>
    <d v="2015-11-30T00:00:00"/>
    <m/>
    <x v="0"/>
    <n v="0"/>
    <n v="0"/>
    <s v="No"/>
    <m/>
    <m/>
    <m/>
    <n v="1"/>
    <m/>
    <m/>
    <m/>
    <n v="0"/>
    <n v="0"/>
    <n v="0"/>
    <n v="0"/>
    <n v="0"/>
    <n v="0"/>
    <s v="0-10%"/>
    <n v="0"/>
    <n v="0"/>
    <s v="yes"/>
    <n v="9.3239999999999998"/>
    <n v="0"/>
    <n v="0"/>
    <n v="0"/>
    <n v="0"/>
    <s v="Pond renovation, fencing and stairs"/>
    <n v="0"/>
    <n v="0"/>
    <n v="6"/>
    <x v="1"/>
    <n v="0"/>
    <n v="0"/>
    <n v="0"/>
    <n v="0"/>
    <n v="0"/>
    <n v="0"/>
    <x v="0"/>
    <n v="0"/>
    <n v="0"/>
    <s v="n/a"/>
    <s v="n/a"/>
    <s v="n/a"/>
    <s v="n/a"/>
    <s v="n/a"/>
    <s v="n/a"/>
    <s v="n/a"/>
    <s v="n/a"/>
    <s v="n/a"/>
    <s v="n/a"/>
    <s v="n/a"/>
    <s v="n/a"/>
    <m/>
    <s v="n/a"/>
    <m/>
    <m/>
    <s v="n/a"/>
    <m/>
    <m/>
    <s v="n/a"/>
    <s v="n/a"/>
    <s v="n/a"/>
    <x v="0"/>
    <m/>
    <m/>
    <n v="0"/>
    <m/>
    <s v="Excellent coverage"/>
    <x v="1"/>
    <x v="0"/>
    <x v="0"/>
    <x v="4"/>
    <m/>
  </r>
  <r>
    <x v="6"/>
    <m/>
    <m/>
    <s v="MMR012006701509"/>
    <x v="100"/>
    <n v="93.371667000000002"/>
    <n v="20.040333"/>
    <x v="0"/>
    <x v="2"/>
    <x v="1"/>
    <n v="0"/>
    <n v="0"/>
    <n v="1495"/>
    <s v="Not affected"/>
    <x v="1"/>
    <x v="1"/>
    <m/>
    <x v="4"/>
    <x v="0"/>
    <d v="2015-11-30T00:00:00"/>
    <m/>
    <x v="0"/>
    <n v="0"/>
    <n v="0"/>
    <s v="No"/>
    <n v="0"/>
    <n v="0"/>
    <n v="0"/>
    <n v="2"/>
    <m/>
    <n v="0"/>
    <n v="0"/>
    <n v="0"/>
    <n v="0"/>
    <n v="0"/>
    <n v="0"/>
    <n v="0"/>
    <n v="0"/>
    <s v="0-10%"/>
    <n v="0"/>
    <n v="0"/>
    <s v="yes"/>
    <n v="5.98"/>
    <n v="0"/>
    <n v="0"/>
    <n v="0"/>
    <n v="0"/>
    <s v="Pond renovation, fencing and stairs"/>
    <n v="0"/>
    <n v="23"/>
    <n v="6"/>
    <x v="0"/>
    <n v="9.2307692307692313E-2"/>
    <n v="138"/>
    <n v="9.2307692307692313E-2"/>
    <n v="138"/>
    <n v="0"/>
    <n v="0"/>
    <x v="0"/>
    <n v="0"/>
    <n v="0"/>
    <s v="n/a"/>
    <s v="n/a"/>
    <s v="n/a"/>
    <s v="n/a"/>
    <s v="n/a"/>
    <s v="n/a"/>
    <s v="n/a"/>
    <s v="n/a"/>
    <s v="n/a"/>
    <s v="n/a"/>
    <s v="n/a"/>
    <s v="n/a"/>
    <s v="25 HH's new permanent 4 ring latrines, particpatory approach"/>
    <s v="n/a"/>
    <m/>
    <m/>
    <s v="n/a"/>
    <m/>
    <m/>
    <s v="n/a"/>
    <s v="n/a"/>
    <s v="n/a"/>
    <x v="0"/>
    <m/>
    <n v="0"/>
    <n v="0"/>
    <m/>
    <s v="Excellent coverage"/>
    <x v="1"/>
    <x v="0"/>
    <x v="0"/>
    <x v="4"/>
    <m/>
  </r>
  <r>
    <x v="7"/>
    <m/>
    <m/>
    <s v="MMR012CMP016"/>
    <x v="182"/>
    <n v="92.985095000000001"/>
    <n v="20.108101999999999"/>
    <x v="1"/>
    <x v="0"/>
    <x v="2"/>
    <n v="1154"/>
    <n v="4272"/>
    <n v="4272"/>
    <s v="Not affected"/>
    <x v="4"/>
    <x v="5"/>
    <s v="LWF"/>
    <x v="5"/>
    <x v="0"/>
    <d v="2016-05-31T00:00:00"/>
    <n v="0"/>
    <x v="0"/>
    <n v="36"/>
    <n v="0"/>
    <s v="No"/>
    <n v="0"/>
    <n v="0"/>
    <n v="0"/>
    <n v="5"/>
    <m/>
    <n v="0"/>
    <n v="0"/>
    <n v="0.5617977528089888"/>
    <n v="2400"/>
    <n v="0"/>
    <n v="0"/>
    <n v="0.5617977528089888"/>
    <n v="2400"/>
    <s v="45-60%"/>
    <n v="0.5617977528089888"/>
    <n v="2400"/>
    <s v="yes"/>
    <n v="10.68"/>
    <n v="0"/>
    <n v="0"/>
    <n v="1"/>
    <n v="4272"/>
    <m/>
    <n v="0"/>
    <n v="130"/>
    <n v="20"/>
    <x v="7"/>
    <n v="0.60861423220973787"/>
    <n v="2600"/>
    <n v="0.60861423220973787"/>
    <n v="2600"/>
    <n v="0"/>
    <n v="0"/>
    <x v="1"/>
    <n v="1"/>
    <n v="4272"/>
    <n v="83.6"/>
    <n v="0"/>
    <n v="0"/>
    <n v="0"/>
    <n v="762.85714285714289"/>
    <n v="0"/>
    <n v="0"/>
    <n v="0"/>
    <n v="0"/>
    <n v="42.72"/>
    <n v="1"/>
    <n v="4272"/>
    <m/>
    <d v="2014-08-26T00:00:00"/>
    <m/>
    <m/>
    <s v="To be done"/>
    <n v="1120"/>
    <n v="9"/>
    <n v="1154"/>
    <n v="0"/>
    <n v="0"/>
    <x v="4"/>
    <s v="HH visits and special events"/>
    <n v="9.7053726169844021E-2"/>
    <n v="414.61351819757368"/>
    <n v="7"/>
    <s v="Good coverage"/>
    <x v="5"/>
    <x v="1"/>
    <x v="1"/>
    <x v="3"/>
    <m/>
  </r>
  <r>
    <x v="7"/>
    <m/>
    <m/>
    <n v="197558"/>
    <x v="182"/>
    <n v="92.985095000000001"/>
    <n v="20.108101999999999"/>
    <x v="0"/>
    <x v="0"/>
    <x v="1"/>
    <n v="0"/>
    <n v="0"/>
    <n v="1802"/>
    <s v="Not affected"/>
    <x v="1"/>
    <x v="6"/>
    <m/>
    <x v="5"/>
    <x v="0"/>
    <d v="2016-05-31T00:00:00"/>
    <m/>
    <x v="0"/>
    <n v="0"/>
    <n v="0"/>
    <s v="No"/>
    <n v="0"/>
    <n v="0"/>
    <n v="0"/>
    <n v="7"/>
    <m/>
    <n v="0"/>
    <n v="0.8"/>
    <n v="0"/>
    <n v="0"/>
    <n v="0"/>
    <n v="0"/>
    <n v="0.8"/>
    <n v="1441.6000000000001"/>
    <s v="0-10%"/>
    <n v="0"/>
    <n v="0"/>
    <s v="yes"/>
    <n v="7.2080000000000002"/>
    <n v="1441.6000000000001"/>
    <n v="0"/>
    <n v="0"/>
    <n v="0"/>
    <s v="Pond use only "/>
    <n v="0"/>
    <n v="347"/>
    <n v="6"/>
    <x v="1"/>
    <n v="1"/>
    <n v="1802"/>
    <n v="1"/>
    <n v="1802"/>
    <n v="0"/>
    <n v="0"/>
    <x v="0"/>
    <n v="1"/>
    <n v="1802"/>
    <s v="n/a"/>
    <s v="n/a"/>
    <s v="n/a"/>
    <s v="n/a"/>
    <s v="n/a"/>
    <s v="n/a"/>
    <s v="n/a"/>
    <s v="n/a"/>
    <s v="n/a"/>
    <s v="n/a"/>
    <s v="n/a"/>
    <s v="n/a"/>
    <m/>
    <s v="n/a"/>
    <m/>
    <m/>
    <s v="n/a"/>
    <n v="0"/>
    <n v="0"/>
    <s v="n/a"/>
    <s v="n/a"/>
    <s v="n/a"/>
    <x v="0"/>
    <s v="HH visits and special events"/>
    <n v="0.13832853025936601"/>
    <n v="249.26801152737755"/>
    <n v="3"/>
    <s v="Good coverage"/>
    <x v="5"/>
    <x v="1"/>
    <x v="1"/>
    <x v="3"/>
    <m/>
  </r>
  <r>
    <x v="7"/>
    <m/>
    <m/>
    <s v="MMR012CMP015"/>
    <x v="183"/>
    <n v="93.067891000000003"/>
    <n v="20.173468"/>
    <x v="1"/>
    <x v="2"/>
    <x v="2"/>
    <n v="21"/>
    <n v="122"/>
    <n v="122"/>
    <s v="Not affected"/>
    <x v="0"/>
    <x v="2"/>
    <s v="LWF"/>
    <x v="3"/>
    <x v="1"/>
    <m/>
    <m/>
    <x v="1"/>
    <n v="0"/>
    <n v="0"/>
    <s v="No"/>
    <n v="0"/>
    <n v="0"/>
    <n v="0"/>
    <n v="0"/>
    <m/>
    <n v="0"/>
    <n v="0"/>
    <n v="0"/>
    <n v="0"/>
    <n v="0"/>
    <n v="0"/>
    <n v="0"/>
    <n v="0"/>
    <s v="0-10%"/>
    <n v="0"/>
    <n v="0"/>
    <s v="no"/>
    <n v="0.30499999999999999"/>
    <n v="0"/>
    <n v="0"/>
    <n v="0.25"/>
    <n v="30.5"/>
    <s v="Access to this Ward is not possible since September 2013"/>
    <n v="0"/>
    <n v="3"/>
    <n v="20"/>
    <x v="6"/>
    <n v="0.49180327868852458"/>
    <n v="60"/>
    <n v="0.49180327868852458"/>
    <n v="60"/>
    <n v="0"/>
    <n v="0"/>
    <x v="3"/>
    <n v="0.8"/>
    <n v="97.600000000000009"/>
    <n v="3.0999999999999996"/>
    <n v="21"/>
    <n v="0.9639344262295082"/>
    <n v="117.6"/>
    <n v="0.78571428571428825"/>
    <n v="1"/>
    <n v="97"/>
    <m/>
    <n v="0"/>
    <n v="1.22"/>
    <n v="0.67"/>
    <n v="81.740000000000009"/>
    <s v="We stop our all of WASH Activities. We will continute when we get permision from Government."/>
    <d v="2013-12-17T00:00:00"/>
    <m/>
    <m/>
    <s v="To be done"/>
    <m/>
    <m/>
    <n v="21"/>
    <n v="0"/>
    <n v="0"/>
    <x v="5"/>
    <s v="SCI Distriubted Hygiene kits"/>
    <m/>
    <n v="0"/>
    <m/>
    <s v="No coverage"/>
    <x v="3"/>
    <x v="2"/>
    <x v="3"/>
    <x v="2"/>
    <m/>
  </r>
  <r>
    <x v="7"/>
    <m/>
    <m/>
    <s v="MMR012CMP018"/>
    <x v="184"/>
    <n v="93.011172000000002"/>
    <n v="20.089314999999999"/>
    <x v="1"/>
    <x v="0"/>
    <x v="2"/>
    <n v="1152"/>
    <n v="5060"/>
    <n v="5060"/>
    <s v="Not affected"/>
    <x v="4"/>
    <x v="1"/>
    <s v="SCI"/>
    <x v="6"/>
    <x v="0"/>
    <d v="2015-12-31T00:00:00"/>
    <m/>
    <x v="0"/>
    <n v="0"/>
    <n v="0"/>
    <s v="No"/>
    <n v="1"/>
    <n v="0"/>
    <n v="0"/>
    <n v="10"/>
    <m/>
    <n v="1"/>
    <n v="0.5"/>
    <n v="7.9051383399209488E-2"/>
    <n v="400"/>
    <n v="7.9051383399209488E-2"/>
    <n v="400"/>
    <n v="0.5"/>
    <n v="2530"/>
    <s v="0-10%"/>
    <n v="0"/>
    <n v="0"/>
    <s v="yes"/>
    <n v="11.65"/>
    <n v="2530"/>
    <n v="5060"/>
    <n v="1"/>
    <n v="5060"/>
    <s v="Water treatment of pond water emplemented by the WASH committee"/>
    <n v="0"/>
    <n v="284"/>
    <n v="17.116197183098592"/>
    <x v="4"/>
    <n v="1"/>
    <n v="5060"/>
    <n v="1"/>
    <n v="5060"/>
    <n v="0"/>
    <n v="0"/>
    <x v="1"/>
    <n v="1"/>
    <n v="5060"/>
    <n v="0"/>
    <n v="0"/>
    <n v="0"/>
    <n v="0"/>
    <n v="903.57142857142867"/>
    <n v="0.79051383399209485"/>
    <n v="3842.687747035573"/>
    <n v="0"/>
    <n v="0"/>
    <n v="50.6"/>
    <n v="1"/>
    <n v="5060"/>
    <s v="priority is now put on dislodgling and repair of pits and minor connection repairs"/>
    <d v="2014-12-18T00:00:00"/>
    <m/>
    <m/>
    <d v="2015-12-18T00:00:00"/>
    <n v="1086"/>
    <n v="0"/>
    <n v="66"/>
    <n v="0.94270833333333337"/>
    <n v="4770.104166666667"/>
    <x v="6"/>
    <m/>
    <n v="1"/>
    <n v="5060"/>
    <n v="70"/>
    <s v="Excellent coverage"/>
    <x v="5"/>
    <x v="1"/>
    <x v="1"/>
    <x v="0"/>
    <m/>
  </r>
  <r>
    <x v="7"/>
    <m/>
    <m/>
    <s v="MMR012CMP017"/>
    <x v="185"/>
    <n v="93.154551999999995"/>
    <n v="20.073437999999999"/>
    <x v="1"/>
    <x v="0"/>
    <x v="2"/>
    <n v="905"/>
    <n v="4249"/>
    <n v="4249"/>
    <s v="Not affected"/>
    <x v="3"/>
    <x v="5"/>
    <s v="LWF"/>
    <x v="5"/>
    <x v="0"/>
    <d v="2016-05-31T00:00:00"/>
    <n v="0"/>
    <x v="0"/>
    <n v="20"/>
    <n v="0"/>
    <s v="No"/>
    <n v="0"/>
    <n v="0"/>
    <n v="0"/>
    <n v="3"/>
    <m/>
    <n v="0"/>
    <n v="0"/>
    <n v="0.3137993253314505"/>
    <n v="1333.3333333333333"/>
    <n v="0"/>
    <n v="0"/>
    <n v="0.3137993253314505"/>
    <n v="1333.3333333333333"/>
    <s v="30-45%"/>
    <n v="0.3137993253314505"/>
    <n v="1333.3333333333333"/>
    <s v="yes"/>
    <n v="10.6225"/>
    <n v="0"/>
    <n v="0"/>
    <n v="1"/>
    <n v="4249"/>
    <m/>
    <n v="0"/>
    <n v="91"/>
    <n v="20"/>
    <x v="7"/>
    <n v="0.42833607907742999"/>
    <n v="1820"/>
    <n v="0.42833607907742999"/>
    <n v="1820"/>
    <n v="0"/>
    <n v="0"/>
    <x v="1"/>
    <n v="1"/>
    <n v="4249"/>
    <n v="121.44999999999999"/>
    <n v="0"/>
    <n v="0"/>
    <n v="0"/>
    <n v="758.75"/>
    <n v="0"/>
    <n v="0"/>
    <n v="0"/>
    <n v="0"/>
    <n v="42.49"/>
    <n v="1"/>
    <n v="4249"/>
    <m/>
    <d v="2014-06-11T00:00:00"/>
    <m/>
    <m/>
    <s v="To be done"/>
    <n v="737.5"/>
    <n v="9"/>
    <n v="905"/>
    <n v="0"/>
    <n v="0"/>
    <x v="1"/>
    <s v="HH visits and special events"/>
    <n v="0.10607734806629834"/>
    <n v="450.72265193370168"/>
    <n v="6"/>
    <s v="Good coverage"/>
    <x v="5"/>
    <x v="1"/>
    <x v="1"/>
    <x v="3"/>
    <m/>
  </r>
  <r>
    <x v="7"/>
    <m/>
    <m/>
    <s v="MMR012CMP017"/>
    <x v="186"/>
    <n v="93.154551999999995"/>
    <n v="20.073437999999999"/>
    <x v="1"/>
    <x v="0"/>
    <x v="2"/>
    <n v="713"/>
    <n v="3264"/>
    <n v="3264"/>
    <s v="Not affected"/>
    <x v="3"/>
    <x v="5"/>
    <s v="LWF"/>
    <x v="5"/>
    <x v="0"/>
    <d v="2016-05-31T00:00:00"/>
    <n v="0"/>
    <x v="0"/>
    <n v="16"/>
    <n v="0"/>
    <s v="No"/>
    <n v="0"/>
    <n v="0"/>
    <n v="0"/>
    <n v="3"/>
    <m/>
    <n v="0"/>
    <n v="0"/>
    <n v="0.32679738562091504"/>
    <n v="1066.6666666666667"/>
    <n v="0"/>
    <n v="0"/>
    <n v="0.32679738562091504"/>
    <n v="1066.6666666666667"/>
    <s v="30-45%"/>
    <n v="0.32679738562091504"/>
    <n v="1066.6666666666667"/>
    <s v="yes"/>
    <n v="8.16"/>
    <n v="0"/>
    <n v="0"/>
    <n v="1"/>
    <n v="3264"/>
    <m/>
    <n v="0"/>
    <n v="113"/>
    <n v="20"/>
    <x v="7"/>
    <n v="0.69240196078431371"/>
    <n v="2260"/>
    <n v="0.69240196078431371"/>
    <n v="2260"/>
    <n v="0"/>
    <n v="0"/>
    <x v="1"/>
    <n v="1"/>
    <n v="3264"/>
    <n v="50.199999999999989"/>
    <n v="0"/>
    <n v="0"/>
    <n v="0"/>
    <n v="582.85714285714289"/>
    <n v="0"/>
    <n v="0"/>
    <n v="0"/>
    <n v="0"/>
    <n v="32.64"/>
    <n v="1"/>
    <n v="3264"/>
    <m/>
    <d v="2014-06-16T00:00:00"/>
    <m/>
    <m/>
    <s v="To be done"/>
    <n v="737.5"/>
    <n v="9"/>
    <n v="713"/>
    <n v="0"/>
    <n v="0"/>
    <x v="1"/>
    <s v="HH visits and special events"/>
    <n v="0.13464235624123422"/>
    <n v="439.47265077138849"/>
    <n v="6"/>
    <s v="Good coverage"/>
    <x v="5"/>
    <x v="1"/>
    <x v="1"/>
    <x v="3"/>
    <m/>
  </r>
  <r>
    <x v="7"/>
    <m/>
    <m/>
    <n v="197430"/>
    <x v="187"/>
    <n v="93.004040000000003"/>
    <n v="20.065919000000001"/>
    <x v="0"/>
    <x v="2"/>
    <x v="1"/>
    <n v="0"/>
    <n v="0"/>
    <n v="447"/>
    <s v="Not affected"/>
    <x v="0"/>
    <x v="6"/>
    <m/>
    <x v="6"/>
    <x v="0"/>
    <d v="2016-06-30T00:00:00"/>
    <m/>
    <x v="0"/>
    <n v="0"/>
    <n v="0"/>
    <s v="n/a"/>
    <n v="0"/>
    <n v="0"/>
    <n v="0"/>
    <n v="2"/>
    <m/>
    <n v="0"/>
    <n v="0"/>
    <n v="0"/>
    <n v="0"/>
    <n v="0"/>
    <n v="0"/>
    <n v="0"/>
    <n v="0"/>
    <s v="0-10%"/>
    <n v="0"/>
    <n v="0"/>
    <s v="yes"/>
    <n v="1.788"/>
    <n v="0"/>
    <n v="0"/>
    <n v="0"/>
    <n v="0"/>
    <m/>
    <n v="0"/>
    <n v="98"/>
    <n v="4.5612244897959187"/>
    <x v="1"/>
    <n v="1"/>
    <n v="447"/>
    <n v="1"/>
    <n v="447"/>
    <n v="0"/>
    <n v="0"/>
    <x v="0"/>
    <n v="1"/>
    <n v="447"/>
    <s v="n/a"/>
    <s v="n/a"/>
    <s v="n/a"/>
    <s v="n/a"/>
    <s v="n/a"/>
    <s v="n/a"/>
    <s v="n/a"/>
    <s v="n/a"/>
    <s v="n/a"/>
    <s v="n/a"/>
    <s v="n/a"/>
    <s v="n/a"/>
    <s v="Latrines at each HH"/>
    <s v="n/a"/>
    <m/>
    <m/>
    <s v="n/a"/>
    <m/>
    <m/>
    <s v="n/a"/>
    <s v="n/a"/>
    <s v="n/a"/>
    <x v="0"/>
    <m/>
    <m/>
    <n v="0"/>
    <m/>
    <s v="No coverage"/>
    <x v="1"/>
    <x v="0"/>
    <x v="5"/>
    <x v="5"/>
    <m/>
  </r>
  <r>
    <x v="7"/>
    <m/>
    <m/>
    <n v="197557"/>
    <x v="188"/>
    <n v="92.993799999999993"/>
    <n v="20.0839"/>
    <x v="0"/>
    <x v="2"/>
    <x v="1"/>
    <n v="0"/>
    <n v="0"/>
    <n v="1120"/>
    <s v="Not affected"/>
    <x v="1"/>
    <x v="7"/>
    <m/>
    <x v="7"/>
    <x v="0"/>
    <d v="2016-03-31T00:00:00"/>
    <m/>
    <x v="0"/>
    <n v="0"/>
    <n v="0"/>
    <s v="No"/>
    <n v="0"/>
    <n v="0"/>
    <n v="0"/>
    <n v="4"/>
    <m/>
    <n v="0"/>
    <n v="1"/>
    <n v="0"/>
    <n v="0"/>
    <n v="0"/>
    <n v="0"/>
    <n v="1"/>
    <n v="1120"/>
    <s v="0-10%"/>
    <n v="0"/>
    <n v="0"/>
    <s v="yes"/>
    <n v="4.4800000000000004"/>
    <n v="1120"/>
    <n v="0"/>
    <n v="1"/>
    <n v="1120"/>
    <m/>
    <n v="0"/>
    <n v="74"/>
    <n v="14.175675675675675"/>
    <x v="0"/>
    <n v="0.93660714285714286"/>
    <n v="1049"/>
    <n v="0.93660714285714286"/>
    <n v="1049"/>
    <n v="0"/>
    <n v="0"/>
    <x v="0"/>
    <n v="1"/>
    <n v="1120"/>
    <s v="n/a"/>
    <s v="n/a"/>
    <s v="n/a"/>
    <s v="n/a"/>
    <s v="n/a"/>
    <s v="n/a"/>
    <s v="n/a"/>
    <s v="n/a"/>
    <s v="n/a"/>
    <s v="n/a"/>
    <s v="n/a"/>
    <s v="n/a"/>
    <m/>
    <s v="n/a"/>
    <m/>
    <m/>
    <s v="n/a"/>
    <m/>
    <m/>
    <s v="n/a"/>
    <s v="n/a"/>
    <s v="n/a"/>
    <x v="0"/>
    <s v="Not Distribution"/>
    <n v="0.75"/>
    <n v="840"/>
    <n v="4"/>
    <s v="Excellent coverage"/>
    <x v="0"/>
    <x v="0"/>
    <x v="2"/>
    <x v="0"/>
    <m/>
  </r>
  <r>
    <x v="7"/>
    <m/>
    <m/>
    <s v="MMR012CMP019"/>
    <x v="189"/>
    <n v="92.993758999999997"/>
    <n v="20.064226000000001"/>
    <x v="1"/>
    <x v="0"/>
    <x v="2"/>
    <n v="641"/>
    <n v="2405"/>
    <n v="2405"/>
    <s v="Not affected"/>
    <x v="3"/>
    <x v="7"/>
    <s v="SCI"/>
    <x v="7"/>
    <x v="0"/>
    <d v="2016-03-31T00:00:00"/>
    <s v="SI"/>
    <x v="0"/>
    <n v="0"/>
    <n v="0"/>
    <s v="No"/>
    <n v="12"/>
    <n v="13"/>
    <n v="33.15"/>
    <n v="0"/>
    <m/>
    <n v="0"/>
    <n v="0"/>
    <n v="1"/>
    <n v="2405"/>
    <n v="1"/>
    <n v="2405"/>
    <n v="1"/>
    <n v="2405"/>
    <s v="80-100%"/>
    <n v="0"/>
    <n v="0"/>
    <s v="no"/>
    <n v="0"/>
    <n v="0"/>
    <n v="0"/>
    <n v="1"/>
    <n v="2405"/>
    <m/>
    <n v="0"/>
    <n v="364"/>
    <n v="6.5934065934065931"/>
    <x v="3"/>
    <n v="1"/>
    <n v="2405"/>
    <n v="1"/>
    <n v="2405"/>
    <n v="0"/>
    <n v="0"/>
    <x v="1"/>
    <n v="1"/>
    <n v="2405"/>
    <n v="0"/>
    <n v="660"/>
    <n v="1"/>
    <n v="2405"/>
    <n v="0"/>
    <n v="1"/>
    <n v="2405"/>
    <n v="25"/>
    <n v="1"/>
    <n v="0"/>
    <n v="1"/>
    <n v="2405"/>
    <s v="Individual Washrooms not gender seperated (BI)"/>
    <d v="2015-04-01T00:00:00"/>
    <m/>
    <m/>
    <d v="2016-03-31T00:00:00"/>
    <n v="680"/>
    <n v="3"/>
    <n v="0"/>
    <n v="1"/>
    <n v="2405"/>
    <x v="7"/>
    <s v="SCI Distriubted Refill Hygiene kits on 2014"/>
    <n v="1"/>
    <n v="2405"/>
    <n v="10"/>
    <s v="Excellent coverage"/>
    <x v="2"/>
    <x v="3"/>
    <x v="2"/>
    <x v="1"/>
    <m/>
  </r>
  <r>
    <x v="7"/>
    <m/>
    <m/>
    <n v="197548"/>
    <x v="190"/>
    <n v="92.994600000000005"/>
    <n v="20.0641"/>
    <x v="0"/>
    <x v="0"/>
    <x v="3"/>
    <n v="884"/>
    <n v="3634"/>
    <n v="3634"/>
    <s v="Not affected"/>
    <x v="1"/>
    <x v="7"/>
    <m/>
    <x v="7"/>
    <x v="0"/>
    <d v="2016-03-31T00:00:00"/>
    <s v="SI"/>
    <x v="0"/>
    <n v="0"/>
    <n v="0"/>
    <s v="No"/>
    <n v="50"/>
    <n v="10"/>
    <n v="0"/>
    <n v="3"/>
    <m/>
    <n v="0"/>
    <n v="1"/>
    <n v="1"/>
    <n v="3634"/>
    <n v="1"/>
    <n v="3634"/>
    <n v="1"/>
    <n v="3634"/>
    <s v="80-100%"/>
    <n v="0"/>
    <n v="0"/>
    <s v="yes"/>
    <n v="0"/>
    <n v="3634"/>
    <n v="0"/>
    <n v="1"/>
    <n v="3634"/>
    <m/>
    <n v="0"/>
    <n v="360"/>
    <n v="10.463888888888889"/>
    <x v="0"/>
    <n v="1"/>
    <n v="3634"/>
    <n v="1"/>
    <n v="3634"/>
    <n v="0"/>
    <n v="0"/>
    <x v="1"/>
    <n v="1"/>
    <n v="3634"/>
    <s v="n/a"/>
    <s v="n/a"/>
    <s v="n/a"/>
    <s v="n/a"/>
    <s v="n/a"/>
    <s v="n/a"/>
    <s v="n/a"/>
    <n v="19"/>
    <s v="n/a"/>
    <s v="n/a"/>
    <s v="n/a"/>
    <s v="n/a"/>
    <m/>
    <d v="2013-12-17T00:00:00"/>
    <m/>
    <m/>
    <s v="n/a"/>
    <n v="857"/>
    <n v="12"/>
    <s v="n/a"/>
    <s v="n/a"/>
    <s v="n/a"/>
    <x v="0"/>
    <s v="SCI Distriubted Refill Hygiene kits on 2014"/>
    <n v="0.75"/>
    <n v="2725.5"/>
    <n v="7"/>
    <s v="Average coverage"/>
    <x v="5"/>
    <x v="3"/>
    <x v="2"/>
    <x v="0"/>
    <m/>
  </r>
  <r>
    <x v="7"/>
    <m/>
    <m/>
    <n v="197550"/>
    <x v="191"/>
    <n v="92.995181000000002"/>
    <n v="20.057860999999999"/>
    <x v="0"/>
    <x v="2"/>
    <x v="1"/>
    <n v="0"/>
    <n v="0"/>
    <n v="1999"/>
    <s v="Not affected"/>
    <x v="1"/>
    <x v="7"/>
    <m/>
    <x v="7"/>
    <x v="0"/>
    <d v="2016-03-31T00:00:00"/>
    <s v="SI"/>
    <x v="0"/>
    <n v="0"/>
    <n v="0"/>
    <s v="No"/>
    <n v="15"/>
    <n v="8"/>
    <n v="0"/>
    <n v="6"/>
    <m/>
    <n v="0"/>
    <n v="1"/>
    <n v="1"/>
    <n v="1999"/>
    <n v="1"/>
    <n v="1999"/>
    <n v="1"/>
    <n v="1999"/>
    <s v="80-100%"/>
    <n v="0"/>
    <n v="0"/>
    <s v="yes"/>
    <n v="0"/>
    <n v="1999"/>
    <n v="0"/>
    <n v="1"/>
    <n v="1999"/>
    <m/>
    <n v="0"/>
    <n v="209"/>
    <n v="9.473684210526315"/>
    <x v="0"/>
    <n v="0.9904952476238118"/>
    <n v="1979.9999999999998"/>
    <n v="0.9904952476238118"/>
    <n v="1979.9999999999998"/>
    <n v="0"/>
    <n v="0"/>
    <x v="0"/>
    <n v="0.99"/>
    <n v="1979.01"/>
    <s v="n/a"/>
    <s v="n/a"/>
    <s v="n/a"/>
    <s v="n/a"/>
    <s v="n/a"/>
    <s v="n/a"/>
    <s v="n/a"/>
    <n v="5"/>
    <s v="n/a"/>
    <s v="n/a"/>
    <s v="n/a"/>
    <s v="n/a"/>
    <m/>
    <d v="2013-12-30T00:00:00"/>
    <m/>
    <m/>
    <s v="n/a"/>
    <n v="455"/>
    <n v="12"/>
    <s v="n/a"/>
    <s v="n/a"/>
    <s v="n/a"/>
    <x v="0"/>
    <s v="SCI Distriubted Refill Hygiene kits on 2014"/>
    <n v="0.75"/>
    <n v="1499.25"/>
    <n v="5"/>
    <s v="Excellent coverage"/>
    <x v="0"/>
    <x v="0"/>
    <x v="2"/>
    <x v="0"/>
    <m/>
  </r>
  <r>
    <x v="8"/>
    <m/>
    <m/>
    <n v="196357"/>
    <x v="192"/>
    <n v="93.019220000000004"/>
    <n v="20.369959999999999"/>
    <x v="0"/>
    <x v="2"/>
    <x v="0"/>
    <n v="0"/>
    <n v="0"/>
    <n v="1945"/>
    <s v="Not affected"/>
    <x v="1"/>
    <x v="1"/>
    <m/>
    <x v="8"/>
    <x v="0"/>
    <d v="2015-12-31T00:00:00"/>
    <m/>
    <x v="0"/>
    <n v="0"/>
    <n v="0"/>
    <s v="No"/>
    <n v="0"/>
    <n v="0"/>
    <n v="0"/>
    <n v="4"/>
    <m/>
    <n v="0"/>
    <n v="0"/>
    <n v="0"/>
    <n v="0"/>
    <n v="0"/>
    <n v="0"/>
    <n v="0"/>
    <n v="0"/>
    <s v="0-10%"/>
    <n v="0"/>
    <n v="0"/>
    <s v="yes"/>
    <n v="7.78"/>
    <n v="0"/>
    <n v="0"/>
    <n v="0"/>
    <n v="0"/>
    <s v="3 pond for both drinking &amp; domestic, 1 unused pond"/>
    <n v="0"/>
    <n v="11"/>
    <n v="6"/>
    <x v="1"/>
    <n v="3.3933161953727503E-2"/>
    <n v="66"/>
    <n v="3.3933161953727503E-2"/>
    <n v="66"/>
    <n v="0"/>
    <n v="0"/>
    <x v="0"/>
    <n v="0.03"/>
    <n v="58.349999999999994"/>
    <s v="n/a"/>
    <s v="n/a"/>
    <s v="n/a"/>
    <s v="n/a"/>
    <s v="n/a"/>
    <s v="n/a"/>
    <s v="n/a"/>
    <s v="n/a"/>
    <s v="n/a"/>
    <s v="n/a"/>
    <m/>
    <s v="n/a"/>
    <m/>
    <s v="n/a"/>
    <m/>
    <m/>
    <s v="n/a"/>
    <m/>
    <m/>
    <s v="n/a"/>
    <s v="n/a"/>
    <s v="n/a"/>
    <x v="0"/>
    <m/>
    <n v="0.20250000000000001"/>
    <n v="393.86250000000001"/>
    <m/>
    <s v="No coverage"/>
    <x v="4"/>
    <x v="0"/>
    <x v="4"/>
    <x v="0"/>
    <m/>
  </r>
  <r>
    <x v="8"/>
    <m/>
    <m/>
    <n v="196401"/>
    <x v="193"/>
    <n v="92.8947"/>
    <n v="20.327500000000001"/>
    <x v="0"/>
    <x v="2"/>
    <x v="0"/>
    <n v="0"/>
    <n v="0"/>
    <n v="922"/>
    <s v="Moderately affected"/>
    <x v="2"/>
    <x v="1"/>
    <m/>
    <x v="8"/>
    <x v="0"/>
    <d v="2015-12-31T00:00:00"/>
    <m/>
    <x v="0"/>
    <n v="0"/>
    <n v="0"/>
    <s v="No"/>
    <n v="0"/>
    <n v="0"/>
    <n v="0"/>
    <n v="3"/>
    <m/>
    <n v="0"/>
    <n v="0"/>
    <n v="0"/>
    <n v="0"/>
    <n v="0"/>
    <n v="0"/>
    <n v="0"/>
    <n v="0"/>
    <s v="0-10%"/>
    <n v="0"/>
    <n v="0"/>
    <s v="yes"/>
    <n v="3.6880000000000002"/>
    <n v="0"/>
    <n v="0"/>
    <n v="0"/>
    <n v="0"/>
    <s v="1 drinking, 2 domestic ponds"/>
    <n v="0"/>
    <n v="7"/>
    <n v="6"/>
    <x v="1"/>
    <n v="4.5553145336225599E-2"/>
    <n v="42"/>
    <n v="4.5553145336225599E-2"/>
    <n v="42"/>
    <n v="0"/>
    <n v="0"/>
    <x v="0"/>
    <n v="0.05"/>
    <n v="46.1"/>
    <s v="n/a"/>
    <s v="n/a"/>
    <s v="n/a"/>
    <s v="n/a"/>
    <s v="n/a"/>
    <s v="n/a"/>
    <s v="n/a"/>
    <s v="n/a"/>
    <s v="n/a"/>
    <s v="n/a"/>
    <m/>
    <s v="n/a"/>
    <m/>
    <s v="n/a"/>
    <m/>
    <m/>
    <s v="n/a"/>
    <m/>
    <m/>
    <s v="n/a"/>
    <s v="n/a"/>
    <s v="n/a"/>
    <x v="0"/>
    <m/>
    <n v="0.45650000000000002"/>
    <n v="420.89300000000003"/>
    <m/>
    <s v="No coverage"/>
    <x v="4"/>
    <x v="0"/>
    <x v="4"/>
    <x v="0"/>
    <m/>
  </r>
  <r>
    <x v="8"/>
    <m/>
    <m/>
    <n v="196375"/>
    <x v="194"/>
    <n v="93.01"/>
    <n v="20.308"/>
    <x v="0"/>
    <x v="2"/>
    <x v="0"/>
    <n v="0"/>
    <n v="0"/>
    <n v="1200"/>
    <s v="Not affected"/>
    <x v="1"/>
    <x v="1"/>
    <m/>
    <x v="8"/>
    <x v="0"/>
    <d v="2015-12-31T00:00:00"/>
    <m/>
    <x v="0"/>
    <n v="0"/>
    <n v="0"/>
    <s v="No"/>
    <n v="0"/>
    <n v="0"/>
    <n v="0"/>
    <n v="5"/>
    <m/>
    <n v="0"/>
    <n v="0"/>
    <n v="0"/>
    <n v="0"/>
    <n v="0"/>
    <n v="0"/>
    <n v="0"/>
    <n v="0"/>
    <s v="0-10%"/>
    <n v="0"/>
    <n v="0"/>
    <s v="yes"/>
    <n v="4.8"/>
    <n v="0"/>
    <n v="0"/>
    <n v="0"/>
    <n v="0"/>
    <s v="5 ponds for both drinking &amp; domestic"/>
    <n v="0"/>
    <n v="19"/>
    <n v="6"/>
    <x v="1"/>
    <n v="9.5000000000000001E-2"/>
    <n v="114"/>
    <n v="9.5000000000000001E-2"/>
    <n v="114"/>
    <n v="0"/>
    <n v="0"/>
    <x v="0"/>
    <n v="0.1"/>
    <n v="120"/>
    <s v="n/a"/>
    <s v="n/a"/>
    <s v="n/a"/>
    <s v="n/a"/>
    <s v="n/a"/>
    <s v="n/a"/>
    <s v="n/a"/>
    <s v="n/a"/>
    <s v="n/a"/>
    <s v="n/a"/>
    <m/>
    <s v="n/a"/>
    <m/>
    <s v="n/a"/>
    <m/>
    <m/>
    <s v="n/a"/>
    <m/>
    <m/>
    <s v="n/a"/>
    <s v="n/a"/>
    <s v="n/a"/>
    <x v="0"/>
    <m/>
    <n v="0.47239999999999999"/>
    <n v="566.88"/>
    <m/>
    <s v="No coverage"/>
    <x v="4"/>
    <x v="0"/>
    <x v="4"/>
    <x v="0"/>
    <m/>
  </r>
  <r>
    <x v="8"/>
    <m/>
    <m/>
    <s v="196412"/>
    <x v="195"/>
    <s v="92.921730"/>
    <s v="20.242140"/>
    <x v="0"/>
    <x v="2"/>
    <x v="0"/>
    <n v="0"/>
    <n v="0"/>
    <n v="2031"/>
    <s v="Moderately affected"/>
    <x v="1"/>
    <x v="1"/>
    <m/>
    <x v="8"/>
    <x v="0"/>
    <d v="2015-12-31T00:00:00"/>
    <m/>
    <x v="0"/>
    <n v="0"/>
    <n v="0"/>
    <s v="No"/>
    <n v="0"/>
    <n v="0"/>
    <n v="0"/>
    <n v="7"/>
    <m/>
    <n v="0"/>
    <n v="0"/>
    <n v="0"/>
    <n v="0"/>
    <n v="0"/>
    <n v="0"/>
    <n v="0"/>
    <n v="0"/>
    <s v="0-10%"/>
    <n v="0"/>
    <n v="0"/>
    <s v="yes"/>
    <n v="8.1240000000000006"/>
    <n v="0"/>
    <n v="0"/>
    <n v="0"/>
    <n v="0"/>
    <s v="4 drinking, 3 domestic, 3 unused ponds"/>
    <n v="0"/>
    <n v="20"/>
    <n v="6"/>
    <x v="5"/>
    <n v="5.9084194977843424E-2"/>
    <n v="120"/>
    <n v="5.9084194977843424E-2"/>
    <n v="120"/>
    <n v="0"/>
    <n v="0"/>
    <x v="0"/>
    <n v="0.06"/>
    <n v="121.86"/>
    <s v="n/a"/>
    <s v="n/a"/>
    <s v="n/a"/>
    <s v="n/a"/>
    <s v="n/a"/>
    <s v="n/a"/>
    <s v="n/a"/>
    <s v="n/a"/>
    <s v="n/a"/>
    <s v="n/a"/>
    <m/>
    <s v="n/a"/>
    <m/>
    <s v="n/a"/>
    <m/>
    <m/>
    <s v="n/a"/>
    <m/>
    <m/>
    <s v="n/a"/>
    <s v="n/a"/>
    <s v="n/a"/>
    <x v="0"/>
    <m/>
    <n v="0.28889999999999999"/>
    <n v="586.7559"/>
    <m/>
    <s v="No coverage"/>
    <x v="4"/>
    <x v="0"/>
    <x v="4"/>
    <x v="0"/>
    <m/>
  </r>
  <r>
    <x v="8"/>
    <m/>
    <m/>
    <s v="196408"/>
    <x v="196"/>
    <s v="92.978"/>
    <s v="20.268"/>
    <x v="0"/>
    <x v="2"/>
    <x v="0"/>
    <n v="0"/>
    <n v="0"/>
    <n v="1811"/>
    <s v="Not affected"/>
    <x v="1"/>
    <x v="1"/>
    <m/>
    <x v="8"/>
    <x v="0"/>
    <d v="2015-12-31T00:00:00"/>
    <m/>
    <x v="0"/>
    <n v="0"/>
    <n v="0"/>
    <s v="No"/>
    <n v="0"/>
    <n v="4"/>
    <n v="0"/>
    <n v="8"/>
    <m/>
    <n v="0"/>
    <n v="0"/>
    <n v="0.55218111540585313"/>
    <n v="1000"/>
    <n v="0.55218111540585313"/>
    <n v="1000"/>
    <n v="0.55218111540585313"/>
    <n v="1000"/>
    <s v="45-60%"/>
    <n v="0"/>
    <n v="0"/>
    <s v="yes"/>
    <n v="3.2439999999999998"/>
    <n v="0"/>
    <n v="0"/>
    <n v="0"/>
    <n v="0"/>
    <s v="3 drinking, 5 domestic ponds"/>
    <n v="0"/>
    <n v="56"/>
    <n v="6"/>
    <x v="1"/>
    <n v="0.18553285477636663"/>
    <n v="336"/>
    <n v="0.18553285477636663"/>
    <n v="336"/>
    <n v="0"/>
    <n v="0"/>
    <x v="0"/>
    <n v="0.19"/>
    <n v="344.09000000000003"/>
    <s v="n/a"/>
    <s v="n/a"/>
    <s v="n/a"/>
    <s v="n/a"/>
    <s v="n/a"/>
    <s v="n/a"/>
    <s v="n/a"/>
    <s v="n/a"/>
    <s v="n/a"/>
    <s v="n/a"/>
    <m/>
    <s v="n/a"/>
    <m/>
    <s v="n/a"/>
    <m/>
    <m/>
    <s v="n/a"/>
    <m/>
    <m/>
    <s v="n/a"/>
    <s v="n/a"/>
    <s v="n/a"/>
    <x v="0"/>
    <m/>
    <n v="0.51249999999999996"/>
    <n v="928.13749999999993"/>
    <n v="1"/>
    <s v="Low coverage"/>
    <x v="4"/>
    <x v="0"/>
    <x v="4"/>
    <x v="0"/>
    <m/>
  </r>
  <r>
    <x v="8"/>
    <m/>
    <m/>
    <s v="196377"/>
    <x v="197"/>
    <s v="92.9941"/>
    <s v="20.2921"/>
    <x v="0"/>
    <x v="2"/>
    <x v="0"/>
    <n v="0"/>
    <n v="0"/>
    <n v="695"/>
    <s v="Not affected"/>
    <x v="2"/>
    <x v="1"/>
    <m/>
    <x v="8"/>
    <x v="0"/>
    <d v="2015-12-31T00:00:00"/>
    <m/>
    <x v="0"/>
    <n v="0"/>
    <n v="0"/>
    <s v="No"/>
    <n v="0"/>
    <n v="0"/>
    <n v="0"/>
    <n v="8"/>
    <m/>
    <n v="0"/>
    <n v="0"/>
    <n v="0"/>
    <n v="0"/>
    <n v="0"/>
    <n v="0"/>
    <n v="0"/>
    <n v="0"/>
    <s v="0-10%"/>
    <n v="0"/>
    <n v="0"/>
    <s v="yes"/>
    <n v="2.78"/>
    <n v="0"/>
    <n v="0"/>
    <n v="0"/>
    <n v="0"/>
    <s v="2 drinking, 6 domestic ponds"/>
    <n v="0"/>
    <n v="18"/>
    <n v="6"/>
    <x v="1"/>
    <n v="0.1553956834532374"/>
    <n v="107.99999999999999"/>
    <n v="0.1553956834532374"/>
    <n v="107.99999999999999"/>
    <n v="0"/>
    <n v="0"/>
    <x v="0"/>
    <n v="0.16"/>
    <n v="111.2"/>
    <s v="n/a"/>
    <s v="n/a"/>
    <s v="n/a"/>
    <s v="n/a"/>
    <s v="n/a"/>
    <s v="n/a"/>
    <s v="n/a"/>
    <s v="n/a"/>
    <s v="n/a"/>
    <s v="n/a"/>
    <m/>
    <s v="n/a"/>
    <m/>
    <s v="n/a"/>
    <m/>
    <m/>
    <s v="n/a"/>
    <m/>
    <m/>
    <s v="n/a"/>
    <s v="n/a"/>
    <s v="n/a"/>
    <x v="0"/>
    <m/>
    <n v="0.9375"/>
    <n v="651.5625"/>
    <m/>
    <s v="No coverage"/>
    <x v="4"/>
    <x v="0"/>
    <x v="4"/>
    <x v="0"/>
    <m/>
  </r>
  <r>
    <x v="8"/>
    <m/>
    <m/>
    <s v="196356"/>
    <x v="198"/>
    <s v="93.012960"/>
    <s v="20.424390"/>
    <x v="0"/>
    <x v="2"/>
    <x v="0"/>
    <n v="0"/>
    <n v="0"/>
    <n v="1455"/>
    <s v="Not affected"/>
    <x v="1"/>
    <x v="1"/>
    <m/>
    <x v="8"/>
    <x v="0"/>
    <d v="2015-12-31T00:00:00"/>
    <m/>
    <x v="0"/>
    <n v="0"/>
    <n v="0"/>
    <s v="No"/>
    <n v="0"/>
    <n v="0"/>
    <n v="0"/>
    <n v="8"/>
    <m/>
    <n v="0"/>
    <n v="0"/>
    <n v="0"/>
    <n v="0"/>
    <n v="0"/>
    <n v="0"/>
    <n v="0"/>
    <n v="0"/>
    <s v="0-10%"/>
    <n v="0"/>
    <n v="0"/>
    <s v="yes"/>
    <n v="5.82"/>
    <n v="0"/>
    <n v="0"/>
    <n v="0"/>
    <n v="0"/>
    <s v="3 drinking, 5 domestic ponds"/>
    <n v="0"/>
    <n v="41"/>
    <n v="6"/>
    <x v="1"/>
    <n v="0.16907216494845362"/>
    <n v="246.00000000000003"/>
    <n v="0.16907216494845362"/>
    <n v="246.00000000000003"/>
    <n v="0"/>
    <n v="0"/>
    <x v="0"/>
    <n v="0.17"/>
    <n v="247.35000000000002"/>
    <s v="n/a"/>
    <s v="n/a"/>
    <s v="n/a"/>
    <s v="n/a"/>
    <s v="n/a"/>
    <s v="n/a"/>
    <s v="n/a"/>
    <s v="n/a"/>
    <s v="n/a"/>
    <s v="n/a"/>
    <m/>
    <s v="n/a"/>
    <m/>
    <s v="n/a"/>
    <m/>
    <m/>
    <s v="n/a"/>
    <m/>
    <m/>
    <s v="n/a"/>
    <s v="n/a"/>
    <s v="n/a"/>
    <x v="0"/>
    <m/>
    <n v="0.34889999999999999"/>
    <n v="507.64949999999999"/>
    <m/>
    <s v="No coverage"/>
    <x v="4"/>
    <x v="0"/>
    <x v="4"/>
    <x v="0"/>
    <m/>
  </r>
  <r>
    <x v="9"/>
    <m/>
    <m/>
    <s v="MMR012CMP038"/>
    <x v="199"/>
    <n v="93.865170000000006"/>
    <n v="19.091054"/>
    <x v="0"/>
    <x v="2"/>
    <x v="4"/>
    <n v="18"/>
    <n v="77"/>
    <n v="9874"/>
    <s v="Not affected"/>
    <x v="1"/>
    <x v="1"/>
    <s v="UNHCR"/>
    <x v="2"/>
    <x v="0"/>
    <d v="2015-11-30T00:00:00"/>
    <m/>
    <x v="0"/>
    <n v="0"/>
    <n v="0"/>
    <s v="No"/>
    <n v="2"/>
    <n v="0"/>
    <n v="0"/>
    <n v="0"/>
    <m/>
    <n v="0"/>
    <n v="0"/>
    <n v="5.0638039295118495E-2"/>
    <n v="500"/>
    <n v="5.0638039295118495E-2"/>
    <n v="500"/>
    <n v="5.0638039295118495E-2"/>
    <n v="500"/>
    <s v="0-10%"/>
    <n v="0"/>
    <n v="0"/>
    <s v="no"/>
    <n v="37.496000000000002"/>
    <n v="0"/>
    <n v="0"/>
    <n v="1"/>
    <n v="9874"/>
    <m/>
    <n v="0"/>
    <n v="20"/>
    <n v="6"/>
    <x v="2"/>
    <n v="1.2153129430828438E-2"/>
    <n v="119.99999999999999"/>
    <n v="1.2153129430828438E-2"/>
    <n v="119.99999999999999"/>
    <n v="0"/>
    <n v="0"/>
    <x v="0"/>
    <n v="1"/>
    <n v="9874"/>
    <s v="n/a"/>
    <s v="n/a"/>
    <s v="n/a"/>
    <s v="n/a"/>
    <s v="n/a"/>
    <s v="n/a"/>
    <s v="n/a"/>
    <s v="n/a"/>
    <s v="n/a"/>
    <s v="n/a"/>
    <s v="n/a"/>
    <s v="n/a"/>
    <m/>
    <d v="2014-05-22T00:00:00"/>
    <m/>
    <m/>
    <s v="n/a"/>
    <n v="12"/>
    <n v="6"/>
    <s v="n/a"/>
    <s v="n/a"/>
    <s v="n/a"/>
    <x v="0"/>
    <s v="Oxfam Distributed "/>
    <n v="0"/>
    <n v="0"/>
    <n v="0"/>
    <s v="No coverage"/>
    <x v="1"/>
    <x v="0"/>
    <x v="4"/>
    <x v="3"/>
    <s v="IDPs in host community have not had any WASH or hygiene promotion intervention except for distribution of hygiene kits"/>
  </r>
  <r>
    <x v="9"/>
    <m/>
    <m/>
    <s v="MMR012CMP037"/>
    <x v="98"/>
    <n v="93.857592999999994"/>
    <n v="19.088283000000001"/>
    <x v="1"/>
    <x v="0"/>
    <x v="2"/>
    <n v="60"/>
    <n v="187"/>
    <n v="187"/>
    <s v="Not affected"/>
    <x v="2"/>
    <x v="1"/>
    <s v="UNHCR"/>
    <x v="2"/>
    <x v="0"/>
    <d v="2015-11-30T00:00:00"/>
    <m/>
    <x v="0"/>
    <n v="0"/>
    <n v="0"/>
    <s v="No"/>
    <n v="2"/>
    <n v="2"/>
    <n v="0"/>
    <n v="0"/>
    <m/>
    <n v="1"/>
    <n v="0"/>
    <n v="1"/>
    <n v="187"/>
    <n v="1"/>
    <n v="187"/>
    <n v="1"/>
    <n v="187"/>
    <s v="80-100%"/>
    <n v="0"/>
    <n v="0"/>
    <s v="no"/>
    <n v="0"/>
    <n v="0"/>
    <n v="187"/>
    <n v="1"/>
    <n v="187"/>
    <m/>
    <n v="0"/>
    <n v="24"/>
    <n v="20"/>
    <x v="3"/>
    <n v="1"/>
    <n v="187"/>
    <n v="1"/>
    <n v="187"/>
    <n v="0"/>
    <n v="0"/>
    <x v="3"/>
    <n v="1"/>
    <n v="187"/>
    <n v="0"/>
    <n v="8"/>
    <n v="0.23957219251336898"/>
    <n v="44.8"/>
    <n v="25.392857142857146"/>
    <n v="1"/>
    <n v="170"/>
    <n v="7"/>
    <n v="1"/>
    <n v="0"/>
    <n v="1"/>
    <n v="187"/>
    <m/>
    <d v="2014-05-22T00:00:00"/>
    <m/>
    <m/>
    <s v="To be done"/>
    <n v="57"/>
    <n v="1"/>
    <n v="60"/>
    <n v="0"/>
    <n v="0"/>
    <x v="2"/>
    <s v="Refil done monthly"/>
    <n v="0.75"/>
    <n v="140.25"/>
    <n v="10"/>
    <s v="Excellent coverage"/>
    <x v="2"/>
    <x v="1"/>
    <x v="2"/>
    <x v="1"/>
    <m/>
  </r>
  <r>
    <x v="10"/>
    <m/>
    <m/>
    <n v="197602"/>
    <x v="200"/>
    <n v="92.671099999999996"/>
    <n v="20.547599999999999"/>
    <x v="0"/>
    <x v="0"/>
    <x v="1"/>
    <n v="0"/>
    <n v="0"/>
    <n v="453"/>
    <s v="Not affected"/>
    <x v="0"/>
    <x v="1"/>
    <m/>
    <x v="8"/>
    <x v="0"/>
    <d v="2015-12-31T00:00:00"/>
    <m/>
    <x v="0"/>
    <n v="0"/>
    <n v="0"/>
    <s v="No"/>
    <n v="0"/>
    <n v="0"/>
    <n v="0"/>
    <n v="1"/>
    <m/>
    <n v="0"/>
    <n v="0"/>
    <n v="0"/>
    <n v="0"/>
    <n v="0"/>
    <n v="0"/>
    <n v="0"/>
    <n v="0"/>
    <s v="0-10%"/>
    <n v="0"/>
    <n v="0"/>
    <s v="yes"/>
    <n v="1.8120000000000001"/>
    <n v="0"/>
    <n v="0"/>
    <n v="0"/>
    <n v="0"/>
    <s v="1 Pond renovation has implemented"/>
    <n v="0"/>
    <n v="40"/>
    <n v="6"/>
    <x v="1"/>
    <n v="0.5298013245033113"/>
    <n v="240.00000000000003"/>
    <n v="0.5298013245033113"/>
    <n v="240.00000000000003"/>
    <n v="0"/>
    <n v="0"/>
    <x v="0"/>
    <n v="0.53"/>
    <n v="240.09"/>
    <s v="n/a"/>
    <s v="n/a"/>
    <s v="n/a"/>
    <s v="n/a"/>
    <s v="n/a"/>
    <s v="n/a"/>
    <s v="n/a"/>
    <s v="n/a"/>
    <s v="n/a"/>
    <s v="n/a"/>
    <n v="0"/>
    <s v="n/a"/>
    <m/>
    <s v="n/a"/>
    <m/>
    <m/>
    <s v="n/a"/>
    <m/>
    <m/>
    <s v="n/a"/>
    <s v="n/a"/>
    <s v="n/a"/>
    <x v="0"/>
    <m/>
    <n v="0.89370000000000005"/>
    <n v="404.84610000000004"/>
    <m/>
    <s v="No coverage"/>
    <x v="4"/>
    <x v="0"/>
    <x v="1"/>
    <x v="0"/>
    <m/>
  </r>
  <r>
    <x v="10"/>
    <m/>
    <m/>
    <s v="MMR012CMP034"/>
    <x v="201"/>
    <n v="92.640022000000002"/>
    <n v="20.569219"/>
    <x v="1"/>
    <x v="0"/>
    <x v="2"/>
    <n v="250"/>
    <n v="1231"/>
    <n v="1231"/>
    <s v="Not affected"/>
    <x v="2"/>
    <x v="1"/>
    <s v="UNHCR"/>
    <x v="8"/>
    <x v="0"/>
    <d v="2015-12-31T00:00:00"/>
    <m/>
    <x v="0"/>
    <n v="0"/>
    <n v="0"/>
    <s v="No"/>
    <n v="0"/>
    <n v="1"/>
    <n v="0"/>
    <n v="0"/>
    <m/>
    <n v="0.1"/>
    <n v="1"/>
    <n v="0.40617384240454912"/>
    <n v="499.99999999999994"/>
    <n v="0.40617384240454912"/>
    <n v="499.99999999999994"/>
    <n v="1"/>
    <n v="1231"/>
    <s v="30-45%"/>
    <n v="0"/>
    <n v="0"/>
    <s v="no"/>
    <n v="2.0775000000000001"/>
    <n v="1231"/>
    <n v="123.10000000000001"/>
    <n v="0.75"/>
    <n v="923.25"/>
    <s v="1 Pond renovation implemented for both host &amp; IDP, 7 domestic and 3 drinking water pond for both host &amp; IDP"/>
    <n v="0"/>
    <n v="20"/>
    <n v="20"/>
    <x v="3"/>
    <n v="0.3249390739236393"/>
    <n v="400"/>
    <n v="0.3249390739236393"/>
    <n v="400"/>
    <n v="0"/>
    <n v="0"/>
    <x v="0"/>
    <n v="0.31"/>
    <n v="381.61"/>
    <n v="41.55"/>
    <n v="0"/>
    <n v="0"/>
    <n v="0"/>
    <n v="219.82142857142858"/>
    <n v="0"/>
    <n v="0"/>
    <n v="0"/>
    <n v="0"/>
    <n v="12.31"/>
    <n v="0"/>
    <n v="0"/>
    <s v="64 units (34double block Unit) of communal latrine has been provided by IRC project in Camp. It was 100% covered for IDPs. _x000a_How ever, cyclone Komen has destroyed 20 units (10 units of double block) latrines in the camp. "/>
    <d v="2013-12-28T00:00:00"/>
    <m/>
    <m/>
    <s v="To be done"/>
    <n v="500"/>
    <n v="1"/>
    <n v="250"/>
    <n v="0"/>
    <n v="0"/>
    <x v="8"/>
    <s v="MRCS Distributed"/>
    <n v="0.48820000000000002"/>
    <n v="600.9742"/>
    <m/>
    <s v="No coverage"/>
    <x v="5"/>
    <x v="0"/>
    <x v="1"/>
    <x v="0"/>
    <m/>
  </r>
  <r>
    <x v="10"/>
    <m/>
    <m/>
    <s v="MMR012CMP034"/>
    <x v="201"/>
    <n v="92.640022000000002"/>
    <n v="20.569219"/>
    <x v="0"/>
    <x v="0"/>
    <x v="0"/>
    <n v="0"/>
    <n v="0"/>
    <n v="1743"/>
    <s v="Not affected"/>
    <x v="1"/>
    <x v="1"/>
    <m/>
    <x v="8"/>
    <x v="0"/>
    <d v="2015-12-31T00:00:00"/>
    <m/>
    <x v="0"/>
    <n v="0"/>
    <n v="0"/>
    <s v="No"/>
    <n v="0"/>
    <n v="0"/>
    <n v="0"/>
    <n v="7"/>
    <m/>
    <n v="0.1"/>
    <n v="0"/>
    <n v="0"/>
    <n v="0"/>
    <n v="0"/>
    <n v="0"/>
    <n v="0"/>
    <n v="0"/>
    <s v="0-10%"/>
    <n v="0"/>
    <n v="0"/>
    <s v="yes"/>
    <n v="6.9720000000000004"/>
    <n v="0"/>
    <n v="174.3"/>
    <n v="0.14000000000000001"/>
    <n v="244.02"/>
    <s v="4 dirnking, 3 domestic, 3 unused ponds"/>
    <n v="0"/>
    <n v="3"/>
    <n v="6"/>
    <x v="1"/>
    <n v="1.0327022375215147E-2"/>
    <n v="18"/>
    <n v="1.0327022375215147E-2"/>
    <n v="18"/>
    <n v="0"/>
    <n v="0"/>
    <x v="0"/>
    <n v="0.01"/>
    <n v="17.43"/>
    <s v="n/a"/>
    <s v="n/a"/>
    <s v="n/a"/>
    <s v="n/a"/>
    <s v="n/a"/>
    <s v="n/a"/>
    <s v="n/a"/>
    <s v="n/a"/>
    <s v="n/a"/>
    <s v="n/a"/>
    <n v="0"/>
    <s v="n/a"/>
    <s v="only 4 river bank latrine before cyclone. So far, Number of Latrines has decreased as Cyclone Komen destoryed."/>
    <s v="n/a"/>
    <m/>
    <m/>
    <s v="n/a"/>
    <m/>
    <m/>
    <s v="n/a"/>
    <s v="n/a"/>
    <s v="n/a"/>
    <x v="0"/>
    <m/>
    <n v="0.29370000000000002"/>
    <n v="511.91910000000001"/>
    <m/>
    <s v="No coverage"/>
    <x v="4"/>
    <x v="0"/>
    <x v="4"/>
    <x v="0"/>
    <m/>
  </r>
  <r>
    <x v="10"/>
    <m/>
    <m/>
    <s v="MMR012CMP032"/>
    <x v="202"/>
    <n v="92.781294000000003"/>
    <n v="20.399269"/>
    <x v="0"/>
    <x v="0"/>
    <x v="5"/>
    <n v="32"/>
    <n v="167"/>
    <n v="2535"/>
    <s v="Not affected"/>
    <x v="1"/>
    <x v="8"/>
    <s v="UNHCR"/>
    <x v="5"/>
    <x v="0"/>
    <d v="2016-04-30T00:00:00"/>
    <m/>
    <x v="0"/>
    <n v="0"/>
    <n v="0"/>
    <s v="No"/>
    <n v="48"/>
    <n v="0"/>
    <n v="0"/>
    <n v="0"/>
    <m/>
    <n v="0"/>
    <n v="1"/>
    <n v="1"/>
    <n v="2535"/>
    <n v="1"/>
    <n v="2535"/>
    <n v="1"/>
    <n v="2535"/>
    <s v="80-100%"/>
    <n v="0"/>
    <n v="0"/>
    <s v="no"/>
    <n v="0"/>
    <n v="2535"/>
    <n v="0"/>
    <n v="1"/>
    <n v="2535"/>
    <m/>
    <n v="0"/>
    <n v="0"/>
    <n v="6"/>
    <x v="0"/>
    <n v="0"/>
    <n v="0"/>
    <n v="0"/>
    <n v="0"/>
    <n v="0"/>
    <n v="0"/>
    <x v="0"/>
    <n v="1"/>
    <n v="2535"/>
    <s v="n/a"/>
    <s v="n/a"/>
    <s v="n/a"/>
    <s v="n/a"/>
    <s v="n/a"/>
    <s v="n/a"/>
    <s v="n/a"/>
    <s v="n/a"/>
    <s v="n/a"/>
    <s v="n/a"/>
    <s v="n/a"/>
    <s v="n/a"/>
    <m/>
    <d v="2014-08-15T00:00:00"/>
    <m/>
    <m/>
    <s v="n/a"/>
    <n v="56"/>
    <n v="6"/>
    <s v="n/a"/>
    <s v="n/a"/>
    <s v="n/a"/>
    <x v="0"/>
    <s v="HH visits and special events"/>
    <n v="0.89"/>
    <n v="2256.15"/>
    <n v="5"/>
    <s v="Good coverage"/>
    <x v="4"/>
    <x v="0"/>
    <x v="4"/>
    <x v="5"/>
    <m/>
  </r>
  <r>
    <x v="10"/>
    <m/>
    <m/>
    <n v="197603"/>
    <x v="203"/>
    <n v="92.674199999999999"/>
    <n v="20.553599999999999"/>
    <x v="0"/>
    <x v="0"/>
    <x v="1"/>
    <n v="0"/>
    <n v="0"/>
    <n v="3282"/>
    <s v="Not affected"/>
    <x v="1"/>
    <x v="1"/>
    <m/>
    <x v="8"/>
    <x v="0"/>
    <d v="2015-12-31T00:00:00"/>
    <m/>
    <x v="0"/>
    <n v="0"/>
    <n v="0"/>
    <s v="No"/>
    <n v="0"/>
    <n v="0"/>
    <n v="0"/>
    <n v="15"/>
    <m/>
    <n v="0"/>
    <n v="0"/>
    <n v="0"/>
    <n v="0"/>
    <n v="0"/>
    <n v="0"/>
    <n v="0"/>
    <n v="0"/>
    <s v="0-10%"/>
    <n v="0"/>
    <n v="0"/>
    <s v="yes"/>
    <n v="13.128"/>
    <n v="0"/>
    <n v="0"/>
    <n v="0"/>
    <n v="0"/>
    <s v="1 Pond renovation has been implemented"/>
    <n v="0"/>
    <n v="35"/>
    <n v="6"/>
    <x v="1"/>
    <n v="6.3985374771480807E-2"/>
    <n v="210"/>
    <n v="6.3985374771480807E-2"/>
    <n v="210"/>
    <n v="0"/>
    <n v="0"/>
    <x v="0"/>
    <n v="0.06"/>
    <n v="196.92"/>
    <s v="n/a"/>
    <s v="n/a"/>
    <s v="n/a"/>
    <s v="n/a"/>
    <s v="n/a"/>
    <s v="n/a"/>
    <s v="n/a"/>
    <s v="n/a"/>
    <s v="n/a"/>
    <s v="n/a"/>
    <n v="0"/>
    <s v="n/a"/>
    <s v="Number of Latrines has decreased as Cyclone Komen destoryed."/>
    <s v="n/a"/>
    <m/>
    <m/>
    <s v="n/a"/>
    <m/>
    <m/>
    <s v="n/a"/>
    <s v="n/a"/>
    <s v="n/a"/>
    <x v="0"/>
    <m/>
    <n v="0.15379999999999999"/>
    <n v="504.77159999999998"/>
    <n v="1"/>
    <s v="Low coverage"/>
    <x v="4"/>
    <x v="0"/>
    <x v="1"/>
    <x v="0"/>
    <m/>
  </r>
  <r>
    <x v="10"/>
    <m/>
    <m/>
    <m/>
    <x v="204"/>
    <n v="92.691800000000001"/>
    <n v="20.59"/>
    <x v="0"/>
    <x v="2"/>
    <x v="1"/>
    <n v="0"/>
    <n v="0"/>
    <n v="756"/>
    <s v="Not affected"/>
    <x v="2"/>
    <x v="1"/>
    <m/>
    <x v="8"/>
    <x v="0"/>
    <d v="2015-12-31T00:00:00"/>
    <m/>
    <x v="0"/>
    <n v="0"/>
    <n v="0"/>
    <s v="No"/>
    <n v="0"/>
    <n v="0"/>
    <n v="0"/>
    <n v="2"/>
    <m/>
    <n v="0"/>
    <n v="1"/>
    <n v="0"/>
    <n v="0"/>
    <n v="0"/>
    <n v="0"/>
    <n v="1"/>
    <n v="756"/>
    <s v="0-10%"/>
    <n v="0"/>
    <n v="0"/>
    <s v="yes"/>
    <n v="3.024"/>
    <n v="756"/>
    <n v="0"/>
    <n v="0"/>
    <n v="0"/>
    <s v="1 drinking, 1 domestic pond"/>
    <n v="0"/>
    <n v="45"/>
    <n v="6"/>
    <x v="1"/>
    <n v="0.35714285714285715"/>
    <n v="270"/>
    <n v="0.35714285714285715"/>
    <n v="270"/>
    <n v="0"/>
    <n v="0"/>
    <x v="0"/>
    <n v="0.36"/>
    <n v="272.15999999999997"/>
    <s v="n/a"/>
    <s v="n/a"/>
    <s v="n/a"/>
    <s v="n/a"/>
    <s v="n/a"/>
    <s v="n/a"/>
    <s v="n/a"/>
    <s v="n/a"/>
    <s v="n/a"/>
    <s v="n/a"/>
    <n v="0"/>
    <s v="n/a"/>
    <s v="Number of Latrines has decreased as Cyclone Komen destoryed."/>
    <s v="n/a"/>
    <m/>
    <m/>
    <s v="n/a"/>
    <m/>
    <m/>
    <s v="n/a"/>
    <s v="n/a"/>
    <s v="n/a"/>
    <x v="0"/>
    <m/>
    <n v="0.1404"/>
    <n v="106.14239999999999"/>
    <m/>
    <s v="No coverage"/>
    <x v="4"/>
    <x v="0"/>
    <x v="1"/>
    <x v="0"/>
    <m/>
  </r>
  <r>
    <x v="10"/>
    <m/>
    <m/>
    <n v="197601"/>
    <x v="205"/>
    <n v="92.648399999999995"/>
    <n v="20.546399999999998"/>
    <x v="0"/>
    <x v="0"/>
    <x v="1"/>
    <n v="0"/>
    <n v="0"/>
    <n v="991"/>
    <s v="Not affected"/>
    <x v="2"/>
    <x v="1"/>
    <m/>
    <x v="8"/>
    <x v="0"/>
    <d v="2015-12-31T00:00:00"/>
    <m/>
    <x v="0"/>
    <n v="0"/>
    <n v="0"/>
    <s v="No"/>
    <n v="0"/>
    <n v="0"/>
    <n v="0"/>
    <n v="3"/>
    <m/>
    <n v="0"/>
    <n v="0"/>
    <n v="0"/>
    <n v="0"/>
    <n v="0"/>
    <n v="0"/>
    <n v="0"/>
    <n v="0"/>
    <s v="0-10%"/>
    <n v="0"/>
    <n v="0"/>
    <s v="yes"/>
    <n v="3.964"/>
    <n v="0"/>
    <n v="0"/>
    <n v="0"/>
    <n v="0"/>
    <s v="3 drinking, 5 unused ponds"/>
    <n v="0"/>
    <n v="59"/>
    <n v="6"/>
    <x v="1"/>
    <n v="0.35721493440968716"/>
    <n v="354"/>
    <n v="0.35721493440968716"/>
    <n v="354"/>
    <n v="0"/>
    <n v="0"/>
    <x v="0"/>
    <n v="0.36"/>
    <n v="356.76"/>
    <s v="n/a"/>
    <s v="n/a"/>
    <s v="n/a"/>
    <s v="n/a"/>
    <s v="n/a"/>
    <s v="n/a"/>
    <s v="n/a"/>
    <s v="n/a"/>
    <s v="n/a"/>
    <s v="n/a"/>
    <n v="0"/>
    <s v="n/a"/>
    <s v="Number of Latrines has decreased as Cyclone Komen destoryed."/>
    <s v="n/a"/>
    <m/>
    <m/>
    <s v="n/a"/>
    <m/>
    <m/>
    <s v="n/a"/>
    <s v="n/a"/>
    <s v="n/a"/>
    <x v="0"/>
    <m/>
    <n v="0.3831"/>
    <n v="379.65210000000002"/>
    <m/>
    <s v="No coverage"/>
    <x v="4"/>
    <x v="0"/>
    <x v="1"/>
    <x v="0"/>
    <m/>
  </r>
  <r>
    <x v="10"/>
    <m/>
    <m/>
    <n v="197650"/>
    <x v="206"/>
    <n v="92.664500000000004"/>
    <n v="20.396999999999998"/>
    <x v="0"/>
    <x v="2"/>
    <x v="1"/>
    <n v="0"/>
    <n v="0"/>
    <n v="5700"/>
    <s v="Not affected"/>
    <x v="1"/>
    <x v="2"/>
    <m/>
    <x v="3"/>
    <x v="1"/>
    <m/>
    <m/>
    <x v="1"/>
    <n v="0"/>
    <n v="0"/>
    <s v="No"/>
    <n v="0"/>
    <n v="1"/>
    <n v="0"/>
    <n v="2"/>
    <m/>
    <n v="0"/>
    <n v="0"/>
    <n v="4.3859649122807015E-2"/>
    <n v="250"/>
    <n v="4.3859649122807015E-2"/>
    <n v="250"/>
    <n v="4.3859649122807015E-2"/>
    <n v="250"/>
    <s v="0-10%"/>
    <n v="0"/>
    <n v="0"/>
    <s v="yes"/>
    <n v="21.8"/>
    <n v="0"/>
    <n v="0"/>
    <n v="0.09"/>
    <n v="513"/>
    <m/>
    <n v="0"/>
    <n v="0"/>
    <n v="6"/>
    <x v="2"/>
    <n v="0"/>
    <n v="0"/>
    <n v="0"/>
    <n v="0"/>
    <n v="0"/>
    <n v="0"/>
    <x v="0"/>
    <n v="0"/>
    <n v="0"/>
    <s v="n/a"/>
    <s v="n/a"/>
    <s v="n/a"/>
    <s v="n/a"/>
    <s v="n/a"/>
    <s v="n/a"/>
    <s v="n/a"/>
    <s v="n/a"/>
    <s v="n/a"/>
    <s v="n/a"/>
    <s v="n/a"/>
    <s v="n/a"/>
    <m/>
    <s v="n/a"/>
    <m/>
    <m/>
    <s v="n/a"/>
    <m/>
    <m/>
    <s v="n/a"/>
    <s v="n/a"/>
    <s v="n/a"/>
    <x v="0"/>
    <m/>
    <m/>
    <n v="0"/>
    <m/>
    <s v="No coverage"/>
    <x v="3"/>
    <x v="2"/>
    <x v="3"/>
    <x v="2"/>
    <m/>
  </r>
  <r>
    <x v="10"/>
    <m/>
    <m/>
    <s v="MMR012CMP033"/>
    <x v="206"/>
    <n v="92.660360999999995"/>
    <n v="20.408453000000002"/>
    <x v="1"/>
    <x v="0"/>
    <x v="2"/>
    <n v="218"/>
    <n v="1283"/>
    <n v="1283"/>
    <s v="Not affected"/>
    <x v="2"/>
    <x v="8"/>
    <s v="UNHCR"/>
    <x v="5"/>
    <x v="0"/>
    <d v="2016-04-30T00:00:00"/>
    <n v="10.75"/>
    <x v="0"/>
    <n v="10.75"/>
    <n v="0"/>
    <s v="Yes"/>
    <n v="1"/>
    <n v="0"/>
    <n v="0"/>
    <n v="0"/>
    <m/>
    <n v="1"/>
    <n v="1"/>
    <n v="0.8703559366069108"/>
    <n v="1116.6666666666665"/>
    <n v="0.31176929072486359"/>
    <n v="400"/>
    <n v="1"/>
    <n v="1283"/>
    <s v="80-100%"/>
    <n v="0.55858664588204721"/>
    <n v="716.66666666666652"/>
    <s v="no"/>
    <n v="2.2075"/>
    <n v="1283"/>
    <n v="1283"/>
    <n v="1"/>
    <n v="1283"/>
    <m/>
    <n v="3"/>
    <n v="60"/>
    <n v="20"/>
    <x v="5"/>
    <n v="0.98207326578332033"/>
    <n v="1260"/>
    <n v="0.93530787217459077"/>
    <n v="1200"/>
    <n v="4.6765393608729555E-2"/>
    <n v="60.000000000000021"/>
    <x v="3"/>
    <n v="0.99"/>
    <n v="1270.17"/>
    <n v="4.1500000000000057"/>
    <n v="113"/>
    <n v="0.49321901792673417"/>
    <n v="632.79999999999995"/>
    <n v="116.10714285714286"/>
    <n v="0"/>
    <n v="0"/>
    <n v="15"/>
    <n v="1"/>
    <n v="0"/>
    <n v="0"/>
    <n v="0"/>
    <m/>
    <d v="2014-09-05T00:00:00"/>
    <m/>
    <m/>
    <s v="To be done"/>
    <n v="229"/>
    <n v="9"/>
    <n v="218"/>
    <n v="0"/>
    <n v="0"/>
    <x v="4"/>
    <s v="HH visits and special events"/>
    <n v="0.92"/>
    <n v="1180.3600000000001"/>
    <n v="2"/>
    <s v="Good coverage"/>
    <x v="1"/>
    <x v="1"/>
    <x v="2"/>
    <x v="4"/>
    <m/>
  </r>
  <r>
    <x v="10"/>
    <m/>
    <m/>
    <n v="197591"/>
    <x v="207"/>
    <n v="92.643269000000004"/>
    <n v="20.581468999999998"/>
    <x v="0"/>
    <x v="0"/>
    <x v="0"/>
    <n v="0"/>
    <n v="0"/>
    <n v="2175"/>
    <s v="Not affected"/>
    <x v="1"/>
    <x v="1"/>
    <m/>
    <x v="8"/>
    <x v="0"/>
    <d v="2015-12-31T00:00:00"/>
    <m/>
    <x v="0"/>
    <n v="0"/>
    <n v="0"/>
    <s v="No"/>
    <n v="0"/>
    <n v="0"/>
    <n v="0"/>
    <n v="7"/>
    <m/>
    <n v="0"/>
    <n v="0"/>
    <n v="0"/>
    <n v="0"/>
    <n v="0"/>
    <n v="0"/>
    <n v="0"/>
    <n v="0"/>
    <s v="0-10%"/>
    <n v="0"/>
    <n v="0"/>
    <s v="yes"/>
    <n v="8.6999999999999993"/>
    <n v="0"/>
    <n v="0"/>
    <n v="0"/>
    <n v="0"/>
    <m/>
    <n v="0"/>
    <n v="57"/>
    <n v="6"/>
    <x v="1"/>
    <n v="0.15724137931034482"/>
    <n v="342"/>
    <n v="0.15724137931034482"/>
    <n v="342"/>
    <n v="0"/>
    <n v="0"/>
    <x v="0"/>
    <n v="0.16"/>
    <n v="348"/>
    <s v="n/a"/>
    <s v="n/a"/>
    <s v="n/a"/>
    <s v="n/a"/>
    <s v="n/a"/>
    <s v="n/a"/>
    <s v="n/a"/>
    <s v="n/a"/>
    <s v="n/a"/>
    <s v="n/a"/>
    <n v="0"/>
    <s v="n/a"/>
    <s v="Number of Latrines has decreased as Cyclone Komen destoryed."/>
    <s v="n/a"/>
    <m/>
    <m/>
    <s v="n/a"/>
    <m/>
    <m/>
    <s v="n/a"/>
    <s v="n/a"/>
    <s v="n/a"/>
    <x v="0"/>
    <m/>
    <n v="0.1394"/>
    <n v="303.19499999999999"/>
    <m/>
    <s v="No coverage"/>
    <x v="4"/>
    <x v="0"/>
    <x v="4"/>
    <x v="0"/>
    <m/>
  </r>
  <r>
    <x v="10"/>
    <m/>
    <m/>
    <n v="197590"/>
    <x v="208"/>
    <n v="92.641800000000003"/>
    <n v="20.569800000000001"/>
    <x v="0"/>
    <x v="2"/>
    <x v="1"/>
    <n v="0"/>
    <n v="0"/>
    <n v="176"/>
    <s v="Not affected"/>
    <x v="0"/>
    <x v="1"/>
    <m/>
    <x v="8"/>
    <x v="0"/>
    <d v="2015-12-31T00:00:00"/>
    <m/>
    <x v="0"/>
    <n v="0"/>
    <n v="0"/>
    <s v="No"/>
    <n v="0"/>
    <n v="0"/>
    <n v="0"/>
    <n v="3"/>
    <m/>
    <n v="0"/>
    <n v="0.32"/>
    <n v="0"/>
    <n v="0"/>
    <n v="0"/>
    <n v="0"/>
    <n v="0.32"/>
    <n v="56.32"/>
    <s v="0-10%"/>
    <n v="0"/>
    <n v="0"/>
    <s v="yes"/>
    <n v="0.70399999999999996"/>
    <n v="56.32"/>
    <n v="0"/>
    <n v="0.32"/>
    <n v="56.32"/>
    <s v="1 Pond renovation implemented,_x000a_ 2 ponds for both domestic and drinking, 1 pond for domestic only"/>
    <n v="0"/>
    <n v="1"/>
    <n v="6"/>
    <x v="1"/>
    <n v="3.4090909090909088E-2"/>
    <n v="6"/>
    <n v="3.4090909090909088E-2"/>
    <n v="6"/>
    <n v="0"/>
    <n v="0"/>
    <x v="0"/>
    <n v="0.03"/>
    <n v="5.2799999999999994"/>
    <s v="n/a"/>
    <s v="n/a"/>
    <s v="n/a"/>
    <s v="n/a"/>
    <s v="n/a"/>
    <s v="n/a"/>
    <s v="n/a"/>
    <s v="n/a"/>
    <s v="n/a"/>
    <s v="n/a"/>
    <n v="0"/>
    <s v="n/a"/>
    <s v="Number of Latrines has decreased as Cyclone Komen destoryed."/>
    <s v="n/a"/>
    <m/>
    <m/>
    <s v="n/a"/>
    <m/>
    <m/>
    <s v="n/a"/>
    <s v="n/a"/>
    <s v="n/a"/>
    <x v="0"/>
    <m/>
    <n v="0.73250000000000004"/>
    <n v="128.92000000000002"/>
    <n v="2"/>
    <s v="Excellent coverage"/>
    <x v="4"/>
    <x v="0"/>
    <x v="1"/>
    <x v="0"/>
    <m/>
  </r>
  <r>
    <x v="10"/>
    <m/>
    <m/>
    <n v="197585"/>
    <x v="209"/>
    <n v="92.670699999999997"/>
    <n v="20.585799999999999"/>
    <x v="0"/>
    <x v="2"/>
    <x v="1"/>
    <n v="0"/>
    <n v="0"/>
    <n v="323"/>
    <s v="Moderately affected"/>
    <x v="0"/>
    <x v="1"/>
    <m/>
    <x v="8"/>
    <x v="0"/>
    <d v="2015-12-31T00:00:00"/>
    <m/>
    <x v="0"/>
    <n v="0"/>
    <n v="0"/>
    <s v="No"/>
    <n v="0"/>
    <n v="0"/>
    <n v="0"/>
    <n v="3"/>
    <m/>
    <n v="0"/>
    <n v="0.51"/>
    <n v="0"/>
    <n v="0"/>
    <n v="0"/>
    <n v="0"/>
    <n v="0.51"/>
    <n v="164.73"/>
    <s v="0-10%"/>
    <n v="0"/>
    <n v="0"/>
    <s v="yes"/>
    <n v="1.292"/>
    <n v="164.73"/>
    <n v="0"/>
    <n v="0.51"/>
    <n v="164.73"/>
    <s v="implemented 1 pond renovation,_x000a_1 drinking, 2 domestic, 1 unused ponds, _x000a_fabrication of 33 BSF is on going"/>
    <n v="0"/>
    <n v="2"/>
    <n v="6"/>
    <x v="1"/>
    <n v="3.7151702786377708E-2"/>
    <n v="12"/>
    <n v="3.7151702786377708E-2"/>
    <n v="12"/>
    <n v="0"/>
    <n v="0"/>
    <x v="0"/>
    <n v="0.04"/>
    <n v="12.92"/>
    <s v="n/a"/>
    <s v="n/a"/>
    <s v="n/a"/>
    <s v="n/a"/>
    <s v="n/a"/>
    <s v="n/a"/>
    <s v="n/a"/>
    <s v="n/a"/>
    <s v="n/a"/>
    <s v="n/a"/>
    <n v="0"/>
    <s v="n/a"/>
    <s v="Number of Latrines has decreased as Cyclone Komen destoryed."/>
    <s v="n/a"/>
    <m/>
    <m/>
    <s v="n/a"/>
    <m/>
    <m/>
    <s v="n/a"/>
    <s v="n/a"/>
    <s v="n/a"/>
    <x v="0"/>
    <m/>
    <n v="0.6"/>
    <n v="193.79999999999998"/>
    <n v="4"/>
    <s v="Excellent coverage"/>
    <x v="4"/>
    <x v="0"/>
    <x v="1"/>
    <x v="0"/>
    <m/>
  </r>
  <r>
    <x v="10"/>
    <m/>
    <m/>
    <n v="197654"/>
    <x v="210"/>
    <n v="92.630499999999998"/>
    <n v="20.447399999999998"/>
    <x v="0"/>
    <x v="2"/>
    <x v="1"/>
    <n v="0"/>
    <n v="0"/>
    <n v="6000"/>
    <s v="Not affected"/>
    <x v="1"/>
    <x v="2"/>
    <m/>
    <x v="3"/>
    <x v="1"/>
    <m/>
    <m/>
    <x v="1"/>
    <n v="0"/>
    <n v="0"/>
    <s v="No"/>
    <n v="0"/>
    <n v="0"/>
    <n v="1"/>
    <n v="0"/>
    <m/>
    <n v="0"/>
    <n v="0"/>
    <n v="1.1111111111111112E-2"/>
    <n v="66.666666666666671"/>
    <n v="1.1111111111111112E-2"/>
    <n v="66.666666666666671"/>
    <n v="1.1111111111111112E-2"/>
    <n v="66.666666666666671"/>
    <s v="0-10%"/>
    <n v="0"/>
    <n v="0"/>
    <s v="no"/>
    <n v="24"/>
    <n v="0"/>
    <n v="0"/>
    <n v="0.01"/>
    <n v="60"/>
    <m/>
    <n v="0"/>
    <n v="0"/>
    <n v="6"/>
    <x v="2"/>
    <n v="0"/>
    <n v="0"/>
    <n v="0"/>
    <n v="0"/>
    <n v="0"/>
    <n v="0"/>
    <x v="0"/>
    <n v="0"/>
    <n v="0"/>
    <s v="n/a"/>
    <s v="n/a"/>
    <s v="n/a"/>
    <s v="n/a"/>
    <s v="n/a"/>
    <s v="n/a"/>
    <s v="n/a"/>
    <s v="n/a"/>
    <s v="n/a"/>
    <s v="n/a"/>
    <s v="n/a"/>
    <s v="n/a"/>
    <m/>
    <s v="n/a"/>
    <m/>
    <m/>
    <s v="n/a"/>
    <m/>
    <m/>
    <s v="n/a"/>
    <s v="n/a"/>
    <s v="n/a"/>
    <x v="0"/>
    <m/>
    <m/>
    <n v="0"/>
    <m/>
    <s v="No coverage"/>
    <x v="3"/>
    <x v="2"/>
    <x v="3"/>
    <x v="2"/>
    <m/>
  </r>
  <r>
    <x v="10"/>
    <m/>
    <m/>
    <s v="MMR012CMP110"/>
    <x v="210"/>
    <n v="92.639589000000001"/>
    <n v="20.447261000000001"/>
    <x v="1"/>
    <x v="0"/>
    <x v="2"/>
    <n v="197"/>
    <n v="911"/>
    <n v="911"/>
    <s v="Not affected"/>
    <x v="2"/>
    <x v="8"/>
    <s v="UNHCR"/>
    <x v="5"/>
    <x v="0"/>
    <d v="2016-04-30T00:00:00"/>
    <m/>
    <x v="0"/>
    <n v="14"/>
    <n v="0"/>
    <s v="Yes"/>
    <n v="0"/>
    <n v="0"/>
    <n v="0"/>
    <n v="0"/>
    <m/>
    <n v="1"/>
    <n v="1"/>
    <n v="1"/>
    <n v="911"/>
    <n v="0"/>
    <n v="0"/>
    <n v="1"/>
    <n v="911"/>
    <s v="80-100%"/>
    <n v="1"/>
    <n v="911"/>
    <s v="no"/>
    <n v="2.2774999999999999"/>
    <n v="911"/>
    <n v="911"/>
    <n v="1"/>
    <n v="911"/>
    <m/>
    <n v="4"/>
    <n v="44"/>
    <n v="20"/>
    <x v="5"/>
    <n v="1"/>
    <n v="911"/>
    <n v="0.96597145993413835"/>
    <n v="880"/>
    <n v="3.4028540065861645E-2"/>
    <n v="30.999999999999957"/>
    <x v="3"/>
    <n v="1"/>
    <n v="911"/>
    <n v="1.5499999999999972"/>
    <n v="87"/>
    <n v="0.53479692645444565"/>
    <n v="487.2"/>
    <n v="75.678571428571445"/>
    <n v="0"/>
    <n v="0"/>
    <n v="11"/>
    <n v="1"/>
    <n v="0"/>
    <n v="0"/>
    <n v="0"/>
    <m/>
    <d v="2014-09-10T00:00:00"/>
    <m/>
    <m/>
    <s v="To be done"/>
    <n v="229"/>
    <n v="9"/>
    <n v="197"/>
    <n v="0"/>
    <n v="0"/>
    <x v="4"/>
    <s v="HH visits and special events"/>
    <n v="0.9"/>
    <n v="819.9"/>
    <n v="2"/>
    <s v="Excellent coverage"/>
    <x v="1"/>
    <x v="1"/>
    <x v="2"/>
    <x v="4"/>
    <m/>
  </r>
  <r>
    <x v="10"/>
    <m/>
    <m/>
    <m/>
    <x v="211"/>
    <m/>
    <m/>
    <x v="0"/>
    <x v="2"/>
    <x v="0"/>
    <n v="0"/>
    <n v="0"/>
    <n v="669"/>
    <s v="Moderately affected"/>
    <x v="2"/>
    <x v="1"/>
    <m/>
    <x v="8"/>
    <x v="0"/>
    <d v="2015-12-31T00:00:00"/>
    <m/>
    <x v="0"/>
    <n v="0"/>
    <n v="0"/>
    <s v="No"/>
    <n v="0"/>
    <n v="0"/>
    <n v="0"/>
    <n v="5"/>
    <m/>
    <n v="0"/>
    <n v="0"/>
    <n v="0"/>
    <n v="0"/>
    <n v="0"/>
    <n v="0"/>
    <n v="0"/>
    <n v="0"/>
    <s v="0-10%"/>
    <n v="0"/>
    <n v="0"/>
    <s v="yes"/>
    <n v="2.6760000000000002"/>
    <n v="0"/>
    <n v="0"/>
    <n v="0.2"/>
    <n v="133.80000000000001"/>
    <s v="3 drinking, 2 domestic, 1 pond renovation is ongoing"/>
    <n v="0"/>
    <n v="12"/>
    <n v="6"/>
    <x v="1"/>
    <n v="0.10762331838565023"/>
    <n v="72"/>
    <n v="0.10762331838565023"/>
    <n v="72"/>
    <n v="0"/>
    <n v="0"/>
    <x v="0"/>
    <n v="0.11"/>
    <n v="73.59"/>
    <s v="n/a"/>
    <s v="n/a"/>
    <s v="n/a"/>
    <s v="n/a"/>
    <s v="n/a"/>
    <s v="n/a"/>
    <s v="n/a"/>
    <s v="n/a"/>
    <s v="n/a"/>
    <s v="n/a"/>
    <n v="0"/>
    <m/>
    <m/>
    <s v="n/a"/>
    <m/>
    <m/>
    <s v="n/a"/>
    <m/>
    <m/>
    <s v="n/a"/>
    <s v="n/a"/>
    <s v="n/a"/>
    <x v="0"/>
    <m/>
    <n v="0.24829999999999999"/>
    <n v="166.11269999999999"/>
    <m/>
    <s v="No coverage"/>
    <x v="4"/>
    <x v="0"/>
    <x v="4"/>
    <x v="0"/>
    <m/>
  </r>
  <r>
    <x v="10"/>
    <m/>
    <m/>
    <n v="197580"/>
    <x v="212"/>
    <n v="92.664699999999996"/>
    <n v="20.582699999999999"/>
    <x v="0"/>
    <x v="2"/>
    <x v="0"/>
    <n v="0"/>
    <n v="0"/>
    <n v="348"/>
    <s v="Not affected"/>
    <x v="0"/>
    <x v="1"/>
    <m/>
    <x v="8"/>
    <x v="0"/>
    <d v="2015-12-31T00:00:00"/>
    <m/>
    <x v="0"/>
    <n v="0"/>
    <n v="0"/>
    <s v="No"/>
    <n v="0"/>
    <n v="0"/>
    <n v="0"/>
    <n v="5"/>
    <m/>
    <n v="0"/>
    <n v="0"/>
    <n v="0"/>
    <n v="0"/>
    <n v="0"/>
    <n v="0"/>
    <n v="0"/>
    <n v="0"/>
    <s v="0-10%"/>
    <n v="0"/>
    <n v="0"/>
    <s v="yes"/>
    <n v="1.3919999999999999"/>
    <n v="0"/>
    <n v="0"/>
    <n v="0.2"/>
    <n v="69.600000000000009"/>
    <s v="3 drinking, 1 domestic, 1 unused ponds,  IRC renovated 1 drinking pond"/>
    <n v="0"/>
    <n v="38"/>
    <n v="6"/>
    <x v="1"/>
    <n v="0.65517241379310343"/>
    <n v="228"/>
    <n v="0.65517241379310343"/>
    <n v="228"/>
    <n v="0"/>
    <n v="0"/>
    <x v="0"/>
    <n v="0.66"/>
    <n v="229.68"/>
    <s v="n/a"/>
    <s v="n/a"/>
    <s v="n/a"/>
    <s v="n/a"/>
    <s v="n/a"/>
    <s v="n/a"/>
    <s v="n/a"/>
    <s v="n/a"/>
    <s v="n/a"/>
    <s v="n/a"/>
    <n v="0"/>
    <s v="n/a"/>
    <s v="It was OD free village as CLTS project. Howerer, Number of Latrines has decreased as Cyclone Komen destoryed."/>
    <s v="n/a"/>
    <m/>
    <m/>
    <s v="n/a"/>
    <m/>
    <m/>
    <s v="n/a"/>
    <s v="n/a"/>
    <s v="n/a"/>
    <x v="0"/>
    <m/>
    <n v="0.91420000000000001"/>
    <n v="318.14159999999998"/>
    <m/>
    <s v="No coverage"/>
    <x v="4"/>
    <x v="0"/>
    <x v="4"/>
    <x v="0"/>
    <m/>
  </r>
  <r>
    <x v="10"/>
    <m/>
    <m/>
    <n v="197596"/>
    <x v="213"/>
    <n v="92.645300000000006"/>
    <n v="20.511900000000001"/>
    <x v="0"/>
    <x v="2"/>
    <x v="0"/>
    <n v="0"/>
    <n v="0"/>
    <n v="497"/>
    <s v="Not affected"/>
    <x v="0"/>
    <x v="1"/>
    <m/>
    <x v="8"/>
    <x v="0"/>
    <d v="2015-12-31T00:00:00"/>
    <m/>
    <x v="0"/>
    <n v="0"/>
    <n v="0"/>
    <s v="No"/>
    <n v="0"/>
    <n v="0"/>
    <n v="0"/>
    <n v="3"/>
    <m/>
    <n v="0"/>
    <n v="0"/>
    <n v="0"/>
    <n v="0"/>
    <n v="0"/>
    <n v="0"/>
    <n v="0"/>
    <n v="0"/>
    <s v="0-10%"/>
    <n v="0"/>
    <n v="0"/>
    <s v="yes"/>
    <n v="1.988"/>
    <n v="0"/>
    <n v="0"/>
    <n v="0"/>
    <n v="0"/>
    <s v="1 drinking, 2 domestic ponds"/>
    <n v="0"/>
    <n v="6"/>
    <n v="6"/>
    <x v="1"/>
    <n v="7.2434607645875254E-2"/>
    <n v="36"/>
    <n v="7.2434607645875254E-2"/>
    <n v="36"/>
    <n v="0"/>
    <n v="0"/>
    <x v="0"/>
    <n v="7.0000000000000007E-2"/>
    <n v="34.790000000000006"/>
    <s v="n/a"/>
    <s v="n/a"/>
    <s v="n/a"/>
    <s v="n/a"/>
    <s v="n/a"/>
    <s v="n/a"/>
    <s v="n/a"/>
    <s v="n/a"/>
    <s v="n/a"/>
    <s v="n/a"/>
    <n v="0"/>
    <s v="n/a"/>
    <s v="Number of Latrines has decreased as Cyclone Komen destoryed."/>
    <s v="n/a"/>
    <m/>
    <m/>
    <s v="n/a"/>
    <m/>
    <m/>
    <s v="n/a"/>
    <s v="n/a"/>
    <s v="n/a"/>
    <x v="0"/>
    <m/>
    <n v="0.26750000000000002"/>
    <n v="132.94750000000002"/>
    <m/>
    <s v="No coverage"/>
    <x v="4"/>
    <x v="0"/>
    <x v="2"/>
    <x v="0"/>
    <m/>
  </r>
  <r>
    <x v="10"/>
    <m/>
    <m/>
    <n v="197597"/>
    <x v="214"/>
    <n v="92.650499999999994"/>
    <n v="20.550799999999999"/>
    <x v="0"/>
    <x v="0"/>
    <x v="1"/>
    <n v="0"/>
    <n v="0"/>
    <n v="1004"/>
    <s v="Moderately affected"/>
    <x v="1"/>
    <x v="1"/>
    <m/>
    <x v="8"/>
    <x v="0"/>
    <d v="2015-12-31T00:00:00"/>
    <m/>
    <x v="0"/>
    <n v="0"/>
    <n v="0"/>
    <s v="No"/>
    <n v="1"/>
    <n v="0"/>
    <n v="0"/>
    <n v="5"/>
    <m/>
    <n v="0"/>
    <n v="0"/>
    <n v="0.24900398406374502"/>
    <n v="250"/>
    <n v="0.24900398406374502"/>
    <n v="250"/>
    <n v="0.24900398406374502"/>
    <n v="250"/>
    <s v="15-30%"/>
    <n v="0"/>
    <n v="0"/>
    <s v="yes"/>
    <n v="3.016"/>
    <n v="0"/>
    <n v="0"/>
    <n v="0.25"/>
    <n v="251"/>
    <s v="5 drinking, 4 unused ponds"/>
    <n v="0"/>
    <n v="34"/>
    <n v="6"/>
    <x v="1"/>
    <n v="0.20318725099601595"/>
    <n v="204"/>
    <n v="0.20318725099601595"/>
    <n v="204"/>
    <n v="0"/>
    <n v="0"/>
    <x v="0"/>
    <n v="0.2"/>
    <n v="200.8"/>
    <s v="n/a"/>
    <s v="n/a"/>
    <s v="n/a"/>
    <s v="n/a"/>
    <s v="n/a"/>
    <s v="n/a"/>
    <s v="n/a"/>
    <s v="n/a"/>
    <s v="n/a"/>
    <s v="n/a"/>
    <n v="0"/>
    <s v="n/a"/>
    <s v="Number of Latrines has decreased as Cyclone Komen destoryed."/>
    <s v="n/a"/>
    <m/>
    <m/>
    <s v="n/a"/>
    <m/>
    <m/>
    <s v="n/a"/>
    <s v="n/a"/>
    <s v="n/a"/>
    <x v="0"/>
    <m/>
    <n v="0.40110000000000001"/>
    <n v="402.70440000000002"/>
    <m/>
    <s v="No coverage"/>
    <x v="4"/>
    <x v="0"/>
    <x v="1"/>
    <x v="0"/>
    <m/>
  </r>
  <r>
    <x v="10"/>
    <m/>
    <m/>
    <n v="197779"/>
    <x v="215"/>
    <n v="92.785706000000005"/>
    <n v="20.335864000000001"/>
    <x v="0"/>
    <x v="2"/>
    <x v="1"/>
    <n v="0"/>
    <n v="0"/>
    <n v="176"/>
    <s v="Not affected"/>
    <x v="0"/>
    <x v="2"/>
    <m/>
    <x v="3"/>
    <x v="1"/>
    <m/>
    <m/>
    <x v="0"/>
    <n v="0"/>
    <n v="0"/>
    <s v="No"/>
    <n v="3"/>
    <n v="4"/>
    <n v="0"/>
    <n v="1"/>
    <m/>
    <n v="0"/>
    <n v="1"/>
    <n v="1"/>
    <n v="176"/>
    <n v="1"/>
    <n v="176"/>
    <n v="1"/>
    <n v="176"/>
    <s v="80-100%"/>
    <n v="0"/>
    <n v="0"/>
    <s v="yes"/>
    <n v="0"/>
    <n v="176"/>
    <n v="0"/>
    <n v="1"/>
    <n v="176"/>
    <m/>
    <n v="0"/>
    <n v="30"/>
    <n v="6"/>
    <x v="0"/>
    <n v="1"/>
    <n v="176"/>
    <n v="1"/>
    <n v="176"/>
    <n v="0"/>
    <n v="0"/>
    <x v="0"/>
    <n v="1"/>
    <n v="176"/>
    <s v="n/a"/>
    <s v="n/a"/>
    <s v="n/a"/>
    <s v="n/a"/>
    <s v="n/a"/>
    <s v="n/a"/>
    <s v="n/a"/>
    <s v="n/a"/>
    <s v="n/a"/>
    <s v="n/a"/>
    <s v="n/a"/>
    <s v="n/a"/>
    <m/>
    <s v="n/a"/>
    <m/>
    <m/>
    <s v="n/a"/>
    <m/>
    <m/>
    <s v="n/a"/>
    <s v="n/a"/>
    <s v="n/a"/>
    <x v="0"/>
    <m/>
    <m/>
    <n v="0"/>
    <m/>
    <s v="No coverage"/>
    <x v="3"/>
    <x v="2"/>
    <x v="3"/>
    <x v="2"/>
    <m/>
  </r>
  <r>
    <x v="10"/>
    <m/>
    <m/>
    <s v="MMR012CMP031"/>
    <x v="215"/>
    <n v="92.785706000000005"/>
    <n v="20.335864000000001"/>
    <x v="0"/>
    <x v="0"/>
    <x v="5"/>
    <n v="56"/>
    <n v="352"/>
    <n v="1702"/>
    <s v="Not affected"/>
    <x v="1"/>
    <x v="8"/>
    <s v="UNHCR"/>
    <x v="5"/>
    <x v="0"/>
    <d v="2016-04-30T00:00:00"/>
    <m/>
    <x v="0"/>
    <n v="0"/>
    <n v="0"/>
    <s v="No"/>
    <n v="11"/>
    <n v="0"/>
    <n v="0"/>
    <n v="3"/>
    <m/>
    <n v="0"/>
    <n v="1"/>
    <n v="1"/>
    <n v="1702"/>
    <n v="1"/>
    <n v="1702"/>
    <n v="1"/>
    <n v="1702"/>
    <s v="80-100%"/>
    <n v="0"/>
    <n v="0"/>
    <s v="yes"/>
    <n v="0"/>
    <n v="1702"/>
    <n v="0"/>
    <n v="1"/>
    <n v="1702"/>
    <m/>
    <n v="0"/>
    <n v="30"/>
    <n v="6"/>
    <x v="0"/>
    <n v="0.10575793184488837"/>
    <n v="180"/>
    <n v="0.10575793184488837"/>
    <n v="180"/>
    <n v="0"/>
    <n v="0"/>
    <x v="0"/>
    <n v="1"/>
    <n v="1702"/>
    <s v="n/a"/>
    <s v="n/a"/>
    <s v="n/a"/>
    <s v="n/a"/>
    <s v="n/a"/>
    <s v="n/a"/>
    <s v="n/a"/>
    <s v="n/a"/>
    <s v="n/a"/>
    <s v="n/a"/>
    <s v="n/a"/>
    <s v="n/a"/>
    <m/>
    <d v="2014-08-15T00:00:00"/>
    <m/>
    <m/>
    <s v="n/a"/>
    <n v="56"/>
    <n v="6"/>
    <s v="n/a"/>
    <s v="n/a"/>
    <s v="n/a"/>
    <x v="0"/>
    <s v="HH visits and special events"/>
    <n v="0.85"/>
    <n v="1446.7"/>
    <n v="2"/>
    <s v="Average coverage"/>
    <x v="4"/>
    <x v="1"/>
    <x v="4"/>
    <x v="5"/>
    <m/>
  </r>
  <r>
    <x v="10"/>
    <m/>
    <m/>
    <n v="197598"/>
    <x v="216"/>
    <n v="92.640900000000002"/>
    <n v="20.5185"/>
    <x v="0"/>
    <x v="2"/>
    <x v="1"/>
    <n v="0"/>
    <n v="0"/>
    <n v="236"/>
    <s v="Not affected"/>
    <x v="0"/>
    <x v="1"/>
    <m/>
    <x v="8"/>
    <x v="0"/>
    <d v="2015-12-31T00:00:00"/>
    <m/>
    <x v="0"/>
    <n v="0"/>
    <n v="0"/>
    <s v="No"/>
    <n v="0"/>
    <n v="0"/>
    <n v="0"/>
    <n v="1"/>
    <m/>
    <n v="0"/>
    <n v="0.82"/>
    <n v="0"/>
    <n v="0"/>
    <n v="0"/>
    <n v="0"/>
    <n v="0.82"/>
    <n v="193.51999999999998"/>
    <s v="0-10%"/>
    <n v="0"/>
    <n v="0"/>
    <s v="yes"/>
    <n v="0.94399999999999995"/>
    <n v="193.51999999999998"/>
    <n v="0"/>
    <n v="0.82"/>
    <n v="193.51999999999998"/>
    <s v="1 pond for drinking,_x000a_1 GFS for domestic _x000a_42 BSF is fabricating now"/>
    <n v="0"/>
    <n v="22"/>
    <n v="6"/>
    <x v="1"/>
    <n v="0.55932203389830504"/>
    <n v="132"/>
    <n v="0.55932203389830504"/>
    <n v="132"/>
    <n v="0"/>
    <n v="0"/>
    <x v="0"/>
    <n v="0.56000000000000005"/>
    <n v="132.16000000000003"/>
    <s v="n/a"/>
    <s v="n/a"/>
    <s v="n/a"/>
    <s v="n/a"/>
    <s v="n/a"/>
    <s v="n/a"/>
    <s v="n/a"/>
    <s v="n/a"/>
    <s v="n/a"/>
    <s v="n/a"/>
    <n v="0"/>
    <s v="n/a"/>
    <s v="Number of Latrines has decreased as Cyclone Komen destoryed."/>
    <s v="n/a"/>
    <m/>
    <m/>
    <s v="n/a"/>
    <m/>
    <m/>
    <s v="n/a"/>
    <s v="n/a"/>
    <s v="n/a"/>
    <x v="0"/>
    <m/>
    <n v="0.94769999999999999"/>
    <n v="223.65719999999999"/>
    <m/>
    <s v="No coverage"/>
    <x v="4"/>
    <x v="0"/>
    <x v="1"/>
    <x v="0"/>
    <m/>
  </r>
  <r>
    <x v="10"/>
    <m/>
    <m/>
    <n v="197591"/>
    <x v="217"/>
    <n v="92.643299999999996"/>
    <n v="20.581499999999998"/>
    <x v="0"/>
    <x v="2"/>
    <x v="1"/>
    <n v="0"/>
    <n v="0"/>
    <n v="127"/>
    <s v="Moderately affected"/>
    <x v="0"/>
    <x v="1"/>
    <m/>
    <x v="8"/>
    <x v="0"/>
    <d v="2015-12-31T00:00:00"/>
    <m/>
    <x v="0"/>
    <n v="0"/>
    <n v="0"/>
    <s v="No"/>
    <n v="3"/>
    <n v="0"/>
    <n v="0"/>
    <n v="3"/>
    <m/>
    <n v="0"/>
    <n v="0"/>
    <n v="1"/>
    <n v="127"/>
    <n v="1"/>
    <n v="127"/>
    <n v="1"/>
    <n v="127"/>
    <s v="80-100%"/>
    <n v="0"/>
    <n v="0"/>
    <s v="yes"/>
    <n v="0"/>
    <n v="0"/>
    <n v="0"/>
    <n v="1"/>
    <n v="127"/>
    <s v="there are 3 ponds but soil of pond  &amp; well weren't able to control the side seepage,_x000a_1 drinking, 2 for both drinking &amp; domestic"/>
    <n v="0"/>
    <n v="1"/>
    <n v="6"/>
    <x v="1"/>
    <n v="4.7244094488188976E-2"/>
    <n v="6"/>
    <n v="4.7244094488188976E-2"/>
    <n v="6"/>
    <n v="0"/>
    <n v="0"/>
    <x v="0"/>
    <n v="0.05"/>
    <n v="6.3500000000000005"/>
    <s v="n/a"/>
    <s v="n/a"/>
    <s v="n/a"/>
    <s v="n/a"/>
    <s v="n/a"/>
    <s v="n/a"/>
    <s v="n/a"/>
    <s v="n/a"/>
    <s v="n/a"/>
    <s v="n/a"/>
    <n v="0"/>
    <s v="n/a"/>
    <s v="Number of Latrines has decreased as Cyclone Komen destoryed."/>
    <s v="n/a"/>
    <m/>
    <m/>
    <s v="n/a"/>
    <m/>
    <m/>
    <s v="n/a"/>
    <s v="n/a"/>
    <s v="n/a"/>
    <x v="0"/>
    <m/>
    <n v="0.7117"/>
    <n v="90.385900000000007"/>
    <m/>
    <s v="No coverage"/>
    <x v="4"/>
    <x v="0"/>
    <x v="1"/>
    <x v="0"/>
    <m/>
  </r>
  <r>
    <x v="10"/>
    <m/>
    <m/>
    <m/>
    <x v="218"/>
    <m/>
    <m/>
    <x v="0"/>
    <x v="2"/>
    <x v="0"/>
    <n v="0"/>
    <n v="0"/>
    <n v="679"/>
    <s v="Not affected"/>
    <x v="2"/>
    <x v="1"/>
    <m/>
    <x v="8"/>
    <x v="0"/>
    <d v="2015-12-31T00:00:00"/>
    <m/>
    <x v="0"/>
    <n v="0"/>
    <n v="0"/>
    <s v="No"/>
    <n v="0"/>
    <n v="0"/>
    <n v="0"/>
    <n v="3"/>
    <m/>
    <n v="0"/>
    <n v="0"/>
    <n v="0"/>
    <n v="0"/>
    <n v="0"/>
    <n v="0"/>
    <n v="0"/>
    <n v="0"/>
    <s v="0-10%"/>
    <n v="0"/>
    <n v="0"/>
    <s v="yes"/>
    <n v="2.7160000000000002"/>
    <n v="0"/>
    <n v="0"/>
    <n v="0.33"/>
    <n v="224.07000000000002"/>
    <s v="1 drinking, 2 domestic,  drinking pond renovation is ongoing"/>
    <n v="0"/>
    <n v="4"/>
    <n v="6"/>
    <x v="1"/>
    <n v="3.5346097201767304E-2"/>
    <n v="24"/>
    <n v="3.5346097201767304E-2"/>
    <n v="24"/>
    <n v="0"/>
    <n v="0"/>
    <x v="0"/>
    <n v="0.04"/>
    <n v="27.16"/>
    <s v="n/a"/>
    <s v="n/a"/>
    <s v="n/a"/>
    <s v="n/a"/>
    <s v="n/a"/>
    <s v="n/a"/>
    <s v="n/a"/>
    <s v="n/a"/>
    <s v="n/a"/>
    <s v="n/a"/>
    <n v="0"/>
    <m/>
    <m/>
    <s v="n/a"/>
    <m/>
    <m/>
    <s v="n/a"/>
    <m/>
    <m/>
    <s v="n/a"/>
    <s v="n/a"/>
    <s v="n/a"/>
    <x v="0"/>
    <m/>
    <n v="0.26169999999999999"/>
    <n v="177.6943"/>
    <m/>
    <s v="No coverage"/>
    <x v="4"/>
    <x v="0"/>
    <x v="4"/>
    <x v="0"/>
    <m/>
  </r>
  <r>
    <x v="10"/>
    <m/>
    <m/>
    <n v="197599"/>
    <x v="219"/>
    <n v="92.677000000000007"/>
    <n v="20.543500000000002"/>
    <x v="0"/>
    <x v="2"/>
    <x v="1"/>
    <n v="0"/>
    <n v="0"/>
    <n v="177"/>
    <s v="Not affected"/>
    <x v="0"/>
    <x v="1"/>
    <m/>
    <x v="8"/>
    <x v="0"/>
    <d v="2015-12-31T00:00:00"/>
    <m/>
    <x v="0"/>
    <n v="0"/>
    <n v="0"/>
    <s v="No"/>
    <n v="0"/>
    <n v="0"/>
    <n v="0"/>
    <n v="2"/>
    <m/>
    <n v="0"/>
    <n v="0"/>
    <n v="0"/>
    <n v="0"/>
    <n v="0"/>
    <n v="0"/>
    <n v="0"/>
    <n v="0"/>
    <s v="0-10%"/>
    <n v="0"/>
    <n v="0"/>
    <s v="yes"/>
    <n v="0.70799999999999996"/>
    <n v="0"/>
    <n v="0"/>
    <n v="0"/>
    <n v="0"/>
    <s v="2 pond for both drinking and domestic"/>
    <n v="0"/>
    <n v="17"/>
    <n v="6"/>
    <x v="1"/>
    <n v="0.57627118644067798"/>
    <n v="102"/>
    <n v="0.57627118644067798"/>
    <n v="102"/>
    <n v="0"/>
    <n v="0"/>
    <x v="0"/>
    <n v="0.57999999999999996"/>
    <n v="102.66"/>
    <s v="n/a"/>
    <s v="n/a"/>
    <s v="n/a"/>
    <s v="n/a"/>
    <s v="n/a"/>
    <s v="n/a"/>
    <s v="n/a"/>
    <s v="n/a"/>
    <s v="n/a"/>
    <s v="n/a"/>
    <n v="0"/>
    <s v="n/a"/>
    <s v="Number of Latrines has decreased as Cyclone Komen destoryed."/>
    <s v="n/a"/>
    <m/>
    <m/>
    <s v="n/a"/>
    <m/>
    <m/>
    <s v="n/a"/>
    <s v="n/a"/>
    <s v="n/a"/>
    <x v="0"/>
    <m/>
    <n v="0.41060000000000002"/>
    <n v="72.676200000000009"/>
    <m/>
    <s v="No coverage"/>
    <x v="4"/>
    <x v="0"/>
    <x v="1"/>
    <x v="0"/>
    <m/>
  </r>
  <r>
    <x v="10"/>
    <m/>
    <m/>
    <n v="197594"/>
    <x v="220"/>
    <n v="92.634200000000007"/>
    <n v="20.542899999999999"/>
    <x v="0"/>
    <x v="0"/>
    <x v="1"/>
    <n v="0"/>
    <n v="0"/>
    <n v="595"/>
    <s v="Not affected"/>
    <x v="2"/>
    <x v="1"/>
    <m/>
    <x v="8"/>
    <x v="0"/>
    <d v="2015-12-31T00:00:00"/>
    <m/>
    <x v="0"/>
    <n v="0"/>
    <n v="0"/>
    <s v="No"/>
    <n v="0"/>
    <n v="1"/>
    <n v="0"/>
    <n v="3"/>
    <m/>
    <n v="0"/>
    <n v="1"/>
    <n v="0.42016806722689076"/>
    <n v="250"/>
    <n v="0.42016806722689076"/>
    <n v="250"/>
    <n v="1"/>
    <n v="595"/>
    <s v="30-45%"/>
    <n v="0"/>
    <n v="0"/>
    <s v="yes"/>
    <n v="1.38"/>
    <n v="595"/>
    <n v="0"/>
    <n v="1"/>
    <n v="595"/>
    <s v="3 drinking, 1 domestic spring source and  1 unused ponds,_x000a_fabrication of 75 BSF is on going."/>
    <n v="0"/>
    <n v="35"/>
    <n v="6"/>
    <x v="1"/>
    <n v="0.35294117647058826"/>
    <n v="210"/>
    <n v="0.35294117647058826"/>
    <n v="210"/>
    <n v="0"/>
    <n v="0"/>
    <x v="0"/>
    <n v="0.35"/>
    <n v="208.25"/>
    <s v="n/a"/>
    <s v="n/a"/>
    <s v="n/a"/>
    <s v="n/a"/>
    <s v="n/a"/>
    <s v="n/a"/>
    <s v="n/a"/>
    <s v="n/a"/>
    <s v="n/a"/>
    <s v="n/a"/>
    <n v="0"/>
    <s v="n/a"/>
    <s v="Number of Latrines has decreased as Cyclone Komen destoryed."/>
    <s v="n/a"/>
    <m/>
    <m/>
    <s v="n/a"/>
    <m/>
    <m/>
    <s v="n/a"/>
    <s v="n/a"/>
    <s v="n/a"/>
    <x v="0"/>
    <m/>
    <n v="0.82889999999999997"/>
    <n v="493.19549999999998"/>
    <n v="2"/>
    <s v="Excellent coverage"/>
    <x v="4"/>
    <x v="0"/>
    <x v="1"/>
    <x v="0"/>
    <m/>
  </r>
  <r>
    <x v="10"/>
    <m/>
    <m/>
    <n v="197586"/>
    <x v="221"/>
    <n v="92.691761"/>
    <n v="20.589969"/>
    <x v="0"/>
    <x v="2"/>
    <x v="0"/>
    <n v="0"/>
    <n v="0"/>
    <n v="92"/>
    <s v="Moderately affected"/>
    <x v="0"/>
    <x v="1"/>
    <m/>
    <x v="8"/>
    <x v="0"/>
    <d v="2015-12-31T00:00:00"/>
    <m/>
    <x v="0"/>
    <n v="0"/>
    <n v="0"/>
    <s v="No"/>
    <n v="0"/>
    <n v="0"/>
    <n v="0"/>
    <n v="2"/>
    <m/>
    <n v="0"/>
    <n v="1"/>
    <n v="0"/>
    <n v="0"/>
    <n v="0"/>
    <n v="0"/>
    <n v="1"/>
    <n v="92"/>
    <s v="0-10%"/>
    <n v="0"/>
    <n v="0"/>
    <s v="yes"/>
    <n v="0.36799999999999999"/>
    <n v="92"/>
    <n v="0"/>
    <n v="1"/>
    <n v="92"/>
    <s v="2 ponds for both domestic and drinking and 1 unused pond_x000a_Fabrication of 17 BSF is ongoing"/>
    <n v="0"/>
    <n v="1"/>
    <n v="6"/>
    <x v="1"/>
    <n v="6.5217391304347824E-2"/>
    <n v="6"/>
    <n v="6.5217391304347824E-2"/>
    <n v="6"/>
    <n v="0"/>
    <n v="0"/>
    <x v="0"/>
    <n v="7.0000000000000007E-2"/>
    <n v="6.44"/>
    <s v="n/a"/>
    <s v="n/a"/>
    <s v="n/a"/>
    <s v="n/a"/>
    <s v="n/a"/>
    <s v="n/a"/>
    <s v="n/a"/>
    <s v="n/a"/>
    <s v="n/a"/>
    <s v="n/a"/>
    <n v="0"/>
    <s v="n/a"/>
    <s v="It was OD free village as CLTS project. Howerer, Number of Latrines has decreased as Cyclone Komen destoryed."/>
    <s v="n/a"/>
    <m/>
    <m/>
    <s v="n/a"/>
    <m/>
    <m/>
    <s v="n/a"/>
    <s v="n/a"/>
    <s v="n/a"/>
    <x v="0"/>
    <m/>
    <n v="1.3519000000000001"/>
    <n v="124.37480000000001"/>
    <m/>
    <s v="No coverage"/>
    <x v="4"/>
    <x v="0"/>
    <x v="2"/>
    <x v="0"/>
    <m/>
  </r>
  <r>
    <x v="10"/>
    <m/>
    <m/>
    <n v="197586"/>
    <x v="222"/>
    <n v="92.691800000000001"/>
    <n v="20.59"/>
    <x v="0"/>
    <x v="2"/>
    <x v="1"/>
    <n v="0"/>
    <n v="0"/>
    <n v="384"/>
    <s v="Not affected"/>
    <x v="0"/>
    <x v="1"/>
    <m/>
    <x v="8"/>
    <x v="0"/>
    <d v="2015-12-31T00:00:00"/>
    <m/>
    <x v="0"/>
    <n v="0"/>
    <n v="0"/>
    <s v="No"/>
    <n v="0"/>
    <n v="0"/>
    <n v="0"/>
    <n v="2"/>
    <m/>
    <n v="0"/>
    <n v="1"/>
    <n v="0"/>
    <n v="0"/>
    <n v="0"/>
    <n v="0"/>
    <n v="1"/>
    <n v="384"/>
    <s v="0-10%"/>
    <n v="0"/>
    <n v="0"/>
    <s v="yes"/>
    <n v="1.536"/>
    <n v="384"/>
    <n v="0"/>
    <n v="0"/>
    <n v="0"/>
    <s v="1 drinking, 1 domestic"/>
    <n v="0"/>
    <n v="0"/>
    <n v="6"/>
    <x v="1"/>
    <n v="0"/>
    <n v="0"/>
    <n v="0"/>
    <n v="0"/>
    <n v="0"/>
    <n v="0"/>
    <x v="0"/>
    <n v="0"/>
    <n v="0"/>
    <s v="n/a"/>
    <s v="n/a"/>
    <s v="n/a"/>
    <s v="n/a"/>
    <s v="n/a"/>
    <s v="n/a"/>
    <s v="n/a"/>
    <s v="n/a"/>
    <s v="n/a"/>
    <s v="n/a"/>
    <n v="0"/>
    <s v="n/a"/>
    <s v="Number of Latrines has decreased as Cyclone Komen destoryed."/>
    <s v="n/a"/>
    <m/>
    <m/>
    <s v="n/a"/>
    <m/>
    <m/>
    <s v="n/a"/>
    <s v="n/a"/>
    <s v="n/a"/>
    <x v="0"/>
    <m/>
    <n v="0.21190000000000001"/>
    <n v="81.369600000000005"/>
    <m/>
    <s v="No coverage"/>
    <x v="4"/>
    <x v="0"/>
    <x v="1"/>
    <x v="0"/>
    <m/>
  </r>
  <r>
    <x v="10"/>
    <m/>
    <m/>
    <n v="197765"/>
    <x v="223"/>
    <n v="92.770899999999997"/>
    <n v="20.3917"/>
    <x v="0"/>
    <x v="2"/>
    <x v="1"/>
    <n v="0"/>
    <n v="0"/>
    <n v="1297"/>
    <s v="Not affected"/>
    <x v="1"/>
    <x v="2"/>
    <m/>
    <x v="3"/>
    <x v="1"/>
    <m/>
    <m/>
    <x v="0"/>
    <n v="0"/>
    <n v="0"/>
    <s v="No"/>
    <n v="4"/>
    <n v="3"/>
    <n v="0"/>
    <n v="1"/>
    <m/>
    <n v="0"/>
    <n v="1"/>
    <n v="1"/>
    <n v="1297"/>
    <n v="1"/>
    <n v="1297"/>
    <n v="1"/>
    <n v="1297"/>
    <s v="80-100%"/>
    <n v="0"/>
    <n v="0"/>
    <s v="yes"/>
    <n v="0"/>
    <n v="1297"/>
    <n v="0"/>
    <n v="1"/>
    <n v="1297"/>
    <s v="Wells meant to be rehabilitated by SI but community declined"/>
    <n v="0"/>
    <n v="0"/>
    <n v="0"/>
    <x v="5"/>
    <n v="0"/>
    <n v="0"/>
    <n v="0"/>
    <n v="0"/>
    <n v="0"/>
    <n v="0"/>
    <x v="0"/>
    <n v="0"/>
    <n v="0"/>
    <s v="n/a"/>
    <s v="n/a"/>
    <s v="n/a"/>
    <s v="n/a"/>
    <s v="n/a"/>
    <s v="n/a"/>
    <s v="n/a"/>
    <s v="n/a"/>
    <s v="n/a"/>
    <s v="n/a"/>
    <s v="n/a"/>
    <s v="n/a"/>
    <m/>
    <s v="n/a"/>
    <m/>
    <m/>
    <s v="n/a"/>
    <m/>
    <m/>
    <s v="n/a"/>
    <s v="n/a"/>
    <s v="n/a"/>
    <x v="0"/>
    <m/>
    <m/>
    <n v="0"/>
    <m/>
    <s v="No coverage"/>
    <x v="3"/>
    <x v="2"/>
    <x v="3"/>
    <x v="2"/>
    <m/>
  </r>
  <r>
    <x v="10"/>
    <m/>
    <m/>
    <n v="197595"/>
    <x v="224"/>
    <n v="92.638000000000005"/>
    <n v="20.523099999999999"/>
    <x v="0"/>
    <x v="2"/>
    <x v="1"/>
    <n v="0"/>
    <n v="0"/>
    <n v="162"/>
    <s v="Not affected"/>
    <x v="0"/>
    <x v="1"/>
    <m/>
    <x v="8"/>
    <x v="0"/>
    <d v="2015-12-31T00:00:00"/>
    <m/>
    <x v="0"/>
    <n v="0"/>
    <n v="0"/>
    <s v="No"/>
    <n v="0"/>
    <n v="0"/>
    <n v="0"/>
    <n v="1"/>
    <m/>
    <n v="0"/>
    <n v="0.94"/>
    <n v="0"/>
    <n v="0"/>
    <n v="0"/>
    <n v="0"/>
    <n v="0.94"/>
    <n v="152.28"/>
    <s v="0-10%"/>
    <n v="0"/>
    <n v="0"/>
    <s v="yes"/>
    <n v="0.64800000000000002"/>
    <n v="152.28"/>
    <n v="0"/>
    <n v="0.94"/>
    <n v="152.28"/>
    <s v="1 pond for both drinking and domestic"/>
    <n v="0"/>
    <n v="2"/>
    <n v="6"/>
    <x v="1"/>
    <n v="7.407407407407407E-2"/>
    <n v="12"/>
    <n v="7.407407407407407E-2"/>
    <n v="12"/>
    <n v="0"/>
    <n v="0"/>
    <x v="0"/>
    <n v="7.0000000000000007E-2"/>
    <n v="11.340000000000002"/>
    <s v="n/a"/>
    <s v="n/a"/>
    <s v="n/a"/>
    <s v="n/a"/>
    <s v="n/a"/>
    <s v="n/a"/>
    <s v="n/a"/>
    <s v="n/a"/>
    <s v="n/a"/>
    <s v="n/a"/>
    <n v="0"/>
    <s v="n/a"/>
    <s v="Number of Latrines has decreased as Cyclone Komen destoryed."/>
    <s v="n/a"/>
    <m/>
    <m/>
    <s v="n/a"/>
    <m/>
    <m/>
    <s v="n/a"/>
    <s v="n/a"/>
    <s v="n/a"/>
    <x v="0"/>
    <m/>
    <n v="0.90100000000000002"/>
    <n v="145.96200000000002"/>
    <m/>
    <s v="No coverage"/>
    <x v="4"/>
    <x v="0"/>
    <x v="1"/>
    <x v="0"/>
    <m/>
  </r>
  <r>
    <x v="10"/>
    <m/>
    <m/>
    <n v="197600"/>
    <x v="225"/>
    <n v="92.656700000000001"/>
    <n v="20.5501"/>
    <x v="0"/>
    <x v="0"/>
    <x v="1"/>
    <n v="0"/>
    <n v="0"/>
    <n v="276"/>
    <s v="Not affected"/>
    <x v="0"/>
    <x v="1"/>
    <m/>
    <x v="8"/>
    <x v="0"/>
    <d v="2015-12-31T00:00:00"/>
    <m/>
    <x v="0"/>
    <n v="0"/>
    <n v="0"/>
    <s v="No"/>
    <n v="0"/>
    <n v="0"/>
    <n v="0"/>
    <n v="1"/>
    <m/>
    <n v="0"/>
    <n v="0"/>
    <n v="0"/>
    <n v="0"/>
    <n v="0"/>
    <n v="0"/>
    <n v="0"/>
    <n v="0"/>
    <s v="0-10%"/>
    <n v="0"/>
    <n v="0"/>
    <s v="yes"/>
    <n v="1.1040000000000001"/>
    <n v="0"/>
    <n v="0"/>
    <n v="0"/>
    <n v="0"/>
    <m/>
    <n v="0"/>
    <n v="7"/>
    <n v="6"/>
    <x v="1"/>
    <n v="0.15217391304347827"/>
    <n v="42"/>
    <n v="0.15217391304347827"/>
    <n v="42"/>
    <n v="0"/>
    <n v="0"/>
    <x v="0"/>
    <n v="0.15"/>
    <n v="41.4"/>
    <s v="n/a"/>
    <s v="n/a"/>
    <s v="n/a"/>
    <s v="n/a"/>
    <s v="n/a"/>
    <s v="n/a"/>
    <s v="n/a"/>
    <s v="n/a"/>
    <s v="n/a"/>
    <s v="n/a"/>
    <n v="0"/>
    <s v="n/a"/>
    <s v="Number of Latrines has decreased as Cyclone Komen destoryed."/>
    <s v="n/a"/>
    <m/>
    <m/>
    <s v="n/a"/>
    <m/>
    <m/>
    <s v="n/a"/>
    <s v="n/a"/>
    <s v="n/a"/>
    <x v="0"/>
    <m/>
    <n v="0.74729999999999996"/>
    <n v="206.25479999999999"/>
    <m/>
    <s v="No coverage"/>
    <x v="4"/>
    <x v="0"/>
    <x v="1"/>
    <x v="0"/>
    <m/>
  </r>
  <r>
    <x v="11"/>
    <m/>
    <m/>
    <n v="196143"/>
    <x v="226"/>
    <n v="92.805000000000007"/>
    <n v="20.235199999999999"/>
    <x v="0"/>
    <x v="0"/>
    <x v="1"/>
    <n v="0"/>
    <n v="0"/>
    <n v="1286"/>
    <s v="Not affected"/>
    <x v="1"/>
    <x v="9"/>
    <m/>
    <x v="1"/>
    <x v="0"/>
    <d v="2016-03-31T00:00:00"/>
    <m/>
    <x v="0"/>
    <n v="0"/>
    <n v="0"/>
    <s v="No"/>
    <n v="10"/>
    <n v="6"/>
    <n v="0"/>
    <n v="1"/>
    <m/>
    <n v="0"/>
    <n v="1"/>
    <n v="1"/>
    <n v="1286"/>
    <n v="1"/>
    <n v="1286"/>
    <n v="1"/>
    <n v="1286"/>
    <s v="80-100%"/>
    <n v="0"/>
    <n v="0"/>
    <s v="yes"/>
    <n v="0"/>
    <n v="1286"/>
    <n v="0"/>
    <n v="1"/>
    <n v="1286"/>
    <s v="257 beneficiaries / borehole"/>
    <n v="0"/>
    <n v="62"/>
    <n v="6"/>
    <x v="1"/>
    <n v="0.28926905132192848"/>
    <n v="372.00000000000006"/>
    <n v="0.28926905132192848"/>
    <n v="372.00000000000006"/>
    <n v="0"/>
    <n v="0"/>
    <x v="0"/>
    <n v="0.3"/>
    <n v="385.8"/>
    <s v="n/a"/>
    <n v="52"/>
    <s v="n/a"/>
    <s v="n/a"/>
    <s v="n/a"/>
    <s v="n/a"/>
    <s v="n/a"/>
    <s v="n/a"/>
    <s v="n/a"/>
    <s v="n/a"/>
    <s v="n/a"/>
    <s v="n/a"/>
    <m/>
    <s v="n/a"/>
    <m/>
    <m/>
    <s v="n/a"/>
    <m/>
    <m/>
    <s v="n/a"/>
    <s v="n/a"/>
    <s v="n/a"/>
    <x v="0"/>
    <m/>
    <n v="0.25"/>
    <n v="321.5"/>
    <n v="6"/>
    <s v="Excellent coverage"/>
    <x v="1"/>
    <x v="0"/>
    <x v="0"/>
    <x v="4"/>
    <m/>
  </r>
  <r>
    <x v="11"/>
    <m/>
    <m/>
    <n v="196138"/>
    <x v="227"/>
    <n v="92.790199999999999"/>
    <n v="20.235199999999999"/>
    <x v="0"/>
    <x v="2"/>
    <x v="1"/>
    <n v="0"/>
    <n v="0"/>
    <n v="1867"/>
    <s v="Not affected"/>
    <x v="1"/>
    <x v="9"/>
    <m/>
    <x v="1"/>
    <x v="0"/>
    <d v="2016-03-31T00:00:00"/>
    <m/>
    <x v="0"/>
    <n v="0"/>
    <n v="0"/>
    <s v="No"/>
    <n v="14"/>
    <n v="22"/>
    <n v="0"/>
    <n v="0"/>
    <m/>
    <n v="0"/>
    <n v="1"/>
    <n v="1"/>
    <n v="1867"/>
    <n v="1"/>
    <n v="1867"/>
    <n v="1"/>
    <n v="1867"/>
    <s v="80-100%"/>
    <n v="0"/>
    <n v="0"/>
    <s v="no"/>
    <n v="0"/>
    <n v="1867"/>
    <n v="0"/>
    <n v="1"/>
    <n v="1867"/>
    <s v=" 311 beneficiaries / borehole"/>
    <n v="0"/>
    <n v="87"/>
    <n v="6"/>
    <x v="1"/>
    <n v="0.27959292983395823"/>
    <n v="522"/>
    <n v="0.27959292983395823"/>
    <n v="522"/>
    <n v="0"/>
    <n v="0"/>
    <x v="0"/>
    <n v="0.3"/>
    <n v="560.1"/>
    <s v="n/a"/>
    <n v="70"/>
    <s v="n/a"/>
    <s v="n/a"/>
    <s v="n/a"/>
    <s v="n/a"/>
    <s v="n/a"/>
    <s v="n/a"/>
    <s v="n/a"/>
    <s v="n/a"/>
    <s v="n/a"/>
    <s v="n/a"/>
    <m/>
    <s v="n/a"/>
    <m/>
    <m/>
    <s v="n/a"/>
    <m/>
    <m/>
    <s v="n/a"/>
    <s v="n/a"/>
    <s v="n/a"/>
    <x v="0"/>
    <m/>
    <n v="0.25"/>
    <n v="466.75"/>
    <n v="6"/>
    <s v="Excellent coverage"/>
    <x v="1"/>
    <x v="0"/>
    <x v="0"/>
    <x v="4"/>
    <m/>
  </r>
  <r>
    <x v="11"/>
    <m/>
    <m/>
    <n v="196208"/>
    <x v="228"/>
    <n v="92.875450000000001"/>
    <n v="20.127127999999999"/>
    <x v="0"/>
    <x v="0"/>
    <x v="1"/>
    <n v="0"/>
    <n v="0"/>
    <n v="627"/>
    <s v="Not affected"/>
    <x v="2"/>
    <x v="9"/>
    <m/>
    <x v="7"/>
    <x v="0"/>
    <d v="2016-03-31T00:00:00"/>
    <m/>
    <x v="0"/>
    <n v="0"/>
    <n v="0"/>
    <s v="No"/>
    <n v="1"/>
    <n v="5"/>
    <n v="0"/>
    <n v="0"/>
    <m/>
    <n v="0"/>
    <n v="1"/>
    <n v="1"/>
    <n v="627"/>
    <n v="1"/>
    <n v="627"/>
    <n v="1"/>
    <n v="627"/>
    <s v="80-100%"/>
    <n v="0"/>
    <n v="0"/>
    <s v="no"/>
    <n v="0"/>
    <n v="627"/>
    <n v="0"/>
    <n v="1"/>
    <n v="627"/>
    <m/>
    <n v="0"/>
    <n v="140"/>
    <n v="8.5571428571428569"/>
    <x v="0"/>
    <n v="1"/>
    <n v="627"/>
    <n v="1"/>
    <n v="627"/>
    <n v="0"/>
    <n v="0"/>
    <x v="1"/>
    <n v="1"/>
    <n v="627"/>
    <s v="n/a"/>
    <s v="n/a"/>
    <s v="n/a"/>
    <s v="n/a"/>
    <s v="n/a"/>
    <s v="n/a"/>
    <s v="n/a"/>
    <s v="n/a"/>
    <s v="n/a"/>
    <s v="n/a"/>
    <s v="n/a"/>
    <s v="n/a"/>
    <m/>
    <d v="2014-12-20T00:00:00"/>
    <m/>
    <m/>
    <s v="n/a"/>
    <m/>
    <m/>
    <s v="n/a"/>
    <s v="n/a"/>
    <s v="n/a"/>
    <x v="0"/>
    <s v="CDN Distributed"/>
    <n v="1"/>
    <n v="627"/>
    <s v="n/a"/>
    <s v="Excellent coverage"/>
    <x v="0"/>
    <x v="0"/>
    <x v="1"/>
    <x v="4"/>
    <m/>
  </r>
  <r>
    <x v="11"/>
    <m/>
    <m/>
    <s v="MMR012CMP039"/>
    <x v="229"/>
    <n v="92.875814000000005"/>
    <n v="20.128488999999998"/>
    <x v="1"/>
    <x v="0"/>
    <x v="2"/>
    <n v="397"/>
    <n v="2049"/>
    <n v="2049"/>
    <s v="Not affected"/>
    <x v="1"/>
    <x v="9"/>
    <s v="LWF"/>
    <x v="7"/>
    <x v="0"/>
    <d v="2016-03-31T00:00:00"/>
    <m/>
    <x v="0"/>
    <n v="0"/>
    <n v="0"/>
    <s v="No"/>
    <n v="0"/>
    <n v="21"/>
    <n v="0"/>
    <n v="0"/>
    <m/>
    <n v="0"/>
    <n v="1"/>
    <n v="1"/>
    <n v="2049"/>
    <n v="1"/>
    <n v="2049"/>
    <n v="1"/>
    <n v="2049"/>
    <s v="80-100%"/>
    <n v="0"/>
    <n v="0"/>
    <s v="no"/>
    <n v="0"/>
    <n v="2049"/>
    <n v="0"/>
    <n v="1"/>
    <n v="2049"/>
    <m/>
    <n v="0"/>
    <n v="109"/>
    <n v="18.412844036697248"/>
    <x v="3"/>
    <n v="1"/>
    <n v="2049"/>
    <n v="1"/>
    <n v="2049"/>
    <n v="0"/>
    <n v="0"/>
    <x v="1"/>
    <n v="1"/>
    <n v="2049"/>
    <n v="0"/>
    <n v="397"/>
    <n v="1"/>
    <n v="2049"/>
    <n v="0"/>
    <n v="1"/>
    <n v="1980"/>
    <n v="25"/>
    <n v="1"/>
    <n v="0"/>
    <n v="1"/>
    <n v="2049"/>
    <s v="Individual Washrooms not gender seperated (BI)"/>
    <d v="2014-12-19T00:00:00"/>
    <m/>
    <m/>
    <d v="2015-12-19T00:00:00"/>
    <n v="397"/>
    <n v="4"/>
    <n v="0"/>
    <n v="1"/>
    <n v="2049"/>
    <x v="9"/>
    <s v="SCI Distriubted Refill Hygiene kits on 2014"/>
    <n v="0.75"/>
    <n v="1536.75"/>
    <n v="13"/>
    <s v="Excellent coverage"/>
    <x v="2"/>
    <x v="3"/>
    <x v="2"/>
    <x v="1"/>
    <m/>
  </r>
  <r>
    <x v="11"/>
    <m/>
    <m/>
    <s v="MMR012CMP114"/>
    <x v="230"/>
    <n v="92.807418999999996"/>
    <n v="20.181238"/>
    <x v="1"/>
    <x v="0"/>
    <x v="2"/>
    <n v="2135"/>
    <n v="10827"/>
    <n v="10827"/>
    <s v="Not affected"/>
    <x v="4"/>
    <x v="9"/>
    <s v="DRC"/>
    <x v="5"/>
    <x v="0"/>
    <d v="2016-03-31T00:00:00"/>
    <m/>
    <x v="0"/>
    <n v="0"/>
    <n v="0"/>
    <s v="No"/>
    <n v="0"/>
    <n v="138"/>
    <n v="0"/>
    <n v="0"/>
    <m/>
    <n v="0"/>
    <n v="1"/>
    <n v="1"/>
    <n v="10827"/>
    <n v="1"/>
    <n v="10827"/>
    <n v="1"/>
    <n v="10827"/>
    <s v="80-100%"/>
    <n v="0"/>
    <n v="0"/>
    <s v="no"/>
    <n v="0"/>
    <n v="10827"/>
    <n v="0"/>
    <n v="1"/>
    <n v="10827"/>
    <m/>
    <n v="0"/>
    <n v="346"/>
    <n v="20"/>
    <x v="3"/>
    <n v="0.63914288353191095"/>
    <n v="6920"/>
    <n v="0.63914288353191095"/>
    <n v="6920"/>
    <n v="0"/>
    <n v="0"/>
    <x v="3"/>
    <n v="0.9"/>
    <n v="9744.3000000000011"/>
    <n v="195.35000000000002"/>
    <n v="50"/>
    <n v="2.5861272744065762E-2"/>
    <n v="280"/>
    <n v="1883.3928571428573"/>
    <n v="0.23"/>
    <n v="2490.21"/>
    <n v="43"/>
    <n v="0.39715525999815277"/>
    <n v="65.27"/>
    <n v="1"/>
    <n v="10827"/>
    <m/>
    <d v="2013-11-18T00:00:00"/>
    <m/>
    <m/>
    <s v="To be done"/>
    <n v="2293"/>
    <n v="1"/>
    <n v="2135"/>
    <n v="0"/>
    <n v="0"/>
    <x v="5"/>
    <m/>
    <n v="0.95"/>
    <n v="10285.65"/>
    <s v="Good coverage"/>
    <s v="Good coverage"/>
    <x v="6"/>
    <x v="4"/>
    <x v="0"/>
    <x v="2"/>
    <m/>
  </r>
  <r>
    <x v="11"/>
    <m/>
    <m/>
    <s v="MMR012CMP103"/>
    <x v="231"/>
    <n v="92.804803000000007"/>
    <n v="20.182987000000001"/>
    <x v="0"/>
    <x v="0"/>
    <x v="4"/>
    <n v="41"/>
    <n v="226"/>
    <n v="377"/>
    <s v="Not affected"/>
    <x v="0"/>
    <x v="9"/>
    <m/>
    <x v="5"/>
    <x v="0"/>
    <d v="2016-03-31T00:00:00"/>
    <s v="SCI"/>
    <x v="0"/>
    <n v="0"/>
    <n v="0"/>
    <s v="No"/>
    <n v="69"/>
    <n v="19"/>
    <n v="0"/>
    <n v="0"/>
    <m/>
    <n v="0"/>
    <n v="1"/>
    <n v="1"/>
    <n v="377"/>
    <n v="1"/>
    <n v="377"/>
    <n v="1"/>
    <n v="377"/>
    <s v="80-100%"/>
    <n v="0"/>
    <n v="0"/>
    <s v="no"/>
    <n v="0"/>
    <n v="377"/>
    <n v="0"/>
    <n v="1"/>
    <n v="377"/>
    <m/>
    <n v="0"/>
    <n v="46"/>
    <n v="6"/>
    <x v="0"/>
    <n v="0.73209549071618041"/>
    <n v="276"/>
    <n v="0.73209549071618041"/>
    <n v="276"/>
    <n v="0"/>
    <n v="0"/>
    <x v="0"/>
    <n v="1"/>
    <n v="377"/>
    <s v="n/a"/>
    <s v="n/a"/>
    <s v="n/a"/>
    <s v="n/a"/>
    <s v="n/a"/>
    <s v="n/a"/>
    <s v="n/a"/>
    <s v="n/a"/>
    <s v="n/a"/>
    <s v="n/a"/>
    <s v="n/a"/>
    <s v="n/a"/>
    <m/>
    <d v="2013-11-18T00:00:00"/>
    <m/>
    <m/>
    <s v="n/a"/>
    <n v="41"/>
    <n v="1"/>
    <s v="n/a"/>
    <s v="n/a"/>
    <s v="n/a"/>
    <x v="0"/>
    <m/>
    <n v="0.25"/>
    <n v="94.25"/>
    <s v="No coverage"/>
    <s v="No coverage"/>
    <x v="0"/>
    <x v="0"/>
    <x v="0"/>
    <x v="2"/>
    <m/>
  </r>
  <r>
    <x v="11"/>
    <m/>
    <m/>
    <s v="MMR012CMP041"/>
    <x v="232"/>
    <n v="92.827427"/>
    <n v="20.16846"/>
    <x v="1"/>
    <x v="0"/>
    <x v="2"/>
    <n v="1397"/>
    <n v="8189"/>
    <n v="8189"/>
    <s v="Not affected"/>
    <x v="4"/>
    <x v="9"/>
    <s v="DRC"/>
    <x v="5"/>
    <x v="0"/>
    <d v="2016-03-31T00:00:00"/>
    <s v="SCI"/>
    <x v="0"/>
    <n v="0"/>
    <n v="0"/>
    <s v="No"/>
    <n v="0"/>
    <n v="74"/>
    <n v="0"/>
    <n v="0"/>
    <m/>
    <n v="0"/>
    <n v="1"/>
    <n v="1"/>
    <n v="8189"/>
    <n v="1"/>
    <n v="8189"/>
    <n v="1"/>
    <n v="8189"/>
    <s v="80-100%"/>
    <n v="0"/>
    <n v="0"/>
    <s v="no"/>
    <n v="0"/>
    <n v="8189"/>
    <n v="0"/>
    <n v="1"/>
    <n v="8189"/>
    <m/>
    <n v="0"/>
    <n v="275"/>
    <n v="20"/>
    <x v="3"/>
    <n v="0.67163267798265969"/>
    <n v="5500"/>
    <n v="0.67163267798265969"/>
    <n v="5500"/>
    <n v="0"/>
    <n v="0"/>
    <x v="1"/>
    <n v="0.9"/>
    <n v="7370.1"/>
    <n v="134.44999999999999"/>
    <n v="88"/>
    <n v="6.0178287947246299E-2"/>
    <n v="492.79999999999995"/>
    <n v="1374.3214285714287"/>
    <n v="0.41"/>
    <n v="4371.83"/>
    <n v="26"/>
    <n v="0.3174990841372573"/>
    <n v="55.89"/>
    <n v="1"/>
    <n v="8189"/>
    <m/>
    <d v="2013-10-29T00:00:00"/>
    <m/>
    <m/>
    <s v="To be done"/>
    <n v="1798"/>
    <n v="1"/>
    <n v="1397"/>
    <n v="0"/>
    <n v="0"/>
    <x v="5"/>
    <m/>
    <n v="0.95"/>
    <n v="7779.5499999999993"/>
    <s v="Average coverage"/>
    <s v="Average coverage"/>
    <x v="7"/>
    <x v="4"/>
    <x v="0"/>
    <x v="2"/>
    <m/>
  </r>
  <r>
    <x v="11"/>
    <m/>
    <m/>
    <s v="MMR012CMP097"/>
    <x v="233"/>
    <n v="92.830074999999994"/>
    <n v="20.167421999999998"/>
    <x v="0"/>
    <x v="0"/>
    <x v="4"/>
    <n v="518"/>
    <n v="2951"/>
    <n v="10703"/>
    <s v="Not affected"/>
    <x v="1"/>
    <x v="9"/>
    <m/>
    <x v="5"/>
    <x v="0"/>
    <d v="2016-03-31T00:00:00"/>
    <m/>
    <x v="0"/>
    <n v="0"/>
    <n v="0"/>
    <s v="No"/>
    <n v="0"/>
    <n v="82"/>
    <n v="0"/>
    <n v="0"/>
    <m/>
    <n v="0"/>
    <n v="0.78"/>
    <n v="1"/>
    <n v="10703"/>
    <n v="1"/>
    <n v="10703"/>
    <n v="1"/>
    <n v="10703"/>
    <s v="80-100%"/>
    <n v="0"/>
    <n v="0"/>
    <s v="no"/>
    <n v="0"/>
    <n v="8348.34"/>
    <n v="0"/>
    <n v="1"/>
    <n v="10703"/>
    <m/>
    <n v="10"/>
    <n v="132"/>
    <n v="6"/>
    <x v="0"/>
    <n v="7.3997944501541624E-2"/>
    <n v="792"/>
    <n v="7.3997944501541624E-2"/>
    <n v="792"/>
    <n v="0"/>
    <n v="0"/>
    <x v="0"/>
    <n v="0.5"/>
    <n v="5351.5"/>
    <s v="n/a"/>
    <s v="n/a"/>
    <s v="n/a"/>
    <s v="n/a"/>
    <s v="n/a"/>
    <s v="n/a"/>
    <s v="n/a"/>
    <s v="n/a"/>
    <s v="n/a"/>
    <s v="n/a"/>
    <s v="n/a"/>
    <s v="n/a"/>
    <m/>
    <d v="2013-12-10T00:00:00"/>
    <m/>
    <m/>
    <s v="n/a"/>
    <n v="916"/>
    <n v="1"/>
    <s v="n/a"/>
    <s v="n/a"/>
    <s v="n/a"/>
    <x v="0"/>
    <m/>
    <n v="0.25"/>
    <n v="2675.75"/>
    <s v="Low coverage"/>
    <s v="Low coverage"/>
    <x v="0"/>
    <x v="0"/>
    <x v="0"/>
    <x v="2"/>
    <m/>
  </r>
  <r>
    <x v="11"/>
    <m/>
    <m/>
    <n v="196140"/>
    <x v="234"/>
    <n v="92.805999999999997"/>
    <n v="20.218299999999999"/>
    <x v="0"/>
    <x v="2"/>
    <x v="1"/>
    <n v="0"/>
    <n v="0"/>
    <n v="91"/>
    <s v="Not affected"/>
    <x v="0"/>
    <x v="9"/>
    <m/>
    <x v="1"/>
    <x v="0"/>
    <d v="2016-03-31T00:00:00"/>
    <m/>
    <x v="0"/>
    <n v="0"/>
    <n v="0"/>
    <s v="No"/>
    <n v="2"/>
    <n v="2"/>
    <n v="0"/>
    <n v="0"/>
    <m/>
    <n v="0"/>
    <n v="1"/>
    <n v="1"/>
    <n v="91"/>
    <n v="1"/>
    <n v="91"/>
    <n v="1"/>
    <n v="91"/>
    <s v="80-100%"/>
    <n v="0"/>
    <n v="0"/>
    <s v="no"/>
    <n v="0"/>
    <n v="91"/>
    <n v="0"/>
    <n v="1"/>
    <n v="91"/>
    <s v="46 beneficiaries / borehole"/>
    <n v="0"/>
    <n v="20"/>
    <n v="6"/>
    <x v="1"/>
    <n v="1"/>
    <n v="91"/>
    <n v="1"/>
    <n v="91"/>
    <n v="0"/>
    <n v="0"/>
    <x v="0"/>
    <n v="1"/>
    <n v="91"/>
    <s v="n/a"/>
    <n v="4"/>
    <s v="n/a"/>
    <s v="n/a"/>
    <s v="n/a"/>
    <s v="n/a"/>
    <s v="n/a"/>
    <s v="n/a"/>
    <s v="n/a"/>
    <s v="n/a"/>
    <s v="n/a"/>
    <s v="n/a"/>
    <m/>
    <s v="n/a"/>
    <m/>
    <m/>
    <s v="n/a"/>
    <m/>
    <m/>
    <s v="n/a"/>
    <s v="n/a"/>
    <s v="n/a"/>
    <x v="0"/>
    <m/>
    <n v="0.25"/>
    <n v="22.75"/>
    <n v="2"/>
    <s v="Excellent coverage"/>
    <x v="1"/>
    <x v="0"/>
    <x v="0"/>
    <x v="4"/>
    <m/>
  </r>
  <r>
    <x v="11"/>
    <m/>
    <m/>
    <s v="MMR012CMP042"/>
    <x v="235"/>
    <n v="92.839166000000006"/>
    <n v="20.157311"/>
    <x v="1"/>
    <x v="0"/>
    <x v="2"/>
    <n v="398"/>
    <n v="2022"/>
    <n v="2022"/>
    <s v="Not affected"/>
    <x v="1"/>
    <x v="9"/>
    <s v="LWF"/>
    <x v="5"/>
    <x v="0"/>
    <d v="2016-03-31T00:00:00"/>
    <s v="SCI"/>
    <x v="0"/>
    <n v="0"/>
    <n v="0"/>
    <s v="No"/>
    <n v="0"/>
    <n v="20"/>
    <n v="0"/>
    <n v="0"/>
    <m/>
    <n v="0"/>
    <n v="1"/>
    <n v="1"/>
    <n v="2022"/>
    <n v="1"/>
    <n v="2022"/>
    <n v="1"/>
    <n v="2022"/>
    <s v="80-100%"/>
    <n v="0"/>
    <n v="0"/>
    <s v="no"/>
    <n v="0"/>
    <n v="2022"/>
    <n v="0"/>
    <n v="1"/>
    <n v="2022"/>
    <m/>
    <n v="0"/>
    <n v="108"/>
    <n v="20"/>
    <x v="3"/>
    <n v="1"/>
    <n v="2022"/>
    <n v="1"/>
    <n v="2022"/>
    <n v="0"/>
    <n v="0"/>
    <x v="1"/>
    <n v="1"/>
    <n v="2022"/>
    <n v="0"/>
    <n v="0"/>
    <n v="0"/>
    <n v="0"/>
    <n v="361.07142857142861"/>
    <n v="1"/>
    <n v="1982"/>
    <n v="18"/>
    <n v="0.89020771513353114"/>
    <n v="2.2199999999999989"/>
    <n v="1"/>
    <n v="2022"/>
    <m/>
    <d v="2013-12-17T00:00:00"/>
    <m/>
    <m/>
    <s v="To be done"/>
    <n v="400"/>
    <n v="1"/>
    <n v="398"/>
    <n v="0"/>
    <n v="0"/>
    <x v="10"/>
    <m/>
    <n v="0.95"/>
    <n v="1920.8999999999999"/>
    <s v="Excellent coverage"/>
    <s v="Excellent coverage"/>
    <x v="6"/>
    <x v="4"/>
    <x v="0"/>
    <x v="2"/>
    <m/>
  </r>
  <r>
    <x v="11"/>
    <m/>
    <m/>
    <s v="MMR012CMP042"/>
    <x v="236"/>
    <n v="92.823166999999998"/>
    <n v="20.181778000000001"/>
    <x v="1"/>
    <x v="0"/>
    <x v="2"/>
    <n v="400"/>
    <n v="2320"/>
    <n v="2320"/>
    <s v="Not affected"/>
    <x v="1"/>
    <x v="8"/>
    <s v="LWF"/>
    <x v="9"/>
    <x v="0"/>
    <d v="2015-12-31T00:00:00"/>
    <m/>
    <x v="0"/>
    <n v="0"/>
    <n v="0"/>
    <s v="No"/>
    <n v="0"/>
    <n v="15"/>
    <n v="0"/>
    <n v="0"/>
    <m/>
    <n v="0"/>
    <n v="0.22"/>
    <n v="1"/>
    <n v="2320"/>
    <n v="1"/>
    <n v="2320"/>
    <n v="1"/>
    <n v="2320"/>
    <s v="80-100%"/>
    <n v="0"/>
    <n v="0"/>
    <s v="no"/>
    <n v="0"/>
    <n v="510.4"/>
    <n v="0"/>
    <n v="1"/>
    <n v="2320"/>
    <m/>
    <n v="0"/>
    <n v="120"/>
    <n v="20"/>
    <x v="4"/>
    <n v="1"/>
    <n v="2320"/>
    <n v="1"/>
    <n v="2320"/>
    <n v="0"/>
    <n v="0"/>
    <x v="1"/>
    <n v="1"/>
    <n v="2320"/>
    <n v="0"/>
    <n v="0"/>
    <n v="0"/>
    <n v="0"/>
    <n v="414.28571428571433"/>
    <n v="1"/>
    <n v="2217"/>
    <n v="12"/>
    <n v="0.51724137931034486"/>
    <n v="11.2"/>
    <n v="0.9"/>
    <n v="2088"/>
    <s v="individual bathing spaces available for 50 shelters"/>
    <m/>
    <m/>
    <m/>
    <s v="To be done"/>
    <n v="0"/>
    <n v="3"/>
    <n v="400"/>
    <n v="0"/>
    <n v="0"/>
    <x v="7"/>
    <s v="CDN Distributed emergency hygiene replenishment kits in September"/>
    <n v="1"/>
    <n v="2320"/>
    <n v="40"/>
    <s v="Excellent coverage"/>
    <x v="5"/>
    <x v="1"/>
    <x v="1"/>
    <x v="0"/>
    <s v="waste mgmt , Hygiene promotion, Latrine cleaning Volunteers and WASH user group"/>
  </r>
  <r>
    <x v="11"/>
    <m/>
    <m/>
    <n v="196137"/>
    <x v="237"/>
    <n v="92.807000000000002"/>
    <n v="20.245000000000001"/>
    <x v="0"/>
    <x v="2"/>
    <x v="1"/>
    <n v="0"/>
    <n v="0"/>
    <n v="488"/>
    <s v="Not affected"/>
    <x v="0"/>
    <x v="6"/>
    <m/>
    <x v="6"/>
    <x v="0"/>
    <d v="2016-06-30T00:00:00"/>
    <m/>
    <x v="0"/>
    <n v="0"/>
    <n v="0"/>
    <s v="No"/>
    <n v="9"/>
    <n v="4"/>
    <n v="0"/>
    <n v="0"/>
    <m/>
    <n v="0"/>
    <n v="0"/>
    <n v="1"/>
    <n v="488"/>
    <n v="1"/>
    <n v="488"/>
    <n v="1"/>
    <n v="488"/>
    <s v="80-100%"/>
    <n v="0"/>
    <n v="0"/>
    <s v="no"/>
    <n v="0"/>
    <n v="0"/>
    <n v="0"/>
    <n v="1"/>
    <n v="488"/>
    <m/>
    <n v="0"/>
    <n v="146"/>
    <n v="3.3424657534246576"/>
    <x v="1"/>
    <n v="1"/>
    <n v="488"/>
    <n v="1"/>
    <n v="488"/>
    <n v="0"/>
    <n v="0"/>
    <x v="0"/>
    <n v="1"/>
    <n v="488"/>
    <s v="n/a"/>
    <s v="n/a"/>
    <s v="n/a"/>
    <s v="n/a"/>
    <s v="n/a"/>
    <s v="n/a"/>
    <s v="n/a"/>
    <s v="n/a"/>
    <s v="n/a"/>
    <s v="n/a"/>
    <s v="n/a"/>
    <s v="n/a"/>
    <s v="bathing spaces are using individually by own"/>
    <d v="2013-12-17T00:00:00"/>
    <m/>
    <m/>
    <s v="n/a"/>
    <n v="153"/>
    <n v="0"/>
    <s v="n/a"/>
    <s v="n/a"/>
    <s v="n/a"/>
    <x v="0"/>
    <s v="SCI Distriubted Hygiene kits"/>
    <n v="0.75"/>
    <n v="366"/>
    <n v="3"/>
    <s v="Excellent coverage"/>
    <x v="2"/>
    <x v="0"/>
    <x v="1"/>
    <x v="0"/>
    <m/>
  </r>
  <r>
    <x v="11"/>
    <m/>
    <m/>
    <s v="MMR012CMP092"/>
    <x v="238"/>
    <n v="92.831000000000003"/>
    <n v="20.185917"/>
    <x v="1"/>
    <x v="0"/>
    <x v="2"/>
    <n v="624"/>
    <n v="3352"/>
    <n v="3352"/>
    <s v="Not affected"/>
    <x v="3"/>
    <x v="9"/>
    <s v="SCI"/>
    <x v="7"/>
    <x v="0"/>
    <d v="2016-03-31T00:00:00"/>
    <m/>
    <x v="0"/>
    <n v="0"/>
    <n v="0"/>
    <s v="No"/>
    <n v="0"/>
    <n v="34"/>
    <n v="0"/>
    <n v="0"/>
    <m/>
    <n v="0"/>
    <n v="1"/>
    <n v="1"/>
    <n v="3352"/>
    <n v="1"/>
    <n v="3352"/>
    <n v="1"/>
    <n v="3352"/>
    <s v="80-100%"/>
    <n v="0"/>
    <n v="0"/>
    <s v="no"/>
    <n v="0"/>
    <n v="3352"/>
    <n v="0"/>
    <n v="1"/>
    <n v="3352"/>
    <m/>
    <n v="0"/>
    <n v="156"/>
    <n v="21.371794871794872"/>
    <x v="3"/>
    <n v="0.93078758949880669"/>
    <n v="3120"/>
    <n v="0.93078758949880669"/>
    <n v="3120"/>
    <n v="0"/>
    <n v="0"/>
    <x v="1"/>
    <n v="1"/>
    <n v="3352"/>
    <n v="11.599999999999994"/>
    <n v="624"/>
    <n v="1"/>
    <n v="3352"/>
    <n v="0"/>
    <n v="1"/>
    <n v="3457"/>
    <n v="28"/>
    <n v="0.8353221957040573"/>
    <n v="5.5200000000000031"/>
    <n v="1"/>
    <n v="3352"/>
    <s v="Individual Washrooms not gender seperated (BI)"/>
    <d v="2014-12-24T00:00:00"/>
    <m/>
    <m/>
    <d v="2015-12-24T00:00:00"/>
    <n v="624"/>
    <n v="4"/>
    <n v="0"/>
    <n v="1"/>
    <n v="3352"/>
    <x v="11"/>
    <s v="SCI Distriubted Refill Hygiene kits on 2014"/>
    <n v="0.75"/>
    <n v="2514"/>
    <n v="12"/>
    <s v="Excellent coverage"/>
    <x v="2"/>
    <x v="3"/>
    <x v="1"/>
    <x v="0"/>
    <m/>
  </r>
  <r>
    <x v="11"/>
    <m/>
    <m/>
    <n v="196139"/>
    <x v="239"/>
    <n v="92.817999999999998"/>
    <n v="20.2302"/>
    <x v="0"/>
    <x v="0"/>
    <x v="1"/>
    <n v="0"/>
    <n v="0"/>
    <n v="1091"/>
    <s v="Not affected"/>
    <x v="1"/>
    <x v="9"/>
    <m/>
    <x v="1"/>
    <x v="0"/>
    <d v="2016-03-31T00:00:00"/>
    <m/>
    <x v="0"/>
    <n v="0"/>
    <n v="0"/>
    <s v="No"/>
    <n v="17"/>
    <n v="6"/>
    <n v="0"/>
    <n v="0"/>
    <m/>
    <n v="0"/>
    <n v="1"/>
    <n v="1"/>
    <n v="1091"/>
    <n v="1"/>
    <n v="1091"/>
    <n v="1"/>
    <n v="1091"/>
    <s v="80-100%"/>
    <n v="0"/>
    <n v="0"/>
    <s v="no"/>
    <n v="0"/>
    <n v="1091"/>
    <n v="0"/>
    <n v="1"/>
    <n v="1091"/>
    <s v="273 beneficiaries / borehole"/>
    <n v="0"/>
    <n v="56"/>
    <n v="6"/>
    <x v="1"/>
    <n v="0.307974335472044"/>
    <n v="336"/>
    <n v="0.307974335472044"/>
    <n v="336"/>
    <n v="0"/>
    <n v="0"/>
    <x v="0"/>
    <n v="0.35"/>
    <n v="381.84999999999997"/>
    <s v="n/a"/>
    <n v="44"/>
    <s v="n/a"/>
    <s v="n/a"/>
    <s v="n/a"/>
    <s v="n/a"/>
    <s v="n/a"/>
    <s v="n/a"/>
    <s v="n/a"/>
    <s v="n/a"/>
    <s v="n/a"/>
    <s v="n/a"/>
    <m/>
    <s v="n/a"/>
    <m/>
    <m/>
    <s v="n/a"/>
    <m/>
    <m/>
    <s v="n/a"/>
    <s v="n/a"/>
    <s v="n/a"/>
    <x v="0"/>
    <m/>
    <n v="0.25"/>
    <n v="272.75"/>
    <n v="6"/>
    <s v="Excellent coverage"/>
    <x v="1"/>
    <x v="0"/>
    <x v="0"/>
    <x v="4"/>
    <m/>
  </r>
  <r>
    <x v="11"/>
    <m/>
    <m/>
    <n v="196145"/>
    <x v="240"/>
    <n v="92.811300000000003"/>
    <n v="20.2195"/>
    <x v="0"/>
    <x v="0"/>
    <x v="1"/>
    <n v="0"/>
    <n v="0"/>
    <n v="1418"/>
    <s v="Not affected"/>
    <x v="1"/>
    <x v="9"/>
    <m/>
    <x v="1"/>
    <x v="0"/>
    <d v="2016-03-31T00:00:00"/>
    <m/>
    <x v="0"/>
    <n v="0"/>
    <n v="0"/>
    <s v="No"/>
    <n v="29"/>
    <n v="5"/>
    <n v="0"/>
    <n v="0"/>
    <m/>
    <n v="0"/>
    <n v="1"/>
    <n v="1"/>
    <n v="1418"/>
    <n v="1"/>
    <n v="1418"/>
    <n v="1"/>
    <n v="1418"/>
    <s v="80-100%"/>
    <n v="0"/>
    <n v="0"/>
    <s v="no"/>
    <n v="0"/>
    <n v="1418"/>
    <n v="0"/>
    <n v="1"/>
    <n v="1418"/>
    <s v="284 beneficiaries / borehole"/>
    <n v="0"/>
    <n v="71"/>
    <n v="6"/>
    <x v="1"/>
    <n v="0.30042313117066288"/>
    <n v="425.99999999999994"/>
    <n v="0.30042313117066288"/>
    <n v="425.99999999999994"/>
    <n v="0"/>
    <n v="0"/>
    <x v="0"/>
    <n v="0.35"/>
    <n v="496.29999999999995"/>
    <s v="n/a"/>
    <n v="57"/>
    <s v="n/a"/>
    <s v="n/a"/>
    <s v="n/a"/>
    <s v="n/a"/>
    <s v="n/a"/>
    <s v="n/a"/>
    <s v="n/a"/>
    <s v="n/a"/>
    <s v="n/a"/>
    <s v="n/a"/>
    <m/>
    <s v="n/a"/>
    <m/>
    <m/>
    <s v="n/a"/>
    <m/>
    <m/>
    <s v="n/a"/>
    <s v="n/a"/>
    <s v="n/a"/>
    <x v="0"/>
    <m/>
    <n v="0.25"/>
    <n v="354.5"/>
    <n v="6"/>
    <s v="Excellent coverage"/>
    <x v="1"/>
    <x v="0"/>
    <x v="0"/>
    <x v="4"/>
    <m/>
  </r>
  <r>
    <x v="11"/>
    <m/>
    <m/>
    <n v="196144"/>
    <x v="241"/>
    <n v="92.820800000000006"/>
    <n v="20.212700000000002"/>
    <x v="0"/>
    <x v="0"/>
    <x v="1"/>
    <n v="0"/>
    <n v="0"/>
    <n v="1340"/>
    <s v="Not affected"/>
    <x v="1"/>
    <x v="9"/>
    <m/>
    <x v="1"/>
    <x v="0"/>
    <d v="2016-03-31T00:00:00"/>
    <m/>
    <x v="0"/>
    <n v="0"/>
    <n v="0"/>
    <s v="No"/>
    <n v="7"/>
    <n v="5"/>
    <n v="0"/>
    <n v="0"/>
    <m/>
    <n v="0"/>
    <n v="1"/>
    <n v="1"/>
    <n v="1340"/>
    <n v="1"/>
    <n v="1340"/>
    <n v="1"/>
    <n v="1340"/>
    <s v="80-100%"/>
    <n v="0"/>
    <n v="0"/>
    <s v="no"/>
    <n v="0"/>
    <n v="1340"/>
    <n v="0"/>
    <n v="1"/>
    <n v="1340"/>
    <s v=" 268 beneficiaries / borehole"/>
    <n v="0"/>
    <n v="68"/>
    <n v="6"/>
    <x v="1"/>
    <n v="0.30447761194029849"/>
    <n v="408"/>
    <n v="0.30447761194029849"/>
    <n v="408"/>
    <n v="0"/>
    <n v="0"/>
    <x v="0"/>
    <n v="0.35"/>
    <n v="468.99999999999994"/>
    <s v="n/a"/>
    <n v="54"/>
    <s v="n/a"/>
    <s v="n/a"/>
    <s v="n/a"/>
    <s v="n/a"/>
    <s v="n/a"/>
    <s v="n/a"/>
    <s v="n/a"/>
    <s v="n/a"/>
    <s v="n/a"/>
    <s v="n/a"/>
    <m/>
    <s v="n/a"/>
    <m/>
    <m/>
    <s v="n/a"/>
    <m/>
    <m/>
    <s v="n/a"/>
    <s v="n/a"/>
    <s v="n/a"/>
    <x v="0"/>
    <m/>
    <n v="0.25"/>
    <n v="335"/>
    <n v="6"/>
    <s v="Excellent coverage"/>
    <x v="1"/>
    <x v="0"/>
    <x v="0"/>
    <x v="4"/>
    <m/>
  </r>
  <r>
    <x v="11"/>
    <m/>
    <m/>
    <s v="MMR012CMP098"/>
    <x v="242"/>
    <n v="92.774193999999994"/>
    <n v="20.206778"/>
    <x v="1"/>
    <x v="0"/>
    <x v="2"/>
    <n v="649"/>
    <n v="3389"/>
    <n v="3389"/>
    <s v="Moderately affected"/>
    <x v="3"/>
    <x v="8"/>
    <s v="DRC"/>
    <x v="9"/>
    <x v="0"/>
    <d v="2015-12-31T00:00:00"/>
    <m/>
    <x v="0"/>
    <n v="0"/>
    <n v="0"/>
    <s v="No"/>
    <n v="0"/>
    <n v="26"/>
    <n v="0"/>
    <n v="0"/>
    <m/>
    <n v="0"/>
    <n v="0.21"/>
    <n v="1"/>
    <n v="3389"/>
    <n v="1"/>
    <n v="3389"/>
    <n v="1"/>
    <n v="3389"/>
    <s v="80-100%"/>
    <n v="0"/>
    <n v="0"/>
    <s v="no"/>
    <n v="0"/>
    <n v="711.68999999999994"/>
    <n v="0"/>
    <n v="1"/>
    <n v="3389"/>
    <m/>
    <n v="0"/>
    <n v="175"/>
    <n v="20"/>
    <x v="4"/>
    <n v="1"/>
    <n v="3389"/>
    <n v="1"/>
    <n v="3389"/>
    <n v="0"/>
    <n v="0"/>
    <x v="1"/>
    <n v="1"/>
    <n v="3389"/>
    <n v="0"/>
    <n v="0"/>
    <n v="0"/>
    <n v="0"/>
    <n v="605.17857142857144"/>
    <n v="1"/>
    <n v="3150"/>
    <n v="0"/>
    <n v="0"/>
    <n v="33.89"/>
    <n v="0.9"/>
    <n v="3050.1"/>
    <s v="individual bathing spaces available for 80 shelters"/>
    <m/>
    <m/>
    <m/>
    <s v="To be done"/>
    <n v="0"/>
    <n v="3"/>
    <n v="649"/>
    <n v="0"/>
    <n v="0"/>
    <x v="7"/>
    <s v="CDN Distributed emergency hygiene replenishment kits in September"/>
    <n v="1"/>
    <n v="3389"/>
    <n v="51"/>
    <s v="Excellent coverage"/>
    <x v="5"/>
    <x v="1"/>
    <x v="1"/>
    <x v="0"/>
    <s v="waste mgmt , Hygiene promotion, Latrine cleaning Volunteers and WASH user group"/>
  </r>
  <r>
    <x v="11"/>
    <m/>
    <m/>
    <n v="196156"/>
    <x v="243"/>
    <n v="92.785700000000006"/>
    <n v="20.197500000000002"/>
    <x v="0"/>
    <x v="0"/>
    <x v="1"/>
    <n v="0"/>
    <n v="0"/>
    <n v="2355"/>
    <s v="Not affected"/>
    <x v="1"/>
    <x v="9"/>
    <m/>
    <x v="2"/>
    <x v="0"/>
    <d v="2016-03-31T00:00:00"/>
    <m/>
    <x v="0"/>
    <n v="0"/>
    <n v="0"/>
    <s v="n/a"/>
    <n v="10"/>
    <n v="20"/>
    <n v="0"/>
    <n v="0"/>
    <m/>
    <n v="0.5"/>
    <n v="1"/>
    <n v="1"/>
    <n v="2355"/>
    <n v="1"/>
    <n v="2355"/>
    <n v="1"/>
    <n v="2355"/>
    <s v="80-100%"/>
    <n v="0"/>
    <n v="0"/>
    <s v="no"/>
    <n v="0"/>
    <n v="2355"/>
    <n v="1177.5"/>
    <n v="1"/>
    <n v="2355"/>
    <m/>
    <n v="0"/>
    <n v="44"/>
    <n v="6"/>
    <x v="0"/>
    <n v="0.11210191082802548"/>
    <n v="264"/>
    <n v="0.11210191082802548"/>
    <n v="264"/>
    <n v="0"/>
    <n v="0"/>
    <x v="1"/>
    <n v="1"/>
    <n v="2355"/>
    <s v="n/a"/>
    <s v="n/a"/>
    <s v="n/a"/>
    <s v="n/a"/>
    <s v="n/a"/>
    <s v="n/a"/>
    <s v="n/a"/>
    <n v="200"/>
    <s v="n/a"/>
    <s v="n/a"/>
    <n v="1"/>
    <s v="n/a"/>
    <s v="Oxfam supported hand washing facilites which is lotta, soap, bucket at individual HH"/>
    <d v="2015-09-24T00:00:00"/>
    <m/>
    <m/>
    <s v="n/a"/>
    <s v="n/a"/>
    <s v="n/a"/>
    <s v="n/a"/>
    <s v="n/a"/>
    <s v="n/a"/>
    <x v="0"/>
    <s v="n/a"/>
    <n v="1"/>
    <n v="2355"/>
    <n v="2"/>
    <s v="Low coverage"/>
    <x v="2"/>
    <x v="1"/>
    <x v="4"/>
    <x v="4"/>
    <m/>
  </r>
  <r>
    <x v="11"/>
    <m/>
    <m/>
    <s v="MMR012CMP115"/>
    <x v="244"/>
    <n v="92.799861000000007"/>
    <n v="20.185193999999999"/>
    <x v="1"/>
    <x v="0"/>
    <x v="2"/>
    <n v="2629"/>
    <n v="13655"/>
    <n v="13655"/>
    <s v="Not affected"/>
    <x v="4"/>
    <x v="9"/>
    <s v="DRC"/>
    <x v="7"/>
    <x v="0"/>
    <d v="2016-03-31T00:00:00"/>
    <m/>
    <x v="0"/>
    <n v="0"/>
    <n v="0"/>
    <s v="No"/>
    <n v="0"/>
    <n v="210"/>
    <n v="0"/>
    <n v="0"/>
    <m/>
    <n v="0"/>
    <n v="1"/>
    <n v="1"/>
    <n v="13655"/>
    <n v="1"/>
    <n v="13655"/>
    <n v="1"/>
    <n v="13655"/>
    <s v="80-100%"/>
    <n v="0"/>
    <n v="0"/>
    <s v="no"/>
    <n v="0"/>
    <n v="13655"/>
    <n v="0"/>
    <n v="1"/>
    <n v="13655"/>
    <m/>
    <n v="0"/>
    <n v="589"/>
    <n v="17.991511035653652"/>
    <x v="3"/>
    <n v="0.8626876601977298"/>
    <n v="11780"/>
    <n v="0.8626876601977298"/>
    <n v="11780"/>
    <n v="0"/>
    <n v="0"/>
    <x v="1"/>
    <n v="1"/>
    <n v="13655"/>
    <n v="93.75"/>
    <n v="2629"/>
    <n v="1"/>
    <n v="13655"/>
    <n v="0"/>
    <n v="1"/>
    <n v="14216"/>
    <n v="98"/>
    <n v="0.71768582936653236"/>
    <n v="38.550000000000011"/>
    <n v="1"/>
    <n v="13655"/>
    <s v="Individual Washrooms not gender seperated (BI)"/>
    <d v="2014-12-20T00:00:00"/>
    <m/>
    <m/>
    <d v="2015-12-20T00:00:00"/>
    <n v="2728"/>
    <n v="4"/>
    <n v="0"/>
    <n v="1"/>
    <n v="13655"/>
    <x v="11"/>
    <s v="SCI Distriubted Refill Hygiene kits on 2014"/>
    <n v="0.75"/>
    <n v="10241.25"/>
    <n v="36"/>
    <s v="Good coverage"/>
    <x v="2"/>
    <x v="3"/>
    <x v="2"/>
    <x v="0"/>
    <m/>
  </r>
  <r>
    <x v="11"/>
    <m/>
    <m/>
    <s v="MMR012CMP116"/>
    <x v="245"/>
    <n v="92.800528"/>
    <n v="20.185583000000001"/>
    <x v="1"/>
    <x v="0"/>
    <x v="2"/>
    <n v="2243"/>
    <n v="11704"/>
    <n v="11704"/>
    <s v="Moderately affected"/>
    <x v="4"/>
    <x v="6"/>
    <s v="LWF"/>
    <x v="6"/>
    <x v="0"/>
    <d v="2016-06-30T00:00:00"/>
    <m/>
    <x v="0"/>
    <n v="0"/>
    <n v="0"/>
    <s v="No"/>
    <n v="0"/>
    <n v="60"/>
    <n v="0"/>
    <n v="0"/>
    <m/>
    <n v="0"/>
    <n v="0"/>
    <n v="1"/>
    <n v="11704"/>
    <n v="1"/>
    <n v="11704"/>
    <n v="1"/>
    <n v="11704"/>
    <s v="80-100%"/>
    <n v="0"/>
    <n v="0"/>
    <s v="no"/>
    <n v="0"/>
    <n v="0"/>
    <n v="0"/>
    <n v="1"/>
    <n v="11704"/>
    <m/>
    <n v="0"/>
    <n v="600"/>
    <n v="20.54"/>
    <x v="4"/>
    <n v="1"/>
    <n v="11704"/>
    <n v="1"/>
    <n v="11704"/>
    <n v="0"/>
    <n v="0"/>
    <x v="3"/>
    <n v="1"/>
    <n v="11704"/>
    <n v="0"/>
    <n v="10"/>
    <n v="4.7846889952153108E-3"/>
    <n v="56"/>
    <n v="2080"/>
    <n v="0.5"/>
    <n v="6162"/>
    <n v="0"/>
    <n v="0"/>
    <n v="117.04"/>
    <n v="1"/>
    <n v="11704"/>
    <s v="priority is now put on dislodgling and repair of broken latrines"/>
    <d v="2015-01-29T00:00:00"/>
    <m/>
    <m/>
    <d v="2016-01-29T00:00:00"/>
    <n v="2320"/>
    <n v="1"/>
    <n v="0"/>
    <n v="1"/>
    <n v="11704"/>
    <x v="1"/>
    <m/>
    <n v="1"/>
    <n v="11704"/>
    <n v="60"/>
    <s v="Excellent coverage"/>
    <x v="5"/>
    <x v="1"/>
    <x v="1"/>
    <x v="4"/>
    <m/>
  </r>
  <r>
    <x v="11"/>
    <s v="MMR012001004"/>
    <s v="Kyet Taw Pyin"/>
    <n v="196137"/>
    <x v="246"/>
    <n v="92.482065000000006"/>
    <n v="20.154205999999999"/>
    <x v="0"/>
    <x v="2"/>
    <x v="1"/>
    <n v="0"/>
    <n v="0"/>
    <n v="396"/>
    <s v="Not affected"/>
    <x v="0"/>
    <x v="2"/>
    <m/>
    <x v="3"/>
    <x v="1"/>
    <m/>
    <m/>
    <x v="0"/>
    <n v="0"/>
    <n v="0"/>
    <s v="No"/>
    <n v="4"/>
    <n v="8"/>
    <n v="0"/>
    <n v="0"/>
    <m/>
    <n v="0"/>
    <n v="0.8"/>
    <n v="1"/>
    <n v="396"/>
    <n v="1"/>
    <n v="396"/>
    <n v="1"/>
    <n v="396"/>
    <s v="80-100%"/>
    <n v="0"/>
    <n v="0"/>
    <s v="no"/>
    <n v="0"/>
    <n v="316.8"/>
    <n v="0"/>
    <n v="1"/>
    <n v="396"/>
    <m/>
    <n v="0"/>
    <n v="87"/>
    <n v="4.5517241379310347"/>
    <x v="1"/>
    <n v="1"/>
    <n v="396"/>
    <n v="1"/>
    <n v="396"/>
    <n v="0"/>
    <n v="0"/>
    <x v="0"/>
    <n v="1"/>
    <n v="396"/>
    <s v="n/a"/>
    <s v="n/a"/>
    <s v="n/a"/>
    <s v="n/a"/>
    <s v="n/a"/>
    <s v="n/a"/>
    <s v="n/a"/>
    <s v="n/a"/>
    <s v="n/a"/>
    <s v="n/a"/>
    <s v="n/a"/>
    <s v="n/a"/>
    <s v="Latrines at each HH"/>
    <s v="n/a"/>
    <m/>
    <m/>
    <s v="n/a"/>
    <m/>
    <m/>
    <s v="n/a"/>
    <s v="n/a"/>
    <s v="n/a"/>
    <x v="0"/>
    <m/>
    <m/>
    <n v="0"/>
    <m/>
    <s v="No coverage"/>
    <x v="3"/>
    <x v="2"/>
    <x v="3"/>
    <x v="2"/>
    <m/>
  </r>
  <r>
    <x v="11"/>
    <m/>
    <m/>
    <n v="196142"/>
    <x v="247"/>
    <n v="92.795272222220007"/>
    <n v="20.208305554999999"/>
    <x v="0"/>
    <x v="0"/>
    <x v="1"/>
    <n v="0"/>
    <n v="0"/>
    <n v="1924"/>
    <s v="Not affected"/>
    <x v="1"/>
    <x v="2"/>
    <m/>
    <x v="3"/>
    <x v="1"/>
    <m/>
    <m/>
    <x v="0"/>
    <n v="0"/>
    <n v="0"/>
    <s v="No"/>
    <n v="20"/>
    <n v="12"/>
    <n v="0"/>
    <n v="6"/>
    <m/>
    <n v="0"/>
    <n v="0.8"/>
    <n v="1"/>
    <n v="1924"/>
    <n v="1"/>
    <n v="1924"/>
    <n v="1"/>
    <n v="1924"/>
    <s v="80-100%"/>
    <n v="0"/>
    <n v="0"/>
    <s v="yes"/>
    <n v="0"/>
    <n v="1539.2"/>
    <n v="0"/>
    <n v="1"/>
    <n v="1924"/>
    <m/>
    <n v="0"/>
    <n v="307"/>
    <n v="6.2671009771986972"/>
    <x v="1"/>
    <n v="1"/>
    <n v="1924"/>
    <n v="1"/>
    <n v="1924"/>
    <n v="0"/>
    <n v="0"/>
    <x v="0"/>
    <n v="1"/>
    <n v="1924"/>
    <s v="n/a"/>
    <s v="n/a"/>
    <s v="n/a"/>
    <s v="n/a"/>
    <s v="n/a"/>
    <s v="n/a"/>
    <s v="n/a"/>
    <s v="n/a"/>
    <s v="n/a"/>
    <s v="n/a"/>
    <s v="n/a"/>
    <s v="n/a"/>
    <s v="Latrines at each HH"/>
    <s v="n/a"/>
    <m/>
    <m/>
    <s v="n/a"/>
    <m/>
    <m/>
    <s v="n/a"/>
    <s v="n/a"/>
    <s v="n/a"/>
    <x v="0"/>
    <m/>
    <m/>
    <n v="0"/>
    <m/>
    <s v="No coverage"/>
    <x v="3"/>
    <x v="2"/>
    <x v="3"/>
    <x v="2"/>
    <m/>
  </r>
  <r>
    <x v="11"/>
    <m/>
    <m/>
    <n v="196141"/>
    <x v="248"/>
    <n v="92.462236000000004"/>
    <n v="20.131148"/>
    <x v="0"/>
    <x v="2"/>
    <x v="1"/>
    <n v="0"/>
    <n v="0"/>
    <n v="630"/>
    <s v="Not affected"/>
    <x v="2"/>
    <x v="2"/>
    <m/>
    <x v="3"/>
    <x v="1"/>
    <m/>
    <m/>
    <x v="0"/>
    <n v="0"/>
    <n v="0"/>
    <s v="No"/>
    <n v="2"/>
    <n v="4"/>
    <n v="0"/>
    <n v="0"/>
    <m/>
    <n v="0"/>
    <n v="0.8"/>
    <n v="1"/>
    <n v="630"/>
    <n v="1"/>
    <n v="630"/>
    <n v="1"/>
    <n v="630"/>
    <s v="80-100%"/>
    <n v="0"/>
    <n v="0"/>
    <s v="no"/>
    <n v="0"/>
    <n v="504"/>
    <n v="0"/>
    <n v="1"/>
    <n v="630"/>
    <m/>
    <n v="0"/>
    <n v="105"/>
    <n v="6"/>
    <x v="1"/>
    <n v="1"/>
    <n v="630"/>
    <n v="1"/>
    <n v="630"/>
    <n v="0"/>
    <n v="0"/>
    <x v="0"/>
    <n v="1"/>
    <n v="630"/>
    <s v="n/a"/>
    <s v="n/a"/>
    <s v="n/a"/>
    <s v="n/a"/>
    <s v="n/a"/>
    <s v="n/a"/>
    <s v="n/a"/>
    <s v="n/a"/>
    <s v="n/a"/>
    <s v="n/a"/>
    <s v="n/a"/>
    <s v="n/a"/>
    <s v="Latrines at each HH"/>
    <s v="n/a"/>
    <m/>
    <m/>
    <s v="n/a"/>
    <m/>
    <m/>
    <s v="n/a"/>
    <s v="n/a"/>
    <s v="n/a"/>
    <x v="0"/>
    <m/>
    <m/>
    <n v="0"/>
    <m/>
    <s v="No coverage"/>
    <x v="3"/>
    <x v="2"/>
    <x v="3"/>
    <x v="2"/>
    <m/>
  </r>
  <r>
    <x v="11"/>
    <m/>
    <m/>
    <n v="196141"/>
    <x v="249"/>
    <n v="92.464884999999995"/>
    <n v="20.130915999999999"/>
    <x v="0"/>
    <x v="2"/>
    <x v="1"/>
    <n v="0"/>
    <n v="0"/>
    <n v="365"/>
    <s v="Not affected"/>
    <x v="0"/>
    <x v="2"/>
    <m/>
    <x v="3"/>
    <x v="1"/>
    <m/>
    <m/>
    <x v="0"/>
    <n v="0"/>
    <n v="0"/>
    <s v="No"/>
    <n v="0"/>
    <n v="22"/>
    <n v="0"/>
    <n v="0"/>
    <m/>
    <n v="0"/>
    <n v="0.8"/>
    <n v="1"/>
    <n v="365"/>
    <n v="1"/>
    <n v="365"/>
    <n v="1"/>
    <n v="365"/>
    <s v="80-100%"/>
    <n v="0"/>
    <n v="0"/>
    <s v="no"/>
    <n v="0"/>
    <n v="292"/>
    <n v="0"/>
    <n v="1"/>
    <n v="365"/>
    <m/>
    <n v="0"/>
    <n v="55"/>
    <n v="6.6363636363636367"/>
    <x v="1"/>
    <n v="1"/>
    <n v="365"/>
    <n v="1"/>
    <n v="365"/>
    <n v="0"/>
    <n v="0"/>
    <x v="0"/>
    <n v="1"/>
    <n v="365"/>
    <s v="n/a"/>
    <s v="n/a"/>
    <s v="n/a"/>
    <s v="n/a"/>
    <s v="n/a"/>
    <s v="n/a"/>
    <s v="n/a"/>
    <s v="n/a"/>
    <s v="n/a"/>
    <s v="n/a"/>
    <s v="n/a"/>
    <s v="n/a"/>
    <s v="Latrines at each HH"/>
    <s v="n/a"/>
    <m/>
    <m/>
    <s v="n/a"/>
    <m/>
    <m/>
    <s v="n/a"/>
    <s v="n/a"/>
    <s v="n/a"/>
    <x v="0"/>
    <m/>
    <m/>
    <n v="0"/>
    <m/>
    <s v="No coverage"/>
    <x v="3"/>
    <x v="2"/>
    <x v="3"/>
    <x v="2"/>
    <m/>
  </r>
  <r>
    <x v="11"/>
    <m/>
    <m/>
    <s v="MMR012CMP045"/>
    <x v="250"/>
    <n v="92.788533333333305"/>
    <n v="20.207213888799998"/>
    <x v="1"/>
    <x v="0"/>
    <x v="2"/>
    <n v="400"/>
    <n v="2115"/>
    <n v="2115"/>
    <s v="Not affected"/>
    <x v="1"/>
    <x v="6"/>
    <s v="DRC"/>
    <x v="6"/>
    <x v="0"/>
    <d v="2016-06-30T00:00:00"/>
    <m/>
    <x v="0"/>
    <n v="0"/>
    <n v="0"/>
    <s v="No"/>
    <n v="0"/>
    <n v="20"/>
    <n v="0"/>
    <n v="0"/>
    <m/>
    <n v="0"/>
    <n v="0.6"/>
    <n v="1"/>
    <n v="2115"/>
    <n v="1"/>
    <n v="2115"/>
    <n v="1"/>
    <n v="2115"/>
    <s v="80-100%"/>
    <n v="0"/>
    <n v="0"/>
    <s v="no"/>
    <n v="0"/>
    <n v="1269"/>
    <n v="0"/>
    <n v="1"/>
    <n v="2115"/>
    <m/>
    <n v="0"/>
    <n v="100"/>
    <n v="21.15"/>
    <x v="4"/>
    <n v="0.94562647754137119"/>
    <n v="2000"/>
    <n v="0.94562647754137119"/>
    <n v="2000"/>
    <n v="0"/>
    <n v="0"/>
    <x v="1"/>
    <n v="1"/>
    <n v="2115"/>
    <n v="5.75"/>
    <n v="0"/>
    <n v="0"/>
    <n v="0"/>
    <n v="377.67857142857144"/>
    <n v="1"/>
    <n v="2115"/>
    <n v="0"/>
    <n v="0"/>
    <n v="21.15"/>
    <n v="1"/>
    <n v="2115"/>
    <s v="priority is now put on dislodgling and repair of broken latrines"/>
    <d v="2015-01-27T00:00:00"/>
    <m/>
    <m/>
    <d v="2016-01-27T00:00:00"/>
    <n v="400"/>
    <n v="1"/>
    <n v="0"/>
    <n v="1"/>
    <n v="2115"/>
    <x v="1"/>
    <m/>
    <n v="1"/>
    <n v="2115"/>
    <n v="40"/>
    <s v="Excellent coverage"/>
    <x v="5"/>
    <x v="1"/>
    <x v="1"/>
    <x v="0"/>
    <m/>
  </r>
  <r>
    <x v="11"/>
    <m/>
    <m/>
    <n v="196157"/>
    <x v="250"/>
    <n v="92.786352777700003"/>
    <n v="20.208449999999999"/>
    <x v="0"/>
    <x v="0"/>
    <x v="0"/>
    <n v="0"/>
    <n v="0"/>
    <n v="447"/>
    <s v="Not affected"/>
    <x v="0"/>
    <x v="6"/>
    <m/>
    <x v="6"/>
    <x v="0"/>
    <d v="2016-06-30T00:00:00"/>
    <m/>
    <x v="0"/>
    <n v="0"/>
    <n v="0"/>
    <s v="No"/>
    <n v="2"/>
    <n v="4"/>
    <n v="0"/>
    <n v="0"/>
    <m/>
    <n v="0"/>
    <n v="0"/>
    <n v="1"/>
    <n v="447"/>
    <n v="1"/>
    <n v="447"/>
    <n v="1"/>
    <n v="447"/>
    <s v="80-100%"/>
    <n v="0"/>
    <n v="0"/>
    <s v="no"/>
    <n v="0"/>
    <n v="0"/>
    <n v="0"/>
    <n v="1"/>
    <n v="447"/>
    <m/>
    <n v="0"/>
    <n v="72"/>
    <n v="6.208333333333333"/>
    <x v="1"/>
    <n v="1"/>
    <n v="447"/>
    <n v="1"/>
    <n v="447"/>
    <n v="0"/>
    <n v="0"/>
    <x v="0"/>
    <n v="1"/>
    <n v="447"/>
    <s v="n/a"/>
    <s v="n/a"/>
    <s v="n/a"/>
    <s v="n/a"/>
    <s v="n/a"/>
    <n v="1"/>
    <s v="n/a"/>
    <s v="n/a"/>
    <s v="n/a"/>
    <s v="n/a"/>
    <s v="n/a"/>
    <s v="n/a"/>
    <s v="Latrines at each HH"/>
    <s v="n/a"/>
    <m/>
    <m/>
    <s v="n/a"/>
    <m/>
    <m/>
    <s v="n/a"/>
    <s v="n/a"/>
    <s v="n/a"/>
    <x v="0"/>
    <m/>
    <n v="0"/>
    <n v="0"/>
    <n v="0"/>
    <s v="No coverage"/>
    <x v="1"/>
    <x v="0"/>
    <x v="0"/>
    <x v="4"/>
    <m/>
  </r>
  <r>
    <x v="11"/>
    <m/>
    <m/>
    <n v="196130"/>
    <x v="251"/>
    <n v="92.494243999999995"/>
    <n v="20.142474"/>
    <x v="0"/>
    <x v="2"/>
    <x v="1"/>
    <n v="0"/>
    <n v="0"/>
    <n v="434"/>
    <s v="Not affected"/>
    <x v="0"/>
    <x v="2"/>
    <m/>
    <x v="3"/>
    <x v="1"/>
    <m/>
    <m/>
    <x v="0"/>
    <n v="0"/>
    <n v="0"/>
    <s v="No"/>
    <n v="4"/>
    <n v="7"/>
    <n v="0"/>
    <n v="0"/>
    <m/>
    <n v="0"/>
    <n v="0"/>
    <n v="1"/>
    <n v="434"/>
    <n v="1"/>
    <n v="434"/>
    <n v="1"/>
    <n v="434"/>
    <s v="80-100%"/>
    <n v="0"/>
    <n v="0"/>
    <s v="no"/>
    <n v="0"/>
    <n v="0"/>
    <n v="0"/>
    <n v="1"/>
    <n v="434"/>
    <m/>
    <n v="0"/>
    <n v="62"/>
    <n v="7"/>
    <x v="1"/>
    <n v="1"/>
    <n v="434"/>
    <n v="1"/>
    <n v="434"/>
    <n v="0"/>
    <n v="0"/>
    <x v="0"/>
    <n v="1"/>
    <n v="434"/>
    <s v="n/a"/>
    <s v="n/a"/>
    <s v="n/a"/>
    <s v="n/a"/>
    <s v="n/a"/>
    <s v="n/a"/>
    <s v="n/a"/>
    <s v="n/a"/>
    <s v="n/a"/>
    <s v="n/a"/>
    <s v="n/a"/>
    <s v="n/a"/>
    <s v="Latrines at each HH"/>
    <s v="n/a"/>
    <m/>
    <m/>
    <s v="n/a"/>
    <m/>
    <m/>
    <s v="n/a"/>
    <s v="n/a"/>
    <s v="n/a"/>
    <x v="0"/>
    <m/>
    <m/>
    <n v="0"/>
    <m/>
    <s v="No coverage"/>
    <x v="3"/>
    <x v="2"/>
    <x v="3"/>
    <x v="2"/>
    <m/>
  </r>
  <r>
    <x v="11"/>
    <m/>
    <m/>
    <n v="196130"/>
    <x v="252"/>
    <n v="92.500101999999998"/>
    <n v="20.141264"/>
    <x v="0"/>
    <x v="2"/>
    <x v="1"/>
    <n v="0"/>
    <n v="0"/>
    <n v="351"/>
    <s v="Not affected"/>
    <x v="0"/>
    <x v="2"/>
    <m/>
    <x v="3"/>
    <x v="1"/>
    <m/>
    <m/>
    <x v="0"/>
    <n v="0"/>
    <n v="0"/>
    <s v="No"/>
    <n v="5"/>
    <n v="3"/>
    <n v="0"/>
    <n v="0"/>
    <m/>
    <n v="0"/>
    <n v="0"/>
    <n v="1"/>
    <n v="351"/>
    <n v="1"/>
    <n v="351"/>
    <n v="1"/>
    <n v="351"/>
    <s v="80-100%"/>
    <n v="0"/>
    <n v="0"/>
    <s v="no"/>
    <n v="0"/>
    <n v="0"/>
    <n v="0"/>
    <n v="1"/>
    <n v="351"/>
    <m/>
    <n v="0"/>
    <n v="87"/>
    <n v="4.0344827586206895"/>
    <x v="1"/>
    <n v="1"/>
    <n v="351"/>
    <n v="1"/>
    <n v="351"/>
    <n v="0"/>
    <n v="0"/>
    <x v="0"/>
    <n v="1"/>
    <n v="351"/>
    <s v="n/a"/>
    <s v="n/a"/>
    <s v="n/a"/>
    <s v="n/a"/>
    <s v="n/a"/>
    <s v="n/a"/>
    <s v="n/a"/>
    <s v="n/a"/>
    <s v="n/a"/>
    <s v="n/a"/>
    <s v="n/a"/>
    <s v="n/a"/>
    <s v="Latrines at each HH"/>
    <s v="n/a"/>
    <m/>
    <m/>
    <s v="n/a"/>
    <m/>
    <m/>
    <s v="n/a"/>
    <s v="n/a"/>
    <s v="n/a"/>
    <x v="0"/>
    <m/>
    <m/>
    <n v="0"/>
    <m/>
    <s v="No coverage"/>
    <x v="3"/>
    <x v="2"/>
    <x v="3"/>
    <x v="2"/>
    <m/>
  </r>
  <r>
    <x v="11"/>
    <m/>
    <m/>
    <s v="MMR012CMP111"/>
    <x v="253"/>
    <n v="92.887277999999995"/>
    <n v="20.151471999999998"/>
    <x v="1"/>
    <x v="2"/>
    <x v="2"/>
    <n v="249"/>
    <n v="1282"/>
    <n v="1282"/>
    <s v="Not affected"/>
    <x v="2"/>
    <x v="8"/>
    <s v="SCI"/>
    <x v="9"/>
    <x v="0"/>
    <d v="2015-12-31T00:00:00"/>
    <m/>
    <x v="0"/>
    <n v="0"/>
    <n v="0"/>
    <s v="No"/>
    <n v="0"/>
    <n v="0"/>
    <n v="32.31660301714286"/>
    <n v="1"/>
    <m/>
    <n v="0"/>
    <n v="1"/>
    <n v="1"/>
    <n v="1282"/>
    <n v="1"/>
    <n v="1282"/>
    <n v="1"/>
    <n v="1282"/>
    <s v="80-100%"/>
    <n v="0"/>
    <n v="0"/>
    <s v="yes"/>
    <n v="3.2050000000000001"/>
    <n v="1282"/>
    <n v="0"/>
    <n v="1"/>
    <n v="1282"/>
    <m/>
    <n v="0"/>
    <n v="249"/>
    <n v="20"/>
    <x v="6"/>
    <n v="1"/>
    <n v="1282"/>
    <n v="1"/>
    <n v="1282"/>
    <n v="0"/>
    <n v="0"/>
    <x v="3"/>
    <n v="1"/>
    <n v="1282"/>
    <n v="0"/>
    <n v="0"/>
    <n v="0"/>
    <n v="0"/>
    <n v="228.92857142857144"/>
    <n v="0"/>
    <n v="0"/>
    <n v="0"/>
    <n v="0"/>
    <n v="12.82"/>
    <n v="0"/>
    <n v="0"/>
    <s v="249 HH has private bathing space, individual latrines and hand washing facilities"/>
    <m/>
    <m/>
    <m/>
    <s v="To be done"/>
    <n v="0"/>
    <n v="3"/>
    <n v="249"/>
    <n v="0"/>
    <n v="0"/>
    <x v="7"/>
    <s v="CDN Distributed emergency hygiene replenishment kits in September"/>
    <n v="1"/>
    <n v="1282"/>
    <n v="26"/>
    <s v="Excellent coverage"/>
    <x v="5"/>
    <x v="1"/>
    <x v="1"/>
    <x v="0"/>
    <s v="waste mgmt , Hygiene promotion, Latrine cleaning Volunteers and WASH user group"/>
  </r>
  <r>
    <x v="11"/>
    <m/>
    <m/>
    <s v="MMR012CMP112"/>
    <x v="254"/>
    <n v="92.887277999999995"/>
    <n v="20.151471999999998"/>
    <x v="1"/>
    <x v="2"/>
    <x v="2"/>
    <n v="418"/>
    <n v="2200"/>
    <n v="2200"/>
    <s v="Moderately affected"/>
    <x v="1"/>
    <x v="9"/>
    <s v="LWF"/>
    <x v="2"/>
    <x v="0"/>
    <d v="2016-03-31T00:00:00"/>
    <m/>
    <x v="0"/>
    <n v="0"/>
    <n v="0"/>
    <s v="No"/>
    <n v="0"/>
    <n v="0"/>
    <n v="16.5"/>
    <n v="1"/>
    <m/>
    <n v="0.7"/>
    <n v="1"/>
    <n v="0.5"/>
    <n v="1100"/>
    <n v="0.5"/>
    <n v="1100"/>
    <n v="1"/>
    <n v="2200"/>
    <s v="45-60%"/>
    <n v="0"/>
    <n v="0"/>
    <s v="yes"/>
    <n v="5.5"/>
    <n v="2200"/>
    <n v="1540"/>
    <n v="1"/>
    <n v="2200"/>
    <m/>
    <n v="0"/>
    <n v="420"/>
    <n v="20"/>
    <x v="6"/>
    <n v="1"/>
    <n v="2200"/>
    <n v="1"/>
    <n v="2200"/>
    <n v="0"/>
    <n v="0"/>
    <x v="4"/>
    <n v="1"/>
    <n v="2200"/>
    <n v="0"/>
    <n v="420"/>
    <n v="1"/>
    <n v="2200"/>
    <n v="0"/>
    <n v="1"/>
    <n v="0"/>
    <n v="420"/>
    <n v="1"/>
    <n v="0"/>
    <n v="1"/>
    <n v="2200"/>
    <s v="oxfam distributed hand washing facilities such as soap, bucket at each HH supported by Oxfam"/>
    <d v="2015-09-24T00:00:00"/>
    <m/>
    <m/>
    <d v="2016-09-23T00:00:00"/>
    <n v="419"/>
    <n v="15"/>
    <n v="0"/>
    <n v="1"/>
    <n v="2200"/>
    <x v="3"/>
    <s v="Oxfam Distributed "/>
    <n v="1"/>
    <n v="2200"/>
    <n v="4"/>
    <s v="Excellent coverage"/>
    <x v="2"/>
    <x v="1"/>
    <x v="1"/>
    <x v="1"/>
    <s v="Waste management is done by community teams. DRD manages water supply with support from Oxfam"/>
  </r>
  <r>
    <x v="11"/>
    <m/>
    <m/>
    <s v="MMR012CMP045"/>
    <x v="255"/>
    <n v="92.792479999999998"/>
    <n v="20.202525000000001"/>
    <x v="1"/>
    <x v="0"/>
    <x v="2"/>
    <n v="2436"/>
    <n v="12178"/>
    <n v="12178"/>
    <s v="Moderately affected"/>
    <x v="4"/>
    <x v="9"/>
    <s v="DRC"/>
    <x v="2"/>
    <x v="0"/>
    <d v="2016-03-31T00:00:00"/>
    <m/>
    <x v="0"/>
    <n v="0"/>
    <n v="0"/>
    <s v="No"/>
    <n v="0"/>
    <n v="223"/>
    <n v="0"/>
    <n v="0"/>
    <m/>
    <n v="1"/>
    <n v="0.89"/>
    <n v="1"/>
    <n v="12178"/>
    <n v="1"/>
    <n v="12178"/>
    <n v="1"/>
    <n v="12178"/>
    <s v="80-100%"/>
    <n v="0"/>
    <n v="0"/>
    <s v="no"/>
    <n v="0"/>
    <n v="10838.42"/>
    <n v="12178"/>
    <n v="1"/>
    <n v="12178"/>
    <m/>
    <n v="0"/>
    <n v="495"/>
    <n v="20"/>
    <x v="7"/>
    <n v="0.81294136968303499"/>
    <n v="9900"/>
    <n v="0.81294136968303499"/>
    <n v="9900"/>
    <n v="0"/>
    <n v="0"/>
    <x v="1"/>
    <n v="1"/>
    <n v="12178"/>
    <n v="113.89999999999998"/>
    <n v="974"/>
    <n v="0.44788963705041873"/>
    <n v="5454.4"/>
    <n v="1200.6428571428573"/>
    <n v="1"/>
    <n v="5151.152860802732"/>
    <n v="2280"/>
    <n v="1"/>
    <n v="0"/>
    <n v="1"/>
    <n v="12178"/>
    <s v="Oxfam supported 36 handwashing stations at the 13 schools and distributed hand washing facilities such as lotta, soap, bucket at each HH."/>
    <d v="2015-09-24T00:00:00"/>
    <m/>
    <m/>
    <d v="2016-09-23T00:00:00"/>
    <n v="2280"/>
    <n v="15"/>
    <n v="156"/>
    <n v="0.93596059113300489"/>
    <n v="11398.128078817734"/>
    <x v="3"/>
    <s v="Oxfam Distributed "/>
    <n v="1"/>
    <n v="12178"/>
    <n v="27"/>
    <s v="Excellent coverage"/>
    <x v="2"/>
    <x v="3"/>
    <x v="1"/>
    <x v="0"/>
    <s v="Waste management done by Oxfam with little community involvement, and HP managed by CMC."/>
  </r>
  <r>
    <x v="11"/>
    <m/>
    <m/>
    <n v="196154"/>
    <x v="255"/>
    <n v="92.796599999999998"/>
    <n v="20.201499999999999"/>
    <x v="0"/>
    <x v="0"/>
    <x v="1"/>
    <n v="0"/>
    <n v="0"/>
    <n v="1214"/>
    <s v="Not affected"/>
    <x v="1"/>
    <x v="9"/>
    <m/>
    <x v="2"/>
    <x v="0"/>
    <d v="2016-03-31T00:00:00"/>
    <m/>
    <x v="0"/>
    <n v="0"/>
    <n v="0"/>
    <s v="n/a"/>
    <n v="4"/>
    <n v="35"/>
    <n v="0"/>
    <n v="3"/>
    <m/>
    <n v="0.7"/>
    <n v="1"/>
    <n v="1"/>
    <n v="1214"/>
    <n v="1"/>
    <n v="1214"/>
    <n v="1"/>
    <n v="1214"/>
    <s v="80-100%"/>
    <n v="0"/>
    <n v="0"/>
    <s v="yes"/>
    <n v="0"/>
    <n v="1214"/>
    <n v="849.8"/>
    <n v="1"/>
    <n v="1214"/>
    <m/>
    <n v="0"/>
    <n v="44"/>
    <n v="6"/>
    <x v="0"/>
    <n v="0.21746293245469522"/>
    <n v="264"/>
    <n v="0.21746293245469522"/>
    <n v="264"/>
    <n v="0"/>
    <n v="0"/>
    <x v="1"/>
    <n v="1"/>
    <n v="1214"/>
    <s v="n/a"/>
    <s v="n/a"/>
    <s v="n/a"/>
    <s v="n/a"/>
    <s v="n/a"/>
    <s v="n/a"/>
    <s v="n/a"/>
    <n v="235"/>
    <s v="n/a"/>
    <s v="n/a"/>
    <n v="1"/>
    <s v="n/a"/>
    <s v="Oxfam supported hand washing facilites which is lotta, soap, bucket at individual HH"/>
    <d v="2015-09-24T00:00:00"/>
    <m/>
    <m/>
    <s v="n/a"/>
    <s v="n/a"/>
    <s v="n/a"/>
    <s v="n/a"/>
    <s v="n/a"/>
    <s v="n/a"/>
    <x v="0"/>
    <s v="n/a"/>
    <n v="1"/>
    <n v="1214"/>
    <n v="2"/>
    <s v="Good coverage"/>
    <x v="2"/>
    <x v="1"/>
    <x v="4"/>
    <x v="4"/>
    <m/>
  </r>
  <r>
    <x v="11"/>
    <m/>
    <m/>
    <n v="196155"/>
    <x v="256"/>
    <n v="92.808199999999999"/>
    <n v="20.191700000000001"/>
    <x v="0"/>
    <x v="0"/>
    <x v="1"/>
    <n v="0"/>
    <n v="0"/>
    <n v="480"/>
    <s v="Not affected"/>
    <x v="0"/>
    <x v="9"/>
    <m/>
    <x v="2"/>
    <x v="0"/>
    <d v="2016-03-31T00:00:00"/>
    <m/>
    <x v="0"/>
    <n v="0"/>
    <n v="0"/>
    <s v="n/a"/>
    <n v="12"/>
    <n v="21"/>
    <n v="0"/>
    <n v="0"/>
    <m/>
    <n v="0.5"/>
    <n v="1"/>
    <n v="1"/>
    <n v="480"/>
    <n v="1"/>
    <n v="480"/>
    <n v="1"/>
    <n v="480"/>
    <s v="80-100%"/>
    <n v="0"/>
    <n v="0"/>
    <s v="no"/>
    <n v="0"/>
    <n v="480"/>
    <n v="240"/>
    <n v="1"/>
    <n v="480"/>
    <m/>
    <n v="0"/>
    <n v="36"/>
    <n v="6"/>
    <x v="0"/>
    <n v="0.45"/>
    <n v="216"/>
    <n v="0.45"/>
    <n v="216"/>
    <n v="0"/>
    <n v="0"/>
    <x v="3"/>
    <n v="0.6"/>
    <n v="288"/>
    <s v="n/a"/>
    <s v="n/a"/>
    <s v="n/a"/>
    <s v="n/a"/>
    <s v="n/a"/>
    <s v="n/a"/>
    <s v="n/a"/>
    <n v="92"/>
    <s v="n/a"/>
    <s v="n/a"/>
    <n v="1"/>
    <s v="n/a"/>
    <s v="Oxfam supported hand washing facilites which is latta, soap, bucket at individual HH"/>
    <d v="2015-09-24T00:00:00"/>
    <m/>
    <m/>
    <s v="n/a"/>
    <s v="n/a"/>
    <s v="n/a"/>
    <s v="n/a"/>
    <s v="n/a"/>
    <s v="n/a"/>
    <x v="0"/>
    <s v="n/a"/>
    <n v="1"/>
    <n v="480"/>
    <n v="2"/>
    <s v="Excellent coverage"/>
    <x v="2"/>
    <x v="1"/>
    <x v="4"/>
    <x v="4"/>
    <m/>
  </r>
  <r>
    <x v="11"/>
    <m/>
    <m/>
    <s v="MMR012CMP056"/>
    <x v="257"/>
    <n v="92.880319999999998"/>
    <n v="20.148584"/>
    <x v="1"/>
    <x v="7"/>
    <x v="2"/>
    <n v="72"/>
    <n v="462"/>
    <n v="462"/>
    <s v="Not affected"/>
    <x v="2"/>
    <x v="9"/>
    <s v="LWF"/>
    <x v="2"/>
    <x v="0"/>
    <d v="2016-03-31T00:00:00"/>
    <m/>
    <x v="0"/>
    <n v="0"/>
    <n v="0"/>
    <s v="No"/>
    <n v="0"/>
    <n v="0"/>
    <n v="6.4"/>
    <n v="1"/>
    <m/>
    <n v="0"/>
    <n v="1"/>
    <n v="0.92352092352092352"/>
    <n v="426.66666666666669"/>
    <n v="0.92352092352092352"/>
    <n v="426.66666666666669"/>
    <n v="1"/>
    <n v="462"/>
    <s v="80-100%"/>
    <n v="0"/>
    <n v="0"/>
    <s v="yes"/>
    <n v="1.155"/>
    <n v="462"/>
    <n v="0"/>
    <n v="1"/>
    <n v="462"/>
    <s v="1 pond untreated "/>
    <n v="0"/>
    <n v="72"/>
    <n v="20"/>
    <x v="4"/>
    <n v="1"/>
    <n v="462"/>
    <n v="1"/>
    <n v="462"/>
    <n v="0"/>
    <n v="0"/>
    <x v="1"/>
    <n v="1"/>
    <n v="462"/>
    <n v="0"/>
    <n v="0"/>
    <n v="0"/>
    <n v="0"/>
    <n v="82.5"/>
    <n v="0"/>
    <n v="0"/>
    <n v="72"/>
    <n v="1"/>
    <n v="0"/>
    <n v="1"/>
    <n v="462"/>
    <s v="Oxfam supported hand washing facilites which is handle cup, soap, bucket at individual HH"/>
    <d v="2015-09-24T00:00:00"/>
    <m/>
    <m/>
    <d v="2016-09-23T00:00:00"/>
    <n v="74"/>
    <n v="15"/>
    <n v="0"/>
    <n v="1"/>
    <n v="462"/>
    <x v="3"/>
    <s v="Oxfam Distributed "/>
    <n v="1"/>
    <n v="462"/>
    <n v="2"/>
    <s v="Excellent coverage"/>
    <x v="2"/>
    <x v="1"/>
    <x v="4"/>
    <x v="1"/>
    <s v="Waste management supported by Oxfam. Water supply - CMC manages with support from Oxfam"/>
  </r>
  <r>
    <x v="11"/>
    <m/>
    <m/>
    <s v="MMR012CMP093"/>
    <x v="258"/>
    <n v="92.879138999999995"/>
    <n v="20.155805999999998"/>
    <x v="1"/>
    <x v="2"/>
    <x v="2"/>
    <n v="151"/>
    <n v="640"/>
    <n v="640"/>
    <s v="Not affected"/>
    <x v="2"/>
    <x v="9"/>
    <s v="LWF"/>
    <x v="2"/>
    <x v="0"/>
    <d v="2016-03-31T00:00:00"/>
    <m/>
    <x v="0"/>
    <n v="0"/>
    <n v="0"/>
    <s v="No"/>
    <n v="0"/>
    <n v="0"/>
    <n v="4.4000000000000004"/>
    <n v="1"/>
    <m/>
    <n v="1"/>
    <n v="1"/>
    <n v="0.45833333333333331"/>
    <n v="293.33333333333331"/>
    <n v="0.45833333333333331"/>
    <n v="293.33333333333331"/>
    <n v="1"/>
    <n v="640"/>
    <s v="45-60%"/>
    <n v="0"/>
    <n v="0"/>
    <s v="yes"/>
    <n v="1.6"/>
    <n v="640"/>
    <n v="640"/>
    <n v="1"/>
    <n v="640"/>
    <m/>
    <n v="0"/>
    <n v="104"/>
    <n v="20"/>
    <x v="4"/>
    <n v="1"/>
    <n v="640"/>
    <n v="1"/>
    <n v="640"/>
    <n v="0"/>
    <n v="0"/>
    <x v="1"/>
    <n v="1"/>
    <n v="640"/>
    <n v="0"/>
    <n v="0"/>
    <n v="0"/>
    <n v="0"/>
    <n v="114.28571428571429"/>
    <n v="0"/>
    <n v="200"/>
    <n v="152"/>
    <n v="1"/>
    <n v="0"/>
    <n v="1"/>
    <n v="640"/>
    <s v="Oxfam supported hand washing facilites which is handle cup, soap, bucket at individual HH"/>
    <d v="2015-09-24T00:00:00"/>
    <m/>
    <m/>
    <d v="2016-09-23T00:00:00"/>
    <n v="174"/>
    <n v="15"/>
    <n v="0"/>
    <n v="1"/>
    <n v="640"/>
    <x v="3"/>
    <s v="Oxfam Distributed "/>
    <n v="1"/>
    <n v="640"/>
    <n v="2"/>
    <s v="Excellent coverage"/>
    <x v="2"/>
    <x v="1"/>
    <x v="4"/>
    <x v="1"/>
    <s v="Waste management supported by Oxfam. Water supply - CMC manages with support from Oxfam"/>
  </r>
  <r>
    <x v="11"/>
    <m/>
    <m/>
    <s v="MMR012CMP046"/>
    <x v="259"/>
    <n v="92.839416999999997"/>
    <n v="20.1585"/>
    <x v="1"/>
    <x v="0"/>
    <x v="2"/>
    <n v="2145"/>
    <n v="11663"/>
    <n v="11663"/>
    <s v="Not affected"/>
    <x v="4"/>
    <x v="9"/>
    <s v="LWF"/>
    <x v="5"/>
    <x v="0"/>
    <d v="2016-03-31T00:00:00"/>
    <s v="SCI"/>
    <x v="0"/>
    <n v="0"/>
    <n v="0"/>
    <s v="No"/>
    <n v="0"/>
    <n v="49"/>
    <n v="0"/>
    <n v="0"/>
    <m/>
    <n v="0"/>
    <n v="1"/>
    <n v="1"/>
    <n v="11663"/>
    <n v="1"/>
    <n v="11663"/>
    <n v="1"/>
    <n v="11663"/>
    <s v="80-100%"/>
    <n v="0"/>
    <n v="0"/>
    <s v="no"/>
    <n v="0"/>
    <n v="11663"/>
    <n v="0"/>
    <n v="1"/>
    <n v="11663"/>
    <m/>
    <n v="0"/>
    <n v="171"/>
    <n v="20"/>
    <x v="3"/>
    <n v="0.29323501671954044"/>
    <n v="3420"/>
    <n v="0.29323501671954044"/>
    <n v="3420"/>
    <n v="0"/>
    <n v="0"/>
    <x v="0"/>
    <n v="0.9"/>
    <n v="10496.7"/>
    <n v="412.15"/>
    <n v="10"/>
    <n v="4.8015090457000772E-3"/>
    <n v="56"/>
    <n v="2072.6785714285716"/>
    <n v="0.09"/>
    <n v="490.14"/>
    <n v="10"/>
    <n v="8.574123295892995E-2"/>
    <n v="106.63"/>
    <n v="1"/>
    <n v="11663"/>
    <m/>
    <d v="2013-11-26T00:00:00"/>
    <m/>
    <m/>
    <s v="To be done"/>
    <n v="1000"/>
    <n v="1"/>
    <n v="2145"/>
    <n v="0"/>
    <n v="0"/>
    <x v="10"/>
    <m/>
    <n v="0.95"/>
    <n v="11079.85"/>
    <s v="Excellent coverage"/>
    <s v="Excellent coverage"/>
    <x v="7"/>
    <x v="4"/>
    <x v="0"/>
    <x v="2"/>
    <m/>
  </r>
  <r>
    <x v="11"/>
    <m/>
    <m/>
    <n v="196210"/>
    <x v="260"/>
    <n v="92.847284999999999"/>
    <n v="20.153136"/>
    <x v="0"/>
    <x v="2"/>
    <x v="3"/>
    <n v="155"/>
    <n v="716"/>
    <n v="716"/>
    <s v="Not affected"/>
    <x v="2"/>
    <x v="9"/>
    <m/>
    <x v="5"/>
    <x v="0"/>
    <d v="2016-03-31T00:00:00"/>
    <s v="SCI"/>
    <x v="0"/>
    <n v="0"/>
    <n v="0"/>
    <s v="No"/>
    <n v="0"/>
    <n v="49"/>
    <n v="0"/>
    <n v="0"/>
    <m/>
    <n v="0"/>
    <n v="1"/>
    <n v="1"/>
    <n v="716"/>
    <n v="1"/>
    <n v="716"/>
    <n v="1"/>
    <n v="716"/>
    <s v="80-100%"/>
    <n v="0"/>
    <n v="0"/>
    <s v="no"/>
    <n v="0"/>
    <n v="716"/>
    <n v="0"/>
    <n v="1"/>
    <n v="716"/>
    <m/>
    <n v="0"/>
    <n v="50"/>
    <n v="6"/>
    <x v="0"/>
    <n v="0.41899441340782123"/>
    <n v="300"/>
    <n v="0.41899441340782123"/>
    <n v="300"/>
    <n v="0"/>
    <n v="0"/>
    <x v="0"/>
    <n v="0.8"/>
    <n v="572.80000000000007"/>
    <s v="n/a"/>
    <s v="n/a"/>
    <s v="n/a"/>
    <s v="n/a"/>
    <s v="n/a"/>
    <s v="n/a"/>
    <s v="n/a"/>
    <s v="n/a"/>
    <s v="n/a"/>
    <s v="n/a"/>
    <s v="n/a"/>
    <s v="n/a"/>
    <m/>
    <s v="n/a"/>
    <m/>
    <m/>
    <s v="n/a"/>
    <s v="n/a"/>
    <s v="n/a"/>
    <s v="n/a"/>
    <s v="n/a"/>
    <s v="n/a"/>
    <x v="0"/>
    <m/>
    <n v="0.25"/>
    <n v="179"/>
    <s v="Excellent coverage"/>
    <s v="Excellent coverage"/>
    <x v="0"/>
    <x v="5"/>
    <x v="1"/>
    <x v="2"/>
    <m/>
  </r>
  <r>
    <x v="11"/>
    <m/>
    <m/>
    <s v="MMR012CMP101"/>
    <x v="260"/>
    <n v="92.837576999999996"/>
    <n v="20.156842000000001"/>
    <x v="0"/>
    <x v="0"/>
    <x v="4"/>
    <n v="2260"/>
    <n v="5443"/>
    <n v="13774"/>
    <s v="Not affected"/>
    <x v="1"/>
    <x v="9"/>
    <m/>
    <x v="5"/>
    <x v="0"/>
    <d v="2016-03-31T00:00:00"/>
    <m/>
    <x v="0"/>
    <n v="0"/>
    <n v="0"/>
    <s v="No"/>
    <n v="0"/>
    <n v="239"/>
    <n v="0"/>
    <n v="0"/>
    <m/>
    <n v="0"/>
    <n v="0.65"/>
    <n v="1"/>
    <n v="13774"/>
    <n v="1"/>
    <n v="13774"/>
    <n v="1"/>
    <n v="13774"/>
    <s v="80-100%"/>
    <n v="0"/>
    <n v="0"/>
    <s v="no"/>
    <n v="0"/>
    <n v="8953.1"/>
    <n v="0"/>
    <n v="1"/>
    <n v="13774"/>
    <m/>
    <n v="0"/>
    <n v="75"/>
    <n v="6"/>
    <x v="0"/>
    <n v="3.2670248293887032E-2"/>
    <n v="450"/>
    <n v="3.2670248293887032E-2"/>
    <n v="450"/>
    <n v="0"/>
    <n v="0"/>
    <x v="0"/>
    <n v="0.5"/>
    <n v="6887"/>
    <s v="n/a"/>
    <s v="n/a"/>
    <s v="n/a"/>
    <s v="n/a"/>
    <s v="n/a"/>
    <s v="n/a"/>
    <s v="n/a"/>
    <s v="n/a"/>
    <s v="n/a"/>
    <s v="n/a"/>
    <s v="n/a"/>
    <s v="n/a"/>
    <m/>
    <d v="2013-11-01T00:00:00"/>
    <m/>
    <m/>
    <s v="n/a"/>
    <n v="1371"/>
    <n v="1"/>
    <s v="n/a"/>
    <s v="n/a"/>
    <s v="n/a"/>
    <x v="0"/>
    <m/>
    <n v="0.25"/>
    <n v="3443.5"/>
    <s v="Low coverage"/>
    <s v="Low coverage"/>
    <x v="0"/>
    <x v="0"/>
    <x v="0"/>
    <x v="2"/>
    <m/>
  </r>
  <r>
    <x v="11"/>
    <m/>
    <m/>
    <s v="MMR012CMP048"/>
    <x v="261"/>
    <n v="92.831879000000001"/>
    <n v="20.179939999999998"/>
    <x v="0"/>
    <x v="0"/>
    <x v="4"/>
    <n v="496"/>
    <n v="2942"/>
    <n v="13367"/>
    <s v="Not affected"/>
    <x v="1"/>
    <x v="9"/>
    <m/>
    <x v="7"/>
    <x v="0"/>
    <d v="2016-03-31T00:00:00"/>
    <m/>
    <x v="0"/>
    <n v="0"/>
    <n v="0"/>
    <s v="No"/>
    <n v="5"/>
    <n v="55"/>
    <n v="0"/>
    <n v="3"/>
    <m/>
    <n v="0"/>
    <n v="1"/>
    <n v="1"/>
    <n v="13367"/>
    <n v="1"/>
    <n v="13367"/>
    <n v="1"/>
    <n v="13367"/>
    <s v="80-100%"/>
    <n v="0"/>
    <n v="0"/>
    <s v="yes"/>
    <n v="0"/>
    <n v="13367"/>
    <n v="0"/>
    <n v="1"/>
    <n v="13367"/>
    <m/>
    <n v="0"/>
    <n v="400"/>
    <n v="20.067499999999999"/>
    <x v="0"/>
    <n v="0.60050871549337925"/>
    <n v="8027.0000000000009"/>
    <n v="0.60050871549337925"/>
    <n v="8027.0000000000009"/>
    <n v="0"/>
    <n v="0"/>
    <x v="0"/>
    <n v="0.6"/>
    <n v="8020.2"/>
    <s v="n/a"/>
    <n v="420"/>
    <s v="n/a"/>
    <s v="n/a"/>
    <s v="n/a"/>
    <n v="1"/>
    <s v="n/a"/>
    <n v="38"/>
    <s v="n/a"/>
    <s v="n/a"/>
    <s v="n/a"/>
    <s v="n/a"/>
    <s v="Individual Washrooms not gender seperated (BI)"/>
    <d v="2014-12-22T00:00:00"/>
    <m/>
    <m/>
    <s v="n/a"/>
    <n v="420"/>
    <n v="4"/>
    <s v="n/a"/>
    <s v="n/a"/>
    <s v="n/a"/>
    <x v="0"/>
    <s v="SCI Distriubted Refill Hygiene kits on 2014"/>
    <n v="0.25"/>
    <n v="3341.75"/>
    <n v="28"/>
    <s v="Excellent coverage"/>
    <x v="2"/>
    <x v="3"/>
    <x v="1"/>
    <x v="4"/>
    <m/>
  </r>
  <r>
    <x v="11"/>
    <m/>
    <m/>
    <s v="MMR012CMP091"/>
    <x v="262"/>
    <n v="92.831879000000001"/>
    <n v="20.179939999999998"/>
    <x v="1"/>
    <x v="0"/>
    <x v="2"/>
    <n v="984"/>
    <n v="5656"/>
    <n v="5656"/>
    <s v="Not affected"/>
    <x v="3"/>
    <x v="9"/>
    <s v="SCI"/>
    <x v="7"/>
    <x v="0"/>
    <d v="2016-03-31T00:00:00"/>
    <m/>
    <x v="0"/>
    <n v="0"/>
    <n v="0"/>
    <s v="No"/>
    <n v="0"/>
    <n v="76"/>
    <n v="0"/>
    <n v="0"/>
    <m/>
    <n v="0"/>
    <n v="1"/>
    <n v="1"/>
    <n v="5656"/>
    <n v="1"/>
    <n v="5656"/>
    <n v="1"/>
    <n v="5656"/>
    <s v="80-100%"/>
    <n v="0"/>
    <n v="0"/>
    <s v="no"/>
    <n v="0"/>
    <n v="5656"/>
    <n v="0"/>
    <n v="1"/>
    <n v="5656"/>
    <m/>
    <n v="0"/>
    <n v="262"/>
    <n v="22.103053435114504"/>
    <x v="3"/>
    <n v="0.92644978783592646"/>
    <n v="5240"/>
    <n v="0.92644978783592646"/>
    <n v="5240"/>
    <n v="0"/>
    <n v="0"/>
    <x v="1"/>
    <n v="1"/>
    <n v="5656"/>
    <n v="20.800000000000011"/>
    <n v="984"/>
    <n v="0.97425742574257423"/>
    <n v="5510.4"/>
    <n v="26.000000000000114"/>
    <n v="1"/>
    <n v="5974"/>
    <n v="69"/>
    <n v="1"/>
    <n v="0"/>
    <n v="1"/>
    <n v="5656"/>
    <s v="Individual Washrooms not gender seperated (BI)"/>
    <d v="2014-12-23T00:00:00"/>
    <m/>
    <m/>
    <d v="2015-12-23T00:00:00"/>
    <n v="1022"/>
    <n v="4"/>
    <n v="0"/>
    <n v="1"/>
    <n v="5656"/>
    <x v="11"/>
    <s v="SCI Distriubted Refill Hygiene kits on 2014"/>
    <n v="0.75"/>
    <n v="4242"/>
    <n v="18"/>
    <s v="Excellent coverage"/>
    <x v="2"/>
    <x v="3"/>
    <x v="2"/>
    <x v="0"/>
    <m/>
  </r>
  <r>
    <x v="11"/>
    <m/>
    <m/>
    <s v="MMR012CMP058"/>
    <x v="263"/>
    <n v="92.836860999999999"/>
    <n v="20.226865"/>
    <x v="0"/>
    <x v="2"/>
    <x v="3"/>
    <n v="7"/>
    <n v="27"/>
    <n v="1231"/>
    <s v="Not affected"/>
    <x v="1"/>
    <x v="9"/>
    <m/>
    <x v="1"/>
    <x v="0"/>
    <d v="2016-03-31T00:00:00"/>
    <m/>
    <x v="0"/>
    <n v="0"/>
    <n v="0"/>
    <s v="No"/>
    <n v="30"/>
    <n v="6"/>
    <n v="0"/>
    <n v="1"/>
    <m/>
    <n v="0"/>
    <n v="1"/>
    <n v="1"/>
    <n v="1231"/>
    <n v="1"/>
    <n v="1231"/>
    <n v="1"/>
    <n v="1231"/>
    <s v="80-100%"/>
    <n v="0"/>
    <n v="0"/>
    <s v="yes"/>
    <n v="0"/>
    <n v="1231"/>
    <n v="0"/>
    <n v="1"/>
    <n v="1231"/>
    <s v="246  beneficiaries / borehole"/>
    <n v="0"/>
    <n v="68"/>
    <n v="6"/>
    <x v="1"/>
    <n v="0.33143785540211212"/>
    <n v="408"/>
    <n v="0.33143785540211212"/>
    <n v="408"/>
    <n v="0"/>
    <n v="0"/>
    <x v="0"/>
    <n v="0.35"/>
    <n v="430.84999999999997"/>
    <s v="n/a"/>
    <n v="56"/>
    <s v="n/a"/>
    <s v="n/a"/>
    <s v="n/a"/>
    <s v="n/a"/>
    <s v="n/a"/>
    <s v="n/a"/>
    <s v="n/a"/>
    <s v="n/a"/>
    <s v="n/a"/>
    <s v="n/a"/>
    <m/>
    <s v="n/a"/>
    <m/>
    <m/>
    <s v="n/a"/>
    <m/>
    <m/>
    <s v="n/a"/>
    <s v="n/a"/>
    <s v="n/a"/>
    <x v="0"/>
    <m/>
    <n v="0.25"/>
    <n v="307.75"/>
    <n v="6"/>
    <s v="Excellent coverage"/>
    <x v="1"/>
    <x v="0"/>
    <x v="0"/>
    <x v="4"/>
    <m/>
  </r>
  <r>
    <x v="11"/>
    <m/>
    <m/>
    <n v="196159"/>
    <x v="264"/>
    <n v="92.812799999999996"/>
    <n v="20.202400000000001"/>
    <x v="0"/>
    <x v="2"/>
    <x v="1"/>
    <n v="0"/>
    <n v="0"/>
    <n v="363"/>
    <s v="Not affected"/>
    <x v="0"/>
    <x v="9"/>
    <m/>
    <x v="1"/>
    <x v="0"/>
    <d v="2016-03-31T00:00:00"/>
    <m/>
    <x v="0"/>
    <n v="0"/>
    <n v="0"/>
    <s v="No"/>
    <n v="8"/>
    <n v="1"/>
    <n v="0"/>
    <n v="1"/>
    <m/>
    <n v="0"/>
    <n v="1"/>
    <n v="1"/>
    <n v="363"/>
    <n v="1"/>
    <n v="363"/>
    <n v="1"/>
    <n v="363"/>
    <s v="80-100%"/>
    <n v="0"/>
    <n v="0"/>
    <s v="yes"/>
    <n v="0"/>
    <n v="363"/>
    <n v="0"/>
    <n v="1"/>
    <n v="363"/>
    <s v="182 beneficiaries / borehole"/>
    <n v="0"/>
    <n v="75"/>
    <n v="6"/>
    <x v="1"/>
    <n v="1"/>
    <n v="363"/>
    <n v="1"/>
    <n v="363"/>
    <n v="0"/>
    <n v="0"/>
    <x v="0"/>
    <n v="1"/>
    <n v="363"/>
    <s v="n/a"/>
    <n v="17"/>
    <s v="n/a"/>
    <s v="n/a"/>
    <s v="n/a"/>
    <s v="n/a"/>
    <s v="n/a"/>
    <s v="n/a"/>
    <s v="n/a"/>
    <s v="n/a"/>
    <s v="n/a"/>
    <s v="n/a"/>
    <m/>
    <s v="n/a"/>
    <m/>
    <m/>
    <s v="n/a"/>
    <m/>
    <m/>
    <s v="n/a"/>
    <s v="n/a"/>
    <s v="n/a"/>
    <x v="0"/>
    <m/>
    <n v="0.25"/>
    <n v="90.75"/>
    <n v="6"/>
    <s v="Excellent coverage"/>
    <x v="1"/>
    <x v="0"/>
    <x v="0"/>
    <x v="4"/>
    <m/>
  </r>
</pivotCacheRecords>
</file>

<file path=xl/pivotCache/pivotCacheRecords2.xml><?xml version="1.0" encoding="utf-8"?>
<pivotCacheRecords xmlns="http://schemas.openxmlformats.org/spreadsheetml/2006/main" xmlns:r="http://schemas.openxmlformats.org/officeDocument/2006/relationships" count="70">
  <r>
    <x v="0"/>
    <m/>
    <x v="0"/>
    <m/>
    <s v="Provision of WASH Facilities for IDPs at Sittwe, in Rakhine State"/>
    <d v="2012-09-10T00:00:00"/>
    <d v="2012-12-09T00:00:00"/>
    <s v="Completed"/>
    <x v="0"/>
    <n v="2365"/>
    <n v="0"/>
    <n v="1"/>
    <n v="0"/>
    <n v="0"/>
    <n v="2365"/>
    <n v="2365"/>
    <n v="2365"/>
    <n v="0"/>
    <n v="0"/>
    <n v="0"/>
    <n v="80000"/>
    <n v="80000"/>
    <x v="0"/>
    <n v="0"/>
    <n v="1"/>
    <n v="0.60344827586206895"/>
    <n v="0.4"/>
    <n v="0"/>
    <m/>
  </r>
  <r>
    <x v="0"/>
    <m/>
    <x v="0"/>
    <m/>
    <s v="Provision of WASH facilities for IDPs at Marauk Oo and Sittwe townships in Rakhine State"/>
    <d v="2013-01-21T00:00:00"/>
    <d v="2013-04-21T00:00:00"/>
    <s v="Completed"/>
    <x v="1"/>
    <n v="3145"/>
    <n v="0"/>
    <n v="0.95"/>
    <n v="0"/>
    <n v="0.05"/>
    <n v="3145"/>
    <n v="2753"/>
    <n v="3145"/>
    <n v="0"/>
    <n v="0"/>
    <n v="0"/>
    <n v="107930"/>
    <n v="107930"/>
    <x v="0"/>
    <n v="0"/>
    <n v="1"/>
    <n v="0.52284510929726014"/>
    <n v="0.32632082713016641"/>
    <n v="0.15"/>
    <m/>
  </r>
  <r>
    <x v="0"/>
    <m/>
    <x v="0"/>
    <m/>
    <s v="Provision of WASH Facilities for IDPs at Sittwe, in Rakhine State"/>
    <d v="2012-06-18T00:00:00"/>
    <d v="2012-12-31T00:00:00"/>
    <s v="Completed"/>
    <x v="0"/>
    <n v="2365"/>
    <n v="0"/>
    <n v="1"/>
    <n v="0"/>
    <n v="0"/>
    <n v="2365"/>
    <n v="2365"/>
    <n v="0"/>
    <n v="0"/>
    <n v="0"/>
    <n v="0"/>
    <n v="20000"/>
    <n v="20000"/>
    <x v="0"/>
    <n v="0"/>
    <n v="1"/>
    <n v="1"/>
    <n v="0"/>
    <n v="0"/>
    <m/>
  </r>
  <r>
    <x v="1"/>
    <s v="CARE &amp; ACF"/>
    <x v="1"/>
    <s v="- "/>
    <s v="Poverty and Hunger Alleviation through Support, Empowerment and Increased networking (PHASE-IN) "/>
    <d v="2012-10-07T00:00:00"/>
    <d v="2017-09-01T00:00:00"/>
    <s v="Active"/>
    <x v="0"/>
    <n v="65100"/>
    <m/>
    <n v="0"/>
    <n v="0"/>
    <n v="1"/>
    <n v="0"/>
    <n v="0"/>
    <n v="0"/>
    <n v="65100"/>
    <n v="65100"/>
    <n v="65100"/>
    <n v="1157000"/>
    <n v="291512.29050279339"/>
    <x v="1"/>
    <n v="630209.49720670388"/>
    <n v="0"/>
    <n v="0.22"/>
    <n v="0.66"/>
    <n v="0.12"/>
    <s v="Remainder of funding allocation for implementation in 2016"/>
  </r>
  <r>
    <x v="2"/>
    <m/>
    <x v="0"/>
    <s v="CERF, OFDA, SIDA, AusAid"/>
    <s v="Provision of Hygiene and Sanitation facilities for IDPs at Khaung Doke Khar, Say Tha Mar Gyi and Ohn Taw Gyi 2 camps at Sittwe Township in Rakhine State"/>
    <d v="2013-02-11T00:00:00"/>
    <d v="2014-07-31T00:00:00"/>
    <s v="Completed"/>
    <x v="1"/>
    <n v="10983"/>
    <n v="1"/>
    <n v="1"/>
    <n v="0"/>
    <n v="0"/>
    <n v="10893"/>
    <n v="10893"/>
    <n v="10893"/>
    <n v="0"/>
    <n v="0"/>
    <n v="0"/>
    <n v="1350818"/>
    <n v="818065.48037383182"/>
    <x v="2"/>
    <n v="0"/>
    <n v="1"/>
    <n v="0.25133898305084745"/>
    <n v="0.63"/>
    <n v="0.12372881355932204"/>
    <m/>
  </r>
  <r>
    <x v="2"/>
    <m/>
    <x v="2"/>
    <m/>
    <s v="Provision of WASH Assistance to IDPs in a Protracted Crises in Rakhine - Myanmar"/>
    <d v="2014-03-25T00:00:00"/>
    <d v="2015-12-31T00:00:00"/>
    <s v="Active"/>
    <x v="2"/>
    <n v="6276"/>
    <n v="0.08"/>
    <n v="1"/>
    <n v="0"/>
    <n v="0"/>
    <n v="6276"/>
    <n v="5118"/>
    <n v="6276"/>
    <n v="0"/>
    <n v="0"/>
    <n v="0"/>
    <n v="787976"/>
    <n v="0"/>
    <x v="3"/>
    <n v="445218.63777089783"/>
    <n v="1"/>
    <n v="0.3"/>
    <n v="0.03"/>
    <n v="0.55000000000000004"/>
    <m/>
  </r>
  <r>
    <x v="2"/>
    <m/>
    <x v="3"/>
    <m/>
    <s v="Provision of lifesaving assistance in Pauktaw, Minbya, Mrauk Townships (WASH Component listed of a Livelihood WASH project)"/>
    <d v="2014-03-04T00:00:00"/>
    <d v="2015-01-15T00:00:00"/>
    <s v="Completed"/>
    <x v="2"/>
    <n v="11030"/>
    <n v="0.08"/>
    <n v="0.89"/>
    <n v="0.11"/>
    <n v="0"/>
    <n v="9817"/>
    <n v="9817"/>
    <n v="9817"/>
    <n v="1213"/>
    <n v="1213"/>
    <n v="1213"/>
    <n v="261302"/>
    <n v="0"/>
    <x v="4"/>
    <n v="12364.447949526813"/>
    <n v="0"/>
    <n v="0.19"/>
    <n v="0.23"/>
    <n v="0.57999999999999996"/>
    <m/>
  </r>
  <r>
    <x v="2"/>
    <m/>
    <x v="3"/>
    <m/>
    <s v="Provision of lifesaving assistance in Pauktaw, Minbya, Mrauk Townships (WASH Component listed of a Livelihood WASH project)"/>
    <d v="2013-02-25T00:00:00"/>
    <d v="2014-02-25T00:00:00"/>
    <s v="Completed"/>
    <x v="1"/>
    <n v="12420"/>
    <n v="0.53"/>
    <n v="0.89"/>
    <n v="0.11"/>
    <n v="0"/>
    <n v="11053"/>
    <n v="11053"/>
    <n v="11053"/>
    <n v="1366"/>
    <n v="1366"/>
    <n v="1355"/>
    <n v="297951"/>
    <n v="253054.27397260274"/>
    <x v="5"/>
    <n v="0"/>
    <n v="1"/>
    <n v="1"/>
    <n v="0.6"/>
    <n v="0.05"/>
    <s v="WASH 63 percent (provision of  water filters and water storage,  Distribution of  ceramic water, Construction of 200 latrines and pilot Community Lead Training, health education and community organizing to support hygienic behavior) "/>
  </r>
  <r>
    <x v="2"/>
    <m/>
    <x v="0"/>
    <s v="OFDA"/>
    <s v="Provision of WASH facilities and Hygiene Promotion for IDPs at Khaung Doke Khar camp in Sittwe, Rakhine State"/>
    <d v="2012-10-09T00:00:00"/>
    <d v="2013-01-08T00:00:00"/>
    <s v="Completed"/>
    <x v="0"/>
    <n v="1486"/>
    <n v="1"/>
    <n v="1"/>
    <n v="0"/>
    <n v="0"/>
    <n v="1486"/>
    <n v="1486"/>
    <n v="1486"/>
    <n v="0"/>
    <n v="0"/>
    <n v="0"/>
    <n v="65346"/>
    <n v="65346"/>
    <x v="0"/>
    <n v="0"/>
    <n v="1"/>
    <n v="0.25"/>
    <n v="0.6"/>
    <n v="0.15"/>
    <m/>
  </r>
  <r>
    <x v="3"/>
    <m/>
    <x v="0"/>
    <s v="SIDA"/>
    <s v="WASH Assistance to Conflict-Affected Communities in Rakhine State"/>
    <d v="2013-03-13T00:00:00"/>
    <d v="2014-08-31T00:00:00"/>
    <s v="Completed"/>
    <x v="1"/>
    <n v="8100"/>
    <n v="1"/>
    <n v="1"/>
    <n v="0"/>
    <n v="0"/>
    <n v="8100"/>
    <n v="8100"/>
    <n v="8100"/>
    <n v="0"/>
    <n v="0"/>
    <n v="0"/>
    <n v="855833"/>
    <n v="469430.78731343284"/>
    <x v="6"/>
    <n v="0"/>
    <n v="1"/>
    <n v="0.35428571428571426"/>
    <n v="2.8571428571428571E-2"/>
    <n v="0.62"/>
    <s v="Complete WASH activities"/>
  </r>
  <r>
    <x v="3"/>
    <m/>
    <x v="4"/>
    <m/>
    <s v="Humanitarian Displacement and Mine Action Response in Myanmar"/>
    <d v="2014-07-01T00:00:00"/>
    <d v="2015-06-30T00:00:00"/>
    <s v="Completed"/>
    <x v="2"/>
    <n v="1890"/>
    <n v="1"/>
    <n v="1"/>
    <n v="0"/>
    <n v="0"/>
    <n v="1890"/>
    <n v="1890"/>
    <n v="1890"/>
    <n v="0"/>
    <n v="0"/>
    <n v="0"/>
    <n v="100000"/>
    <n v="0"/>
    <x v="7"/>
    <n v="49725.274725274729"/>
    <n v="0.75"/>
    <n v="0.05"/>
    <n v="0.05"/>
    <n v="0.9"/>
    <m/>
  </r>
  <r>
    <x v="3"/>
    <m/>
    <x v="5"/>
    <m/>
    <s v="Hygiene kit distriution, as part of a larger project"/>
    <d v="2012-11-01T00:00:00"/>
    <d v="2013-03-31T00:00:00"/>
    <s v="Completed"/>
    <x v="0"/>
    <m/>
    <m/>
    <m/>
    <m/>
    <m/>
    <m/>
    <m/>
    <m/>
    <m/>
    <m/>
    <m/>
    <n v="45000"/>
    <n v="45000"/>
    <x v="0"/>
    <n v="0"/>
    <m/>
    <m/>
    <m/>
    <m/>
    <s v="Hygiene kit distriution, as part of a larger project"/>
  </r>
  <r>
    <x v="3"/>
    <m/>
    <x v="0"/>
    <s v="Japan "/>
    <s v="WASH Assistance to Conflict-Affected Communities in Rakhine State"/>
    <d v="2014-11-13T00:00:00"/>
    <d v="2015-08-12T00:00:00"/>
    <s v="Active"/>
    <x v="2"/>
    <n v="9067"/>
    <m/>
    <n v="0.53611999558839751"/>
    <n v="0"/>
    <n v="0.46388000441160254"/>
    <n v="4861"/>
    <n v="4861"/>
    <n v="4861"/>
    <n v="4206"/>
    <n v="4206"/>
    <n v="4206"/>
    <n v="420956"/>
    <n v="0"/>
    <x v="8"/>
    <n v="346669.6470588235"/>
    <n v="0.54"/>
    <n v="0.33333333333333331"/>
    <n v="0.34"/>
    <n v="0.33333333333333331"/>
    <m/>
  </r>
  <r>
    <x v="3"/>
    <m/>
    <x v="6"/>
    <m/>
    <s v="Humanitarian Displacement and Mine Action Response (HDMAR) - Rakhine and Kachin States"/>
    <d v="2014-07-01T00:00:00"/>
    <d v="2015-08-31T00:00:00"/>
    <s v="Active"/>
    <x v="2"/>
    <n v="15245"/>
    <n v="0.91571006887504103"/>
    <n v="0.89209576910462451"/>
    <n v="0"/>
    <n v="0.10790423089537553"/>
    <n v="13600"/>
    <n v="13600"/>
    <n v="13600"/>
    <n v="1645"/>
    <n v="1645"/>
    <n v="1645"/>
    <n v="806585"/>
    <n v="0"/>
    <x v="9"/>
    <n v="460094.26056338032"/>
    <n v="0.87"/>
    <n v="0.45"/>
    <n v="0.1"/>
    <n v="0.45"/>
    <s v="HP include core hygiene kits distribution and monthly replenishment HK. "/>
  </r>
  <r>
    <x v="4"/>
    <m/>
    <x v="0"/>
    <s v="CERF"/>
    <s v="Drainage for 8 IDP camps"/>
    <d v="2013-07-01T00:00:00"/>
    <d v="2013-12-31T00:00:00"/>
    <s v="Completed"/>
    <x v="1"/>
    <m/>
    <n v="0.5"/>
    <n v="1"/>
    <n v="0"/>
    <n v="0"/>
    <m/>
    <m/>
    <m/>
    <m/>
    <m/>
    <m/>
    <n v="133976"/>
    <n v="133976"/>
    <x v="0"/>
    <n v="0"/>
    <m/>
    <m/>
    <m/>
    <m/>
    <m/>
  </r>
  <r>
    <x v="4"/>
    <m/>
    <x v="0"/>
    <s v="OFDA"/>
    <s v="Wash facilities in Pawk Taw"/>
    <d v="2013-07-01T00:00:00"/>
    <d v="2013-12-31T00:00:00"/>
    <s v="Completed"/>
    <x v="1"/>
    <m/>
    <m/>
    <m/>
    <m/>
    <m/>
    <m/>
    <m/>
    <m/>
    <m/>
    <m/>
    <m/>
    <n v="32235"/>
    <n v="32235"/>
    <x v="0"/>
    <n v="0"/>
    <m/>
    <m/>
    <m/>
    <m/>
    <m/>
  </r>
  <r>
    <x v="4"/>
    <m/>
    <x v="0"/>
    <s v="CERF"/>
    <s v="Provision of water tester"/>
    <d v="2013-07-01T00:00:00"/>
    <d v="2013-12-31T00:00:00"/>
    <s v="Completed"/>
    <x v="1"/>
    <m/>
    <m/>
    <m/>
    <m/>
    <m/>
    <m/>
    <m/>
    <m/>
    <m/>
    <m/>
    <m/>
    <n v="7671"/>
    <n v="7671"/>
    <x v="0"/>
    <n v="0"/>
    <m/>
    <m/>
    <m/>
    <m/>
    <m/>
  </r>
  <r>
    <x v="4"/>
    <m/>
    <x v="0"/>
    <s v="OFDA"/>
    <s v="wash activities for Rakhine IDP's, 8 township"/>
    <d v="2013-07-01T00:00:00"/>
    <d v="2013-12-31T00:00:00"/>
    <s v="Completed"/>
    <x v="1"/>
    <m/>
    <m/>
    <n v="1"/>
    <m/>
    <m/>
    <m/>
    <m/>
    <m/>
    <m/>
    <m/>
    <m/>
    <n v="1084412"/>
    <n v="1084412"/>
    <x v="0"/>
    <n v="0"/>
    <m/>
    <m/>
    <m/>
    <m/>
    <m/>
  </r>
  <r>
    <x v="5"/>
    <m/>
    <x v="7"/>
    <s v="?"/>
    <s v="rehabilitation of Sitwe hospital WASH infrastructure"/>
    <m/>
    <m/>
    <s v="Completed"/>
    <x v="3"/>
    <m/>
    <m/>
    <m/>
    <m/>
    <m/>
    <m/>
    <m/>
    <m/>
    <m/>
    <m/>
    <m/>
    <n v="70000"/>
    <n v="70000"/>
    <x v="0"/>
    <n v="0"/>
    <m/>
    <m/>
    <m/>
    <m/>
    <m/>
  </r>
  <r>
    <x v="5"/>
    <m/>
    <x v="7"/>
    <s v="?"/>
    <s v="Rehabilitation of WASH infrastructure in hostptal of Mrauk U/Mymbia/Kauktaw"/>
    <m/>
    <m/>
    <s v="planned"/>
    <x v="3"/>
    <m/>
    <m/>
    <m/>
    <m/>
    <m/>
    <m/>
    <m/>
    <m/>
    <m/>
    <m/>
    <m/>
    <n v="100000"/>
    <n v="100000"/>
    <x v="0"/>
    <n v="0"/>
    <m/>
    <m/>
    <m/>
    <m/>
    <m/>
  </r>
  <r>
    <x v="6"/>
    <m/>
    <x v="0"/>
    <s v="RR / OFDA"/>
    <s v="Ensuring access to Water, Sanitation and Hygiene and dissemination of ODF methodology to communities in Rathedaung and Ponnagyun townships, Rakhine State"/>
    <d v="2014-12-12T00:00:00"/>
    <d v="2015-08-12T00:00:00"/>
    <s v="Active"/>
    <x v="2"/>
    <n v="28003"/>
    <m/>
    <n v="4.5673677820233544E-2"/>
    <n v="0.37024604506660003"/>
    <n v="0.58408027711316646"/>
    <n v="1279"/>
    <n v="1279"/>
    <n v="1279"/>
    <n v="17617"/>
    <n v="8192"/>
    <n v="28003"/>
    <n v="208400"/>
    <n v="0"/>
    <x v="10"/>
    <n v="192105.34979423869"/>
    <n v="2.3208550327532707E-2"/>
    <n v="0.32000217750276722"/>
    <n v="0.17185940590466167"/>
    <n v="0.50813841659257108"/>
    <m/>
  </r>
  <r>
    <x v="6"/>
    <m/>
    <x v="0"/>
    <s v="OFDA, G 02701,Japan"/>
    <s v="Ensuring access to Health, Water, Sanitation and Hygiene for conflict affected communities in Rathedaung township, Rakhine State_x000a_"/>
    <d v="2014-01-01T00:00:00"/>
    <d v="2014-11-30T00:00:00"/>
    <s v="Completed"/>
    <x v="2"/>
    <n v="15916"/>
    <n v="0.59"/>
    <n v="0.08"/>
    <n v="0.92"/>
    <n v="0"/>
    <n v="1199"/>
    <n v="1199"/>
    <n v="1199"/>
    <n v="14717"/>
    <n v="14717"/>
    <n v="14717"/>
    <n v="215757"/>
    <n v="0"/>
    <x v="11"/>
    <n v="0"/>
    <n v="0.08"/>
    <n v="0.33"/>
    <n v="0.34"/>
    <n v="0.33"/>
    <m/>
  </r>
  <r>
    <x v="7"/>
    <m/>
    <x v="6"/>
    <m/>
    <s v="Humanitarian Assistance to conflict-affected populations in Sittwe Township, Rakhine State, Myanmar"/>
    <d v="2013-03-01T00:00:00"/>
    <d v="2014-02-28T00:00:00"/>
    <s v="Completed"/>
    <x v="1"/>
    <n v="10204"/>
    <n v="1"/>
    <n v="1"/>
    <n v="0"/>
    <n v="0"/>
    <n v="10204"/>
    <n v="10204"/>
    <n v="10204"/>
    <n v="0"/>
    <n v="0"/>
    <n v="0"/>
    <n v="485000"/>
    <n v="407719.78021978022"/>
    <x v="12"/>
    <n v="0"/>
    <n v="1"/>
    <n v="0.6"/>
    <n v="0.25"/>
    <n v="0.15"/>
    <s v="Next phase of the ECHO project starst 1st of March, 2014"/>
  </r>
  <r>
    <x v="7"/>
    <m/>
    <x v="8"/>
    <m/>
    <s v="Community-Based Health Improvement in northern Rakhine State, Myanmar "/>
    <d v="2012-01-01T00:00:00"/>
    <d v="2012-12-31T00:00:00"/>
    <s v="Completed"/>
    <x v="0"/>
    <n v="8563"/>
    <n v="1"/>
    <n v="1"/>
    <n v="0"/>
    <n v="0"/>
    <m/>
    <m/>
    <m/>
    <m/>
    <m/>
    <m/>
    <n v="185000"/>
    <n v="185000"/>
    <x v="0"/>
    <n v="0"/>
    <n v="1"/>
    <m/>
    <m/>
    <n v="0"/>
    <s v="project started with 1 month delay.Originally planned to cover Maungdaw but cancelled"/>
  </r>
  <r>
    <x v="7"/>
    <m/>
    <x v="9"/>
    <m/>
    <m/>
    <m/>
    <m/>
    <m/>
    <x v="3"/>
    <m/>
    <m/>
    <m/>
    <m/>
    <m/>
    <m/>
    <m/>
    <m/>
    <m/>
    <m/>
    <m/>
    <n v="160000"/>
    <n v="160000"/>
    <x v="0"/>
    <n v="0"/>
    <m/>
    <m/>
    <m/>
    <m/>
    <s v="project started with 1 month delay.Originally planned to cover Maungdaw but cancelled"/>
  </r>
  <r>
    <x v="8"/>
    <m/>
    <x v="0"/>
    <s v="CERF"/>
    <s v="Supporting Essential Health and Nutrition services and hygiene promotion for IDPs in Rakhine State"/>
    <d v="2012-08-13T00:00:00"/>
    <d v="2012-11-12T00:00:00"/>
    <s v="Completed"/>
    <x v="0"/>
    <n v="35000"/>
    <s v="-"/>
    <s v="-"/>
    <n v="0"/>
    <n v="0"/>
    <n v="0"/>
    <n v="0"/>
    <n v="35000"/>
    <n v="0"/>
    <n v="0"/>
    <n v="0"/>
    <n v="102710"/>
    <n v="102710"/>
    <x v="0"/>
    <n v="0"/>
    <n v="1"/>
    <n v="0"/>
    <n v="0"/>
    <n v="1"/>
    <s v="to check amount dedicated to wash"/>
  </r>
  <r>
    <x v="9"/>
    <m/>
    <x v="10"/>
    <m/>
    <m/>
    <m/>
    <m/>
    <s v="Completed"/>
    <x v="3"/>
    <m/>
    <m/>
    <m/>
    <m/>
    <m/>
    <m/>
    <m/>
    <m/>
    <m/>
    <m/>
    <m/>
    <n v="50000"/>
    <n v="50000"/>
    <x v="0"/>
    <n v="0"/>
    <m/>
    <m/>
    <m/>
    <m/>
    <m/>
  </r>
  <r>
    <x v="10"/>
    <m/>
    <x v="0"/>
    <s v="CERF, SIDA, Switzerland, Aus Aid"/>
    <s v="WASH Support for IDPs in Kyauk Phyu and Ramree Townships"/>
    <d v="2013-06-07T00:00:00"/>
    <d v="2014-04-30T00:00:00"/>
    <s v="Completed"/>
    <x v="1"/>
    <n v="2070"/>
    <n v="1"/>
    <n v="1"/>
    <n v="0"/>
    <n v="0"/>
    <n v="2070"/>
    <n v="2070"/>
    <n v="2070"/>
    <n v="0"/>
    <n v="0"/>
    <n v="0"/>
    <n v="669357"/>
    <n v="425768.36697247706"/>
    <x v="13"/>
    <n v="0"/>
    <n v="1"/>
    <n v="9.8492069210420682E-2"/>
    <n v="0.2064660895700596"/>
    <n v="0.69"/>
    <s v="64 new latrine+5 tube wells"/>
  </r>
  <r>
    <x v="10"/>
    <m/>
    <x v="3"/>
    <m/>
    <s v="WASH Response in Kyauk Taw"/>
    <d v="2014-05-06T00:00:00"/>
    <d v="2015-03-01T00:00:00"/>
    <s v="Completed"/>
    <x v="2"/>
    <n v="28600"/>
    <n v="0.45"/>
    <n v="0.23"/>
    <n v="0.56000000000000005"/>
    <n v="0.21"/>
    <n v="3750"/>
    <n v="6518"/>
    <n v="6518"/>
    <n v="1500"/>
    <n v="10000"/>
    <n v="22082"/>
    <n v="334570.52416034281"/>
    <n v="0"/>
    <x v="14"/>
    <n v="67137.897824817963"/>
    <n v="0.76"/>
    <n v="0.26"/>
    <n v="0.27"/>
    <n v="0.47"/>
    <s v="The target beneficiaries are subject to receiving communitty acceptance to be able to implement as planned. Note that this project is aimed to leverage funds by gaining acceptance for a second phase larger response. "/>
  </r>
  <r>
    <x v="10"/>
    <s v="Solidarites"/>
    <x v="3"/>
    <m/>
    <s v="Emergency excreta removal (desludging) for Sittwe IDP camps"/>
    <d v="2013-06-13T00:00:00"/>
    <d v="2014-06-30T00:00:00"/>
    <s v="Completed"/>
    <x v="1"/>
    <n v="67000"/>
    <n v="1"/>
    <n v="1"/>
    <n v="0"/>
    <n v="0"/>
    <n v="67000"/>
    <n v="0"/>
    <n v="0"/>
    <n v="0"/>
    <n v="0"/>
    <n v="0"/>
    <n v="472492"/>
    <n v="249851.79057591624"/>
    <x v="15"/>
    <n v="0"/>
    <n v="1"/>
    <n v="1"/>
    <n v="0"/>
    <n v="0"/>
    <m/>
  </r>
  <r>
    <x v="10"/>
    <m/>
    <x v="0"/>
    <s v="Ausaid, G02701"/>
    <s v="EPR"/>
    <d v="2013-09-04T00:00:00"/>
    <d v="2014-07-31T00:00:00"/>
    <s v="Completed"/>
    <x v="1"/>
    <n v="25000"/>
    <n v="1"/>
    <n v="1"/>
    <n v="0"/>
    <n v="0"/>
    <n v="3750"/>
    <n v="25000"/>
    <n v="25000"/>
    <n v="0"/>
    <n v="0"/>
    <n v="0"/>
    <n v="307271"/>
    <n v="110803.78484848485"/>
    <x v="16"/>
    <n v="0"/>
    <n v="1"/>
    <n v="0.52065115158931363"/>
    <n v="0"/>
    <n v="0.48"/>
    <s v="up to 75 latrines, up to 100 water point chlorination, WASH for 2 CTC's"/>
  </r>
  <r>
    <x v="10"/>
    <m/>
    <x v="0"/>
    <s v="Japan"/>
    <s v="WASH Support for IDPs in Kyauk Phyu and Ramree Townships"/>
    <d v="2014-08-15T00:00:00"/>
    <d v="2015-04-14T00:00:00"/>
    <s v="Completed"/>
    <x v="2"/>
    <n v="19598"/>
    <n v="0.25"/>
    <n v="0.1"/>
    <n v="0"/>
    <n v="0.9"/>
    <n v="2020"/>
    <n v="2020"/>
    <n v="2020"/>
    <n v="3868"/>
    <n v="7031"/>
    <n v="6679"/>
    <n v="287381"/>
    <n v="0"/>
    <x v="17"/>
    <n v="123502.57851239669"/>
    <n v="0.26"/>
    <n v="0.21"/>
    <n v="0.4"/>
    <n v="0.39"/>
    <m/>
  </r>
  <r>
    <x v="10"/>
    <m/>
    <x v="0"/>
    <s v="SIDA"/>
    <s v="WASH Support for IDPs in Kyauk Phyu and Ramree Townships"/>
    <d v="2013-03-08T00:00:00"/>
    <d v="2013-06-07T00:00:00"/>
    <s v="Completed"/>
    <x v="1"/>
    <n v="2200"/>
    <n v="0.25"/>
    <n v="1"/>
    <n v="0"/>
    <n v="0"/>
    <n v="2200"/>
    <n v="2200"/>
    <n v="2200"/>
    <n v="0"/>
    <n v="0"/>
    <n v="0"/>
    <n v="217745"/>
    <n v="217745"/>
    <x v="0"/>
    <n v="0"/>
    <n v="1"/>
    <n v="0.26011560693641617"/>
    <n v="0.43"/>
    <n v="0.30635838150289019"/>
    <s v="64 new latrine+5 tube wells"/>
  </r>
  <r>
    <x v="10"/>
    <m/>
    <x v="0"/>
    <s v="OFDA"/>
    <s v="WASH Support for IDPs , villages and schools in Kyauk Phyu and Ramree Townships."/>
    <d v="2015-05-22T00:00:00"/>
    <d v="2016-05-21T00:00:00"/>
    <s v="Active"/>
    <x v="4"/>
    <n v="5589"/>
    <n v="0.27"/>
    <n v="0.31901950259438183"/>
    <n v="0"/>
    <n v="0.68098049740561817"/>
    <n v="1783"/>
    <n v="1783"/>
    <n v="1783"/>
    <n v="3806"/>
    <n v="3806"/>
    <n v="3806"/>
    <n v="196799.41"/>
    <n v="0"/>
    <x v="0"/>
    <n v="196799.41"/>
    <n v="0.32"/>
    <n v="0.33333333333333331"/>
    <n v="0.34"/>
    <n v="0.33333333333333331"/>
    <s v="With New CSO procedure "/>
  </r>
  <r>
    <x v="10"/>
    <m/>
    <x v="3"/>
    <m/>
    <s v="Wash and early recovery response in Kyauk taw and related villages"/>
    <d v="2015-06-15T00:00:00"/>
    <d v="2016-06-14T00:00:00"/>
    <s v="Active"/>
    <x v="4"/>
    <n v="21385"/>
    <n v="0.48499999999999999"/>
    <n v="0"/>
    <n v="0.41"/>
    <n v="0.59"/>
    <n v="6139"/>
    <n v="6139"/>
    <n v="6139"/>
    <n v="575"/>
    <n v="15246"/>
    <n v="15246"/>
    <n v="298002"/>
    <n v="0"/>
    <x v="0"/>
    <n v="298002"/>
    <n v="0.32"/>
    <n v="0.33333333333333331"/>
    <n v="0.34"/>
    <n v="0.33333333333333331"/>
    <s v="With New CSO procedure "/>
  </r>
  <r>
    <x v="11"/>
    <m/>
    <x v="0"/>
    <s v="Turkish"/>
    <s v="Provision of WASH Assistance for IDPs camps and villages in Mye Bon Township"/>
    <d v="2014-07-28T00:00:00"/>
    <d v="2015-03-27T00:00:00"/>
    <s v="Completed"/>
    <x v="2"/>
    <n v="9313"/>
    <n v="0.32513690540105228"/>
    <n v="0.33426393213787181"/>
    <n v="0.66573606786212824"/>
    <n v="0"/>
    <n v="3113"/>
    <n v="3113"/>
    <n v="3113"/>
    <n v="6200"/>
    <n v="6200"/>
    <n v="6200"/>
    <n v="480000"/>
    <n v="0"/>
    <x v="18"/>
    <n v="170578.51239669422"/>
    <n v="0.33426393213787181"/>
    <n v="0.33333333333333331"/>
    <n v="0.34"/>
    <n v="0.33"/>
    <m/>
  </r>
  <r>
    <x v="11"/>
    <m/>
    <x v="0"/>
    <s v="OFDA"/>
    <s v="Provision of WASH Assistance in two Camps in Myebon Township in Rakhine State"/>
    <d v="2013-05-15T00:00:00"/>
    <d v="2014-06-30T00:00:00"/>
    <s v="Completed"/>
    <x v="1"/>
    <n v="5148"/>
    <n v="0.94"/>
    <n v="1"/>
    <n v="0"/>
    <n v="0"/>
    <n v="4169"/>
    <n v="4169"/>
    <n v="4169"/>
    <n v="0"/>
    <n v="0"/>
    <n v="0"/>
    <n v="557333"/>
    <n v="313245.55474452558"/>
    <x v="19"/>
    <n v="0"/>
    <n v="1"/>
    <n v="0.47"/>
    <n v="0.21"/>
    <n v="0.32"/>
    <s v="Almost validated for cost extension"/>
  </r>
  <r>
    <x v="11"/>
    <m/>
    <x v="0"/>
    <s v="OFDA"/>
    <s v="Responding to WASH needs through a coordinated township approach in Myebon -Phase 3"/>
    <d v="2015-05-20T00:00:00"/>
    <d v="2016-05-19T00:00:00"/>
    <s v="Active"/>
    <x v="4"/>
    <n v="12078"/>
    <m/>
    <n v="0.26709720152343103"/>
    <n v="0"/>
    <n v="0.73290279847656892"/>
    <n v="3226"/>
    <n v="3226"/>
    <n v="3226"/>
    <n v="8852"/>
    <n v="8852"/>
    <n v="8852"/>
    <n v="219974.34"/>
    <n v="0"/>
    <x v="0"/>
    <n v="219974.34"/>
    <n v="0.26709720152343103"/>
    <n v="0.33333333333333331"/>
    <n v="0.34"/>
    <n v="0.33"/>
    <s v="with new CSO procedure"/>
  </r>
  <r>
    <x v="12"/>
    <s v="ACF/CDN/SI/OXFAM"/>
    <x v="11"/>
    <m/>
    <s v="To provide WASH and Nutrition support to 89,278 conflict-affected persons."/>
    <d v="2014-02-01T00:00:00"/>
    <d v="2015-03-31T00:00:00"/>
    <s v="Completed"/>
    <x v="2"/>
    <n v="117000"/>
    <n v="0.9"/>
    <n v="0.56000000000000005"/>
    <n v="0.15"/>
    <n v="0.28999999999999992"/>
    <n v="80751"/>
    <n v="80751"/>
    <n v="80751"/>
    <n v="37084"/>
    <n v="37084"/>
    <n v="37084"/>
    <n v="3449661"/>
    <n v="0"/>
    <x v="20"/>
    <n v="733970.42553191492"/>
    <n v="0.7"/>
    <n v="0.56999999999999995"/>
    <n v="0.13"/>
    <n v="0.3"/>
    <s v="WASH and Emergency Preparedeness and Response"/>
  </r>
  <r>
    <x v="12"/>
    <m/>
    <x v="12"/>
    <m/>
    <s v="Emergency WASH, Nutrition &amp; Health for conflict affected IDPs &amp; Host Communities in Rakhine State, Burma - 2014"/>
    <d v="2014-03-01T00:00:00"/>
    <d v="2015-06-30T00:00:00"/>
    <s v="Active"/>
    <x v="2"/>
    <n v="9158"/>
    <n v="0.65"/>
    <n v="0.26"/>
    <n v="0.4"/>
    <n v="0.34"/>
    <n v="2405"/>
    <n v="2405"/>
    <n v="2405"/>
    <n v="2701.2000000000003"/>
    <n v="6753"/>
    <n v="6753"/>
    <n v="726000"/>
    <n v="0"/>
    <x v="21"/>
    <n v="270382.71604938275"/>
    <n v="0.75"/>
    <n v="0.54"/>
    <n v="0.17"/>
    <n v="0.28999999999999998"/>
    <s v="WASH and Emergency Preparedeness and Response"/>
  </r>
  <r>
    <x v="12"/>
    <m/>
    <x v="2"/>
    <m/>
    <s v="MMR Humanitarian Assistance for Households Affected by Violence in Rakhine State, Burma"/>
    <d v="2013-08-01T00:00:00"/>
    <d v="2015-03-31T00:00:00"/>
    <s v="Completed"/>
    <x v="1"/>
    <n v="50281"/>
    <n v="0.93"/>
    <n v="0.84"/>
    <n v="0.05"/>
    <n v="0.11"/>
    <n v="26491"/>
    <n v="0"/>
    <n v="15618"/>
    <n v="0"/>
    <n v="0"/>
    <n v="8172"/>
    <n v="1310000"/>
    <n v="330197.69357495883"/>
    <x v="22"/>
    <n v="194233.93739703458"/>
    <n v="0.84"/>
    <n v="0.27"/>
    <n v="0"/>
    <n v="0.73"/>
    <s v="HK distribution and Drainage"/>
  </r>
  <r>
    <x v="12"/>
    <s v="ACF/CDN/SI"/>
    <x v="11"/>
    <m/>
    <s v="To provide WASH and Nutrition support to 89,278 conflict-affected persons."/>
    <d v="2013-05-01T00:00:00"/>
    <d v="2014-01-31T00:00:00"/>
    <s v="Completed"/>
    <x v="1"/>
    <n v="89278"/>
    <n v="1"/>
    <n v="0.64"/>
    <n v="0"/>
    <n v="0.36"/>
    <n v="57138"/>
    <n v="57138"/>
    <n v="57138"/>
    <n v="32140"/>
    <n v="32140"/>
    <n v="32140"/>
    <n v="3984393"/>
    <n v="3549731.9454545453"/>
    <x v="23"/>
    <n v="0"/>
    <n v="0.9"/>
    <n v="0.27"/>
    <n v="0.27"/>
    <n v="0.46"/>
    <s v="WASH and Emergency Preparedeness and Response"/>
  </r>
  <r>
    <x v="12"/>
    <m/>
    <x v="13"/>
    <m/>
    <s v="Emergency WASH Response, Pauktaw, Rakhine State, Myanmar"/>
    <d v="2013-05-01T00:00:00"/>
    <d v="2014-04-30T00:00:00"/>
    <s v="Completed"/>
    <x v="1"/>
    <n v="12394"/>
    <n v="0.79"/>
    <n v="0.4"/>
    <n v="0.21"/>
    <n v="0.39"/>
    <n v="3783"/>
    <n v="3783"/>
    <n v="3783"/>
    <n v="8611"/>
    <n v="8611"/>
    <n v="8611"/>
    <n v="765306"/>
    <n v="515109.80769230769"/>
    <x v="24"/>
    <n v="0"/>
    <n v="0.87"/>
    <n v="0.2"/>
    <n v="0.7"/>
    <n v="0.1"/>
    <s v="WASH and Emergency Preparedeness and Response"/>
  </r>
  <r>
    <x v="12"/>
    <m/>
    <x v="6"/>
    <m/>
    <s v="Emergency Assistance to Conflict Affected Populations in Myanmar"/>
    <d v="2013-05-01T00:00:00"/>
    <d v="2014-04-30T00:00:00"/>
    <s v="Completed"/>
    <x v="1"/>
    <n v="5865"/>
    <n v="1"/>
    <n v="0.9"/>
    <n v="0"/>
    <n v="0.1"/>
    <n v="5276"/>
    <n v="5279"/>
    <n v="5279"/>
    <n v="587"/>
    <n v="587"/>
    <n v="587"/>
    <n v="473200"/>
    <n v="318500"/>
    <x v="25"/>
    <n v="0"/>
    <n v="0.9"/>
    <n v="0.19"/>
    <n v="0.4"/>
    <n v="0.41"/>
    <s v="WASH and Emergency Preparedeness and Response"/>
  </r>
  <r>
    <x v="12"/>
    <s v="SI/CDN"/>
    <x v="11"/>
    <m/>
    <s v="Provision of Lifesaving Humanitarian Assistance to Children and their Families Affected by Violence In Rakhine State, Myanmar"/>
    <d v="2012-11-15T00:00:00"/>
    <d v="2013-04-30T00:00:00"/>
    <s v="Completed"/>
    <x v="0"/>
    <n v="81512"/>
    <n v="0.9"/>
    <n v="0.9"/>
    <m/>
    <n v="0.1"/>
    <n v="48680"/>
    <n v="69942"/>
    <n v="81512"/>
    <s v="N/A"/>
    <s v="N/A"/>
    <s v="N/A"/>
    <n v="2568595"/>
    <n v="2568595"/>
    <x v="0"/>
    <n v="0"/>
    <n v="0.9"/>
    <n v="0.27"/>
    <n v="0.27"/>
    <n v="0.46"/>
    <s v="WASH"/>
  </r>
  <r>
    <x v="12"/>
    <m/>
    <x v="2"/>
    <m/>
    <s v="MMR Humanitarian Assistance for Households Affected by Violence in Rakhine State, Burma"/>
    <d v="2012-11-20T00:00:00"/>
    <d v="2013-07-31T00:00:00"/>
    <s v="Completed"/>
    <x v="0"/>
    <n v="20054"/>
    <n v="0.999"/>
    <n v="1"/>
    <n v="0"/>
    <n v="0"/>
    <n v="800"/>
    <n v="0"/>
    <n v="20054"/>
    <n v="0"/>
    <n v="0"/>
    <n v="0"/>
    <n v="1000000"/>
    <n v="1000000"/>
    <x v="0"/>
    <n v="0"/>
    <n v="1"/>
    <n v="0.05"/>
    <n v="0"/>
    <n v="0.95"/>
    <s v="project started with 2 month delay. "/>
  </r>
  <r>
    <x v="12"/>
    <s v="ACF/SI/OXFAM"/>
    <x v="11"/>
    <m/>
    <s v="Provision of Lifesaving Humanitarian Assistance to Children and their Families Affected by violence and displacement in Rakhine State, Myanmar"/>
    <d v="2015-04-01T00:00:00"/>
    <d v="2016-03-31T00:00:00"/>
    <s v="Active"/>
    <x v="4"/>
    <n v="117000"/>
    <n v="0.9"/>
    <n v="0.56000000000000005"/>
    <n v="0.15"/>
    <n v="0.28999999999999992"/>
    <n v="80751"/>
    <n v="80751"/>
    <n v="80751"/>
    <n v="37084"/>
    <n v="37084"/>
    <n v="37084"/>
    <n v="2095794"/>
    <n v="0"/>
    <x v="0"/>
    <n v="2095794"/>
    <n v="0.7"/>
    <n v="0.35"/>
    <n v="7.0000000000000007E-2"/>
    <n v="0.27"/>
    <s v="project started with 2 month delay. "/>
  </r>
  <r>
    <x v="12"/>
    <m/>
    <x v="2"/>
    <m/>
    <s v="People affected by violence in Rakhine, Kachin and Northern Shan States (Burma) gain access to basic WASH facilities, essential non food items &amp; nutrition support"/>
    <d v="2015-04-01T00:00:00"/>
    <d v="2016-03-31T00:00:00"/>
    <s v="Active"/>
    <x v="4"/>
    <n v="9158"/>
    <n v="0.65"/>
    <n v="0.26"/>
    <n v="0.4"/>
    <n v="0.34"/>
    <n v="2405"/>
    <n v="2405"/>
    <n v="2405"/>
    <n v="2405"/>
    <n v="1688.25"/>
    <n v="6753"/>
    <n v="147500"/>
    <n v="0"/>
    <x v="0"/>
    <n v="147500"/>
    <n v="0.4"/>
    <n v="0.46"/>
    <n v="0.2"/>
    <n v="0.34"/>
    <s v="project started with 2 month delay. "/>
  </r>
  <r>
    <x v="13"/>
    <m/>
    <x v="2"/>
    <m/>
    <s v="Emergency WASH assistance and Food Security and Livelihood support to vulnerable populations affected by conflicts in Rakhine and Kachin States"/>
    <d v="2013-10-16T00:00:00"/>
    <d v="2015-06-30T00:00:00"/>
    <s v="Active"/>
    <x v="1"/>
    <n v="61900"/>
    <n v="0.95"/>
    <n v="0.64"/>
    <n v="0.08"/>
    <n v="0.28000000000000003"/>
    <n v="39900"/>
    <n v="39900"/>
    <n v="39900"/>
    <n v="22000"/>
    <n v="22000"/>
    <n v="22000"/>
    <n v="1525000"/>
    <n v="188786.1736334404"/>
    <x v="26"/>
    <n v="443770.09646302246"/>
    <n v="0.6"/>
    <n v="0.56999999999999995"/>
    <n v="0.21"/>
    <n v="0.22"/>
    <s v="Part of global project including Kachin._x000a_"/>
  </r>
  <r>
    <x v="13"/>
    <m/>
    <x v="0"/>
    <s v="Turkish,CERF, Aus Aid"/>
    <s v="Emergency water supply and sanitation services for IDPs affected by the violence of October 2012, in Rakhine State"/>
    <d v="2013-06-01T00:00:00"/>
    <d v="2014-10-31T00:00:00"/>
    <s v="Completed"/>
    <x v="1"/>
    <n v="12750"/>
    <n v="1"/>
    <n v="1"/>
    <n v="0"/>
    <n v="0"/>
    <n v="10250"/>
    <n v="10250"/>
    <n v="10250"/>
    <n v="2500"/>
    <n v="2500"/>
    <n v="2500"/>
    <n v="1352636"/>
    <n v="559891.88394584146"/>
    <x v="27"/>
    <n v="0"/>
    <n v="1"/>
    <n v="0.56000000000000005"/>
    <n v="0.42"/>
    <n v="0.02"/>
    <s v="Supplies for Hygiene Kits to be in kind by UNICEF support"/>
  </r>
  <r>
    <x v="13"/>
    <m/>
    <x v="6"/>
    <m/>
    <s v="Emergency Response to Conflict-affected populations in Rakhine States"/>
    <d v="2013-06-01T00:00:00"/>
    <d v="2014-08-30T00:00:00"/>
    <s v="Completed"/>
    <x v="1"/>
    <n v="29722"/>
    <n v="1"/>
    <n v="1"/>
    <n v="0"/>
    <n v="0"/>
    <n v="29722"/>
    <n v="29722"/>
    <n v="29722"/>
    <n v="0"/>
    <n v="0"/>
    <n v="0"/>
    <n v="401488.56"/>
    <n v="188831.98206593408"/>
    <x v="28"/>
    <n v="0"/>
    <n v="1"/>
    <n v="0.78"/>
    <n v="0.01"/>
    <n v="0.21"/>
    <s v="Part of global project including Kachin "/>
  </r>
  <r>
    <x v="13"/>
    <m/>
    <x v="0"/>
    <s v="OFDA"/>
    <s v="Emergency WASH response for internally Displaced Persons (IDPs) in Rakhine State Southern Kachin State"/>
    <d v="2012-11-27T00:00:00"/>
    <d v="2013-02-26T00:00:00"/>
    <s v="Completed"/>
    <x v="0"/>
    <n v="10000"/>
    <n v="1"/>
    <n v="1"/>
    <n v="0"/>
    <n v="0"/>
    <n v="10000"/>
    <n v="10000"/>
    <n v="10000"/>
    <n v="0"/>
    <n v="0"/>
    <n v="0"/>
    <n v="118000"/>
    <n v="118000"/>
    <x v="0"/>
    <n v="0"/>
    <n v="1"/>
    <n v="9.5238095238095233E-2"/>
    <n v="0.42"/>
    <n v="0.47619047619047616"/>
    <m/>
  </r>
  <r>
    <x v="13"/>
    <m/>
    <x v="2"/>
    <m/>
    <s v="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
    <d v="2013-05-01T00:00:00"/>
    <d v="2013-10-15T00:00:00"/>
    <s v="Completed"/>
    <x v="1"/>
    <n v="29722"/>
    <n v="1"/>
    <n v="1"/>
    <n v="0"/>
    <n v="0"/>
    <n v="29722"/>
    <n v="0"/>
    <n v="0"/>
    <n v="0"/>
    <n v="0"/>
    <n v="0"/>
    <n v="400000"/>
    <n v="400000"/>
    <x v="0"/>
    <n v="0"/>
    <n v="1"/>
    <n v="1"/>
    <n v="0"/>
    <n v="0"/>
    <m/>
  </r>
  <r>
    <x v="13"/>
    <m/>
    <x v="0"/>
    <s v="OFDA"/>
    <s v="Emergency water supply and sanitation services for IDPs affected by the violence of October 2012, in Rakhine State"/>
    <d v="2013-06-01T00:00:00"/>
    <d v="2013-05-31T00:00:00"/>
    <s v="Completed"/>
    <x v="1"/>
    <n v="12000"/>
    <n v="1"/>
    <n v="1"/>
    <n v="0"/>
    <n v="0"/>
    <n v="12000"/>
    <n v="12000"/>
    <n v="12000"/>
    <n v="0"/>
    <n v="0"/>
    <n v="0"/>
    <n v="421411"/>
    <n v="421411"/>
    <x v="0"/>
    <n v="0"/>
    <n v="1"/>
    <n v="0.9"/>
    <n v="0.1"/>
    <n v="0"/>
    <m/>
  </r>
  <r>
    <x v="13"/>
    <m/>
    <x v="2"/>
    <m/>
    <s v="Emergency WASH assistance and Food Security and Livelihood support to vulnerable populations affected by conflicts in Rakhine and Kachin States"/>
    <d v="2015-05-01T00:00:00"/>
    <d v="2016-04-30T00:00:00"/>
    <s v="In soumission"/>
    <x v="4"/>
    <n v="49132"/>
    <n v="0.95"/>
    <n v="0.9"/>
    <n v="0.1"/>
    <n v="0"/>
    <n v="44039"/>
    <n v="44039"/>
    <n v="44039"/>
    <n v="5093"/>
    <n v="5093"/>
    <n v="5093"/>
    <n v="500000"/>
    <n v="0"/>
    <x v="0"/>
    <n v="500000"/>
    <n v="0.9"/>
    <n v="0.25"/>
    <n v="0.41"/>
    <n v="0.34"/>
    <s v="Part of global project including Kachin State_x000a_"/>
  </r>
  <r>
    <x v="13"/>
    <m/>
    <x v="6"/>
    <m/>
    <s v="Improving water access, hygiene and sanitation conditions of the conflict affected population in Kachin and Rakhine States, Myanmar"/>
    <d v="2014-09-01T00:00:00"/>
    <d v="2015-08-30T00:00:00"/>
    <s v="Active"/>
    <x v="2"/>
    <n v="13103"/>
    <n v="1"/>
    <n v="0.83"/>
    <n v="0.17"/>
    <n v="0"/>
    <n v="10875"/>
    <n v="10875"/>
    <n v="10875"/>
    <n v="2228"/>
    <n v="2228"/>
    <n v="2228"/>
    <n v="566430"/>
    <n v="0"/>
    <x v="29"/>
    <n v="377620"/>
    <n v="1"/>
    <n v="0.38"/>
    <n v="0.04"/>
    <n v="0.57999999999999996"/>
    <s v="Part of global project including Kachin"/>
  </r>
  <r>
    <x v="14"/>
    <m/>
    <x v="0"/>
    <s v="OFDA"/>
    <s v="Emergency water supply for IDPs affected by inter-communal violence in Pauktaw Township,Rakhine State."/>
    <d v="2015-01-01T00:00:00"/>
    <d v="2015-06-30T00:00:00"/>
    <s v="Active"/>
    <x v="4"/>
    <n v="11020"/>
    <n v="1"/>
    <n v="1"/>
    <n v="0"/>
    <n v="0"/>
    <n v="0"/>
    <n v="11020"/>
    <n v="0"/>
    <n v="0"/>
    <n v="0"/>
    <n v="0"/>
    <n v="320000"/>
    <n v="0"/>
    <x v="0"/>
    <n v="320000"/>
    <n v="1"/>
    <n v="0"/>
    <n v="1"/>
    <n v="0"/>
    <s v="Water supply project "/>
  </r>
  <r>
    <x v="13"/>
    <m/>
    <x v="6"/>
    <m/>
    <s v="Improving water access, hygiene and sanitation conditions of the conflict affected population in Kachin and Rakhine States, Myanmar"/>
    <d v="2015-09-01T00:00:00"/>
    <d v="2016-05-30T00:00:00"/>
    <s v="In soumission"/>
    <x v="4"/>
    <n v="12822"/>
    <n v="1"/>
    <n v="0.86"/>
    <n v="0.14000000000000001"/>
    <n v="0"/>
    <n v="11020"/>
    <n v="11020"/>
    <n v="11020"/>
    <n v="1802"/>
    <n v="1802"/>
    <n v="1802"/>
    <n v="562920"/>
    <n v="0"/>
    <x v="0"/>
    <n v="562920"/>
    <n v="1"/>
    <n v="0.44"/>
    <n v="0.17"/>
    <n v="0.39"/>
    <s v="Part of global project including Kachin"/>
  </r>
  <r>
    <x v="15"/>
    <m/>
    <x v="14"/>
    <m/>
    <m/>
    <d v="2014-04-01T00:00:00"/>
    <d v="2015-03-31T00:00:00"/>
    <s v="Completed"/>
    <x v="2"/>
    <m/>
    <m/>
    <m/>
    <m/>
    <m/>
    <m/>
    <m/>
    <m/>
    <m/>
    <m/>
    <m/>
    <n v="750000"/>
    <n v="0"/>
    <x v="30"/>
    <n v="185439.56043956045"/>
    <m/>
    <m/>
    <m/>
    <m/>
    <m/>
  </r>
  <r>
    <x v="15"/>
    <m/>
    <x v="2"/>
    <m/>
    <m/>
    <d v="2014-04-01T00:00:00"/>
    <d v="2014-10-30T00:00:00"/>
    <s v="Completed"/>
    <x v="2"/>
    <m/>
    <m/>
    <m/>
    <m/>
    <m/>
    <m/>
    <m/>
    <m/>
    <m/>
    <m/>
    <m/>
    <n v="700000"/>
    <n v="0"/>
    <x v="31"/>
    <n v="0"/>
    <m/>
    <m/>
    <m/>
    <m/>
    <m/>
  </r>
  <r>
    <x v="15"/>
    <m/>
    <x v="2"/>
    <m/>
    <m/>
    <d v="2012-10-19T00:00:00"/>
    <d v="2014-10-30T00:00:00"/>
    <s v="Completed"/>
    <x v="0"/>
    <n v="39402"/>
    <n v="0.87881325821024314"/>
    <n v="0.63646515405309378"/>
    <n v="0.36353484594690627"/>
    <n v="0"/>
    <n v="24685"/>
    <n v="24685"/>
    <n v="24685"/>
    <n v="14717"/>
    <n v="14717"/>
    <n v="14717"/>
    <n v="1480532"/>
    <n v="877130.29419703106"/>
    <x v="32"/>
    <n v="0"/>
    <n v="0.87455279561484733"/>
    <n v="0.46"/>
    <n v="0.37"/>
    <n v="0.17"/>
    <m/>
  </r>
  <r>
    <x v="15"/>
    <m/>
    <x v="2"/>
    <m/>
    <m/>
    <d v="2015-01-01T00:00:00"/>
    <d v="2015-01-31T00:00:00"/>
    <s v="Active"/>
    <x v="4"/>
    <m/>
    <m/>
    <m/>
    <m/>
    <m/>
    <m/>
    <m/>
    <m/>
    <m/>
    <m/>
    <m/>
    <n v="700000"/>
    <n v="0"/>
    <x v="0"/>
    <n v="700000"/>
    <m/>
    <m/>
    <m/>
    <m/>
    <m/>
  </r>
  <r>
    <x v="15"/>
    <m/>
    <x v="13"/>
    <m/>
    <m/>
    <d v="2013-06-04T00:00:00"/>
    <d v="2014-05-31T00:00:00"/>
    <s v="Completed"/>
    <x v="1"/>
    <n v="34638"/>
    <n v="1"/>
    <n v="1"/>
    <n v="0"/>
    <n v="0"/>
    <n v="12116"/>
    <n v="33366"/>
    <n v="33366"/>
    <m/>
    <m/>
    <m/>
    <n v="1445085"/>
    <n v="844634.1689750693"/>
    <x v="33"/>
    <n v="0"/>
    <m/>
    <m/>
    <m/>
    <m/>
    <m/>
  </r>
  <r>
    <x v="15"/>
    <m/>
    <x v="15"/>
    <m/>
    <m/>
    <d v="2014-02-07T00:00:00"/>
    <d v="2015-02-06T00:00:00"/>
    <s v="Completed"/>
    <x v="2"/>
    <m/>
    <m/>
    <m/>
    <m/>
    <m/>
    <m/>
    <m/>
    <m/>
    <m/>
    <m/>
    <m/>
    <n v="515403.64"/>
    <n v="0"/>
    <x v="34"/>
    <n v="52389.930439560441"/>
    <m/>
    <m/>
    <m/>
    <m/>
    <m/>
  </r>
  <r>
    <x v="15"/>
    <m/>
    <x v="16"/>
    <m/>
    <m/>
    <d v="2013-10-01T00:00:00"/>
    <d v="2017-12-31T00:00:00"/>
    <s v="Completed"/>
    <x v="1"/>
    <m/>
    <m/>
    <m/>
    <m/>
    <m/>
    <m/>
    <m/>
    <m/>
    <m/>
    <m/>
    <m/>
    <n v="78819.31"/>
    <n v="4672.2786855670129"/>
    <x v="35"/>
    <n v="55661.05912371134"/>
    <m/>
    <m/>
    <m/>
    <m/>
    <m/>
  </r>
  <r>
    <x v="15"/>
    <m/>
    <x v="17"/>
    <m/>
    <m/>
    <d v="2012-08-10T00:00:00"/>
    <d v="2013-02-10T00:00:00"/>
    <s v="Completed"/>
    <x v="0"/>
    <n v="39730"/>
    <n v="0"/>
    <n v="1"/>
    <n v="0"/>
    <n v="0"/>
    <n v="4730"/>
    <n v="4730"/>
    <n v="39730"/>
    <m/>
    <m/>
    <m/>
    <n v="702075"/>
    <n v="702075"/>
    <x v="0"/>
    <n v="0"/>
    <m/>
    <m/>
    <m/>
    <m/>
    <m/>
  </r>
  <r>
    <x v="15"/>
    <m/>
    <x v="17"/>
    <m/>
    <m/>
    <d v="2012-12-04T00:00:00"/>
    <d v="2013-06-04T00:00:00"/>
    <s v="Completed"/>
    <x v="0"/>
    <n v="7314"/>
    <n v="0.54"/>
    <n v="0.98"/>
    <n v="0"/>
    <n v="0.02"/>
    <n v="7314"/>
    <n v="6922"/>
    <n v="7314"/>
    <m/>
    <m/>
    <m/>
    <n v="444050"/>
    <n v="444050"/>
    <x v="0"/>
    <n v="0"/>
    <m/>
    <m/>
    <m/>
    <m/>
    <m/>
  </r>
  <r>
    <x v="15"/>
    <m/>
    <x v="5"/>
    <m/>
    <m/>
    <d v="2012-12-01T00:00:00"/>
    <d v="2013-12-31T00:00:00"/>
    <s v="Completed"/>
    <x v="0"/>
    <n v="10300"/>
    <n v="0.79"/>
    <n v="1"/>
    <n v="0"/>
    <n v="0"/>
    <n v="10300"/>
    <n v="10300"/>
    <n v="10300"/>
    <m/>
    <m/>
    <m/>
    <n v="2373163"/>
    <n v="2373163"/>
    <x v="0"/>
    <n v="0"/>
    <m/>
    <m/>
    <m/>
    <m/>
    <m/>
  </r>
  <r>
    <x v="15"/>
    <m/>
    <x v="17"/>
    <m/>
    <m/>
    <d v="2013-04-19T00:00:00"/>
    <d v="2013-10-19T00:00:00"/>
    <s v="Completed"/>
    <x v="1"/>
    <n v="9638"/>
    <n v="1"/>
    <n v="1"/>
    <n v="0"/>
    <n v="0"/>
    <n v="8636"/>
    <n v="8636"/>
    <n v="8636"/>
    <n v="2500"/>
    <n v="2500"/>
    <n v="2500"/>
    <n v="2000044"/>
    <n v="2000044"/>
    <x v="0"/>
    <n v="0"/>
    <m/>
    <m/>
    <m/>
    <m/>
    <m/>
  </r>
  <r>
    <x v="15"/>
    <m/>
    <x v="18"/>
    <m/>
    <m/>
    <d v="2013-04-25T00:00:00"/>
    <d v="2013-12-31T00:00:00"/>
    <s v="Completed"/>
    <x v="1"/>
    <n v="517"/>
    <n v="1"/>
    <n v="1"/>
    <n v="0"/>
    <n v="0"/>
    <n v="517"/>
    <n v="517"/>
    <n v="517"/>
    <m/>
    <m/>
    <m/>
    <n v="213220"/>
    <n v="213220"/>
    <x v="0"/>
    <n v="0"/>
    <m/>
    <m/>
    <m/>
    <m/>
    <m/>
  </r>
</pivotCacheRecords>
</file>

<file path=xl/pivotCache/pivotCacheRecords3.xml><?xml version="1.0" encoding="utf-8"?>
<pivotCacheRecords xmlns="http://schemas.openxmlformats.org/spreadsheetml/2006/main" xmlns:r="http://schemas.openxmlformats.org/officeDocument/2006/relationships" count="194">
  <r>
    <s v="Buthidaung"/>
    <s v="MMR012010042"/>
    <s v="Ah Lel Chaung"/>
    <s v="198334"/>
    <s v="Ah Lel Ywa"/>
    <m/>
    <m/>
    <x v="0"/>
    <s v="Muslim"/>
    <x v="0"/>
    <n v="0"/>
    <n v="0"/>
    <n v="422"/>
    <m/>
    <s v="1. Small"/>
    <s v="E.U."/>
    <m/>
    <s v="CARE"/>
    <s v="Covered"/>
    <d v="2016-01-07T00:00:00"/>
    <m/>
    <s v="Focal NGO"/>
    <n v="0"/>
    <n v="0"/>
    <s v="No"/>
    <n v="0"/>
    <n v="0"/>
    <n v="0"/>
    <n v="5"/>
    <m/>
    <n v="0"/>
    <n v="0"/>
    <n v="0"/>
    <n v="0"/>
    <n v="0"/>
    <n v="0"/>
    <n v="0"/>
    <n v="0"/>
    <s v="0-10%"/>
    <n v="0"/>
    <n v="0"/>
    <s v="yes"/>
    <n v="1.6879999999999999"/>
    <n v="0"/>
    <n v="0"/>
    <n v="0.9"/>
    <n v="379.8"/>
    <s v=" Planned Pond renovation with hand pump installation "/>
    <n v="0"/>
    <n v="15"/>
    <n v="42"/>
    <s v="Share Household Latriens"/>
    <n v="1"/>
    <n v="422"/>
    <n v="1"/>
    <n v="422"/>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9"/>
    <s v="Hpa Yar Pyin Aung Pa"/>
    <s v="198443"/>
    <s v="Aung Pa"/>
    <m/>
    <m/>
    <x v="0"/>
    <s v="Muslim"/>
    <x v="0"/>
    <n v="0"/>
    <n v="0"/>
    <n v="2430"/>
    <m/>
    <s v="3. Large"/>
    <s v="E.U."/>
    <m/>
    <s v="ACF"/>
    <s v="Covered"/>
    <d v="2016-01-07T00:00:00"/>
    <m/>
    <s v="Focal NGO"/>
    <n v="0"/>
    <n v="0"/>
    <s v="No"/>
    <n v="0"/>
    <n v="3"/>
    <n v="0"/>
    <n v="3"/>
    <m/>
    <n v="0"/>
    <n v="0"/>
    <n v="0.30864197530864196"/>
    <n v="750"/>
    <n v="0.30864197530864196"/>
    <n v="750"/>
    <n v="0.30864197530864196"/>
    <n v="750"/>
    <s v="30-45%"/>
    <n v="0"/>
    <n v="0"/>
    <s v="yes"/>
    <n v="6.7200000000000006"/>
    <n v="0"/>
    <n v="0"/>
    <n v="0.31"/>
    <n v="753.3"/>
    <m/>
    <n v="0"/>
    <n v="155"/>
    <n v="42"/>
    <s v="Household latrines"/>
    <n v="1"/>
    <n v="2430"/>
    <n v="1"/>
    <n v="2430"/>
    <n v="0"/>
    <n v="0"/>
    <s v="n/a"/>
    <s v="n/a"/>
    <n v="0"/>
    <s v="n/a"/>
    <s v="n/a"/>
    <s v="n/a"/>
    <s v="n/a"/>
    <s v="n/a"/>
    <s v="n/a"/>
    <s v="n/a"/>
    <s v="n/a"/>
    <s v="n/a"/>
    <s v="n/a"/>
    <n v="1"/>
    <s v="n/a"/>
    <s v="Latrines at each HH"/>
    <s v="n/a"/>
    <m/>
    <m/>
    <s v="n/a"/>
    <n v="0"/>
    <n v="0"/>
    <s v="n/a"/>
    <s v="n/a"/>
    <s v="n/a"/>
    <s v="n/a"/>
    <s v="HH latrine kits to be distributed"/>
    <n v="0.5"/>
    <n v="1215"/>
    <n v="0"/>
    <s v="Low coverage"/>
    <s v="n/a"/>
    <s v="n/a"/>
    <s v="Not yet set up"/>
    <s v="Set up but low results "/>
    <m/>
  </r>
  <r>
    <s v="Buthidaung"/>
    <s v="MMR012010013"/>
    <s v="Inn Chaung"/>
    <s v="198185"/>
    <s v="Ba Da Nar"/>
    <m/>
    <m/>
    <x v="0"/>
    <s v="Muslim"/>
    <x v="0"/>
    <n v="0"/>
    <n v="0"/>
    <n v="2526"/>
    <m/>
    <s v="3. Large"/>
    <s v="E.U."/>
    <m/>
    <s v="CARE"/>
    <s v="Covered"/>
    <d v="2016-01-07T00:00:00"/>
    <m/>
    <s v="Focal NGO"/>
    <n v="0"/>
    <n v="0"/>
    <s v="No"/>
    <n v="0"/>
    <n v="10"/>
    <n v="0"/>
    <n v="8"/>
    <m/>
    <n v="0"/>
    <n v="0"/>
    <n v="0.98970704671417264"/>
    <n v="2500"/>
    <n v="0.98970704671417264"/>
    <n v="2500"/>
    <n v="0.98970704671417264"/>
    <n v="2500"/>
    <s v="80-100%"/>
    <n v="0"/>
    <n v="0"/>
    <s v="yes"/>
    <n v="0.1039999999999992"/>
    <n v="0"/>
    <n v="0"/>
    <n v="0.99"/>
    <n v="2500.7399999999998"/>
    <s v=" Planned Pond renovation with hand pump installation "/>
    <n v="0"/>
    <n v="60"/>
    <n v="42"/>
    <s v="Share Household Latriens"/>
    <n v="0.99762470308788598"/>
    <n v="2520"/>
    <n v="0.99762470308788598"/>
    <n v="252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5"/>
    <s v="Wet Ma Kya (a) Zay Di Taung"/>
    <s v="198427"/>
    <s v="Baw Li "/>
    <m/>
    <m/>
    <x v="0"/>
    <s v="Mixed"/>
    <x v="0"/>
    <n v="0"/>
    <n v="0"/>
    <n v="547"/>
    <m/>
    <s v="2. Medium"/>
    <s v="E.U."/>
    <m/>
    <s v="CARE"/>
    <s v="Covered"/>
    <d v="2016-01-07T00:00:00"/>
    <m/>
    <s v="Focal NGO"/>
    <n v="0"/>
    <n v="0"/>
    <s v="No"/>
    <n v="0"/>
    <n v="0"/>
    <n v="0"/>
    <n v="2"/>
    <m/>
    <n v="0"/>
    <n v="0"/>
    <n v="0"/>
    <n v="0"/>
    <n v="0"/>
    <n v="0"/>
    <n v="0"/>
    <n v="0"/>
    <s v="0-10%"/>
    <n v="0"/>
    <n v="0"/>
    <s v="yes"/>
    <n v="2.1880000000000002"/>
    <n v="0"/>
    <n v="0"/>
    <n v="0.9"/>
    <n v="492.3"/>
    <s v=" Planned Pond renovation with hand pump installation "/>
    <n v="0"/>
    <n v="15"/>
    <n v="42"/>
    <s v="Share Household Latriens"/>
    <n v="1"/>
    <n v="547"/>
    <n v="1"/>
    <n v="547"/>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0"/>
    <s v="Lay Myo"/>
    <s v="198367"/>
    <s v="Chaung Pauk"/>
    <m/>
    <m/>
    <x v="0"/>
    <s v="Muslim"/>
    <x v="0"/>
    <n v="0"/>
    <n v="0"/>
    <n v="639"/>
    <m/>
    <s v="2. Medium"/>
    <s v="E.U."/>
    <m/>
    <s v="CARE"/>
    <s v="Covered"/>
    <d v="2016-01-07T00:00:00"/>
    <m/>
    <s v="Focal NGO"/>
    <n v="0"/>
    <n v="0"/>
    <s v="No"/>
    <n v="2"/>
    <n v="0"/>
    <n v="0"/>
    <n v="2"/>
    <m/>
    <n v="0"/>
    <n v="0"/>
    <n v="0.78247261345852892"/>
    <n v="500"/>
    <n v="0.78247261345852892"/>
    <n v="500"/>
    <n v="0.78247261345852892"/>
    <n v="500"/>
    <s v="60-80%"/>
    <n v="0"/>
    <n v="0"/>
    <s v="yes"/>
    <n v="0.55600000000000005"/>
    <n v="0"/>
    <n v="0"/>
    <n v="0.9"/>
    <n v="575.1"/>
    <s v=" Planned Pond renovation with hand pump installation "/>
    <n v="0"/>
    <n v="10"/>
    <n v="42"/>
    <s v="Share Household Latriens"/>
    <n v="0.65727699530516437"/>
    <n v="420.00000000000006"/>
    <n v="0.65727699530516437"/>
    <n v="420.00000000000006"/>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37"/>
    <s v="Let Wea Det Pu Zun Chaung"/>
    <s v="198317"/>
    <s v="Doe Tan"/>
    <m/>
    <m/>
    <x v="0"/>
    <s v="Muslim"/>
    <x v="0"/>
    <n v="0"/>
    <n v="0"/>
    <n v="155"/>
    <m/>
    <s v="1. Small"/>
    <s v="E.U."/>
    <m/>
    <s v="CARE"/>
    <s v="Covered"/>
    <d v="2016-01-07T00:00:00"/>
    <m/>
    <s v="Focal NGO"/>
    <n v="0"/>
    <n v="0"/>
    <s v="No"/>
    <n v="0"/>
    <n v="0"/>
    <n v="0"/>
    <n v="1"/>
    <m/>
    <n v="0"/>
    <n v="0"/>
    <n v="0"/>
    <n v="0"/>
    <n v="0"/>
    <n v="0"/>
    <n v="0"/>
    <n v="0"/>
    <s v="0-10%"/>
    <n v="0"/>
    <n v="0"/>
    <s v="yes"/>
    <n v="0.62"/>
    <n v="0"/>
    <n v="0"/>
    <n v="0.9"/>
    <n v="139.5"/>
    <s v=" Planned Pond renovation with hand pump installation "/>
    <n v="0"/>
    <n v="2"/>
    <n v="42"/>
    <s v="Share Household Latriens"/>
    <n v="0.54193548387096779"/>
    <n v="84.000000000000014"/>
    <n v="0.54193548387096779"/>
    <n v="84.000000000000014"/>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47"/>
    <s v="Kin Taung (a) Kyar Nyo Pyin"/>
    <s v="217876"/>
    <s v="Done Thein"/>
    <m/>
    <m/>
    <x v="0"/>
    <s v="Rakhine"/>
    <x v="0"/>
    <n v="0"/>
    <n v="0"/>
    <n v="153"/>
    <m/>
    <s v="1. Small"/>
    <s v="E.U."/>
    <m/>
    <s v="CARE"/>
    <s v="Covered"/>
    <d v="2016-01-07T00:00:00"/>
    <m/>
    <s v="Focal NGO"/>
    <n v="0"/>
    <n v="0"/>
    <s v="No"/>
    <n v="0"/>
    <n v="0"/>
    <n v="0"/>
    <n v="3"/>
    <m/>
    <n v="0"/>
    <n v="0"/>
    <n v="0"/>
    <n v="0"/>
    <n v="0"/>
    <n v="0"/>
    <n v="0"/>
    <n v="0"/>
    <s v="0-10%"/>
    <n v="0"/>
    <n v="0"/>
    <s v="yes"/>
    <n v="0.61199999999999999"/>
    <n v="0"/>
    <n v="0"/>
    <n v="0.9"/>
    <n v="137.70000000000002"/>
    <s v="1- pond renovated with hand pumps"/>
    <n v="0"/>
    <n v="5"/>
    <n v="42"/>
    <s v="Share Household Latriens"/>
    <n v="1"/>
    <n v="153"/>
    <n v="1"/>
    <n v="153"/>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NA"/>
    <s v="NA"/>
    <m/>
    <s v="Gan Gaw Myaing ( Na Ta La )"/>
    <m/>
    <m/>
    <x v="0"/>
    <s v="Rakhine"/>
    <x v="0"/>
    <n v="0"/>
    <n v="0"/>
    <n v="574"/>
    <m/>
    <s v="2. Medium"/>
    <s v="E.U."/>
    <m/>
    <s v="ACF"/>
    <s v="Covered"/>
    <d v="2016-01-07T00:00:00"/>
    <m/>
    <s v="Focal NGO"/>
    <n v="0"/>
    <n v="0"/>
    <s v="No"/>
    <n v="0"/>
    <n v="3"/>
    <n v="0"/>
    <n v="0"/>
    <m/>
    <n v="0"/>
    <n v="0"/>
    <n v="1"/>
    <n v="574"/>
    <n v="1"/>
    <n v="574"/>
    <n v="1"/>
    <n v="574"/>
    <s v="80-100%"/>
    <n v="0"/>
    <n v="0"/>
    <s v="no"/>
    <n v="0"/>
    <n v="0"/>
    <n v="0"/>
    <n v="1"/>
    <n v="574"/>
    <m/>
    <n v="0"/>
    <n v="2"/>
    <n v="42"/>
    <s v="Mixed"/>
    <n v="0.14634146341463414"/>
    <n v="84"/>
    <n v="0.14634146341463414"/>
    <n v="84"/>
    <n v="0"/>
    <n v="0"/>
    <s v="n/a"/>
    <s v="n/a"/>
    <n v="0"/>
    <s v="n/a"/>
    <s v="n/a"/>
    <s v="n/a"/>
    <s v="n/a"/>
    <s v="n/a"/>
    <s v="n/a"/>
    <s v="n/a"/>
    <s v="n/a"/>
    <s v="n/a"/>
    <s v="n/a"/>
    <n v="1"/>
    <s v="n/a"/>
    <s v="Latrines at each HH"/>
    <s v="n/a"/>
    <m/>
    <m/>
    <s v="n/a"/>
    <n v="0"/>
    <n v="0"/>
    <s v="n/a"/>
    <s v="n/a"/>
    <s v="n/a"/>
    <s v="n/a"/>
    <s v="HH latrine kits to be distributed"/>
    <n v="0.4"/>
    <n v="229.60000000000002"/>
    <n v="0"/>
    <s v="Low coverage"/>
    <s v="n/a"/>
    <s v="n/a"/>
    <s v="Not yet set up"/>
    <s v="Set up but low results "/>
    <m/>
  </r>
  <r>
    <s v="Buthidaung"/>
    <s v="MMR012010066"/>
    <s v="Thay Kan Gwa Son"/>
    <s v="198429"/>
    <s v="Gaung Gyi"/>
    <m/>
    <m/>
    <x v="0"/>
    <s v="Muslim"/>
    <x v="0"/>
    <n v="0"/>
    <n v="0"/>
    <n v="227"/>
    <m/>
    <s v="1. Small"/>
    <s v="E.U."/>
    <m/>
    <s v="ACF"/>
    <s v="Covered"/>
    <d v="2016-01-07T00:00:00"/>
    <m/>
    <s v="Focal NGO"/>
    <n v="0"/>
    <n v="0"/>
    <s v="No"/>
    <n v="0"/>
    <n v="0"/>
    <n v="0"/>
    <n v="1"/>
    <m/>
    <n v="0"/>
    <n v="0"/>
    <n v="0"/>
    <n v="0"/>
    <n v="0"/>
    <n v="0"/>
    <n v="0"/>
    <n v="0"/>
    <s v="0-10%"/>
    <n v="0"/>
    <n v="0"/>
    <s v="yes"/>
    <n v="0.90800000000000003"/>
    <n v="0"/>
    <n v="0"/>
    <m/>
    <n v="0"/>
    <m/>
    <n v="0"/>
    <n v="2"/>
    <n v="42"/>
    <s v="Household latrines"/>
    <n v="0.37004405286343611"/>
    <n v="84"/>
    <n v="0.37004405286343611"/>
    <n v="84"/>
    <n v="0"/>
    <n v="0"/>
    <s v="n/a"/>
    <s v="n/a"/>
    <n v="0"/>
    <s v="n/a"/>
    <s v="n/a"/>
    <s v="n/a"/>
    <s v="n/a"/>
    <s v="n/a"/>
    <s v="n/a"/>
    <s v="n/a"/>
    <s v="n/a"/>
    <s v="n/a"/>
    <s v="n/a"/>
    <n v="1"/>
    <s v="n/a"/>
    <s v="Latrines at each HH"/>
    <s v="n/a"/>
    <m/>
    <m/>
    <s v="n/a"/>
    <n v="0"/>
    <n v="0"/>
    <s v="n/a"/>
    <s v="n/a"/>
    <s v="n/a"/>
    <s v="n/a"/>
    <s v="HH latrine kits to be distributed"/>
    <n v="1"/>
    <n v="227"/>
    <n v="2"/>
    <s v="Low coverage"/>
    <s v="n/a"/>
    <s v="n/a"/>
    <s v="Not yet set up"/>
    <s v="Set up but low results "/>
    <m/>
  </r>
  <r>
    <s v="Buthidaung"/>
    <m/>
    <m/>
    <m/>
    <s v="Godzilla (Hteik Tu Pauk Myauk)"/>
    <m/>
    <m/>
    <x v="0"/>
    <s v="Muslim"/>
    <x v="0"/>
    <n v="0"/>
    <n v="0"/>
    <n v="420"/>
    <m/>
    <s v="1. Small"/>
    <s v="E.U."/>
    <m/>
    <s v="CARE"/>
    <s v="Covered"/>
    <d v="2016-01-07T00:00:00"/>
    <m/>
    <s v="Focal NGO"/>
    <n v="0"/>
    <n v="0"/>
    <s v="No"/>
    <n v="0"/>
    <n v="0"/>
    <n v="0"/>
    <n v="2"/>
    <m/>
    <n v="0"/>
    <n v="0"/>
    <n v="0"/>
    <n v="0"/>
    <n v="0"/>
    <n v="0"/>
    <n v="0"/>
    <n v="0"/>
    <s v="0-10%"/>
    <n v="0"/>
    <n v="0"/>
    <s v="yes"/>
    <n v="1.68"/>
    <n v="0"/>
    <n v="0"/>
    <n v="0.9"/>
    <n v="378"/>
    <s v=" Planned Pond renovation with hand pump installation "/>
    <n v="0"/>
    <n v="9"/>
    <n v="42"/>
    <s v="Share Household Latriens"/>
    <n v="0.9"/>
    <n v="378"/>
    <n v="0.9"/>
    <n v="378"/>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5"/>
    <s v="Gu Dar Pyin"/>
    <s v="198390"/>
    <s v="Gudar Pyin"/>
    <m/>
    <m/>
    <x v="0"/>
    <s v="Muslim"/>
    <x v="0"/>
    <n v="0"/>
    <n v="0"/>
    <n v="1794"/>
    <m/>
    <s v="3. Large"/>
    <s v="E.U."/>
    <m/>
    <s v="ACF"/>
    <s v="Covered"/>
    <d v="2016-01-07T00:00:00"/>
    <m/>
    <s v="Focal NGO"/>
    <n v="0"/>
    <n v="0"/>
    <s v="No"/>
    <n v="0"/>
    <n v="0"/>
    <n v="0"/>
    <n v="2"/>
    <m/>
    <n v="0"/>
    <n v="0"/>
    <n v="0"/>
    <n v="0"/>
    <n v="0"/>
    <n v="0"/>
    <n v="0"/>
    <n v="0"/>
    <s v="0-10%"/>
    <n v="0"/>
    <n v="0"/>
    <s v="yes"/>
    <n v="7.1760000000000002"/>
    <n v="0"/>
    <n v="0"/>
    <m/>
    <n v="0"/>
    <m/>
    <n v="0"/>
    <n v="116"/>
    <n v="42"/>
    <s v="Share Household Latriens"/>
    <n v="1"/>
    <n v="1794"/>
    <n v="1"/>
    <n v="1794"/>
    <n v="0"/>
    <n v="0"/>
    <s v="n/a"/>
    <s v="n/a"/>
    <n v="0"/>
    <s v="n/a"/>
    <s v="n/a"/>
    <s v="n/a"/>
    <s v="n/a"/>
    <s v="n/a"/>
    <s v="n/a"/>
    <s v="n/a"/>
    <s v="n/a"/>
    <s v="n/a"/>
    <s v="n/a"/>
    <n v="1"/>
    <s v="n/a"/>
    <s v="Latrines at each HH"/>
    <s v="n/a"/>
    <m/>
    <m/>
    <s v="n/a"/>
    <n v="0"/>
    <n v="0"/>
    <s v="n/a"/>
    <s v="n/a"/>
    <s v="n/a"/>
    <s v="n/a"/>
    <s v="HH latrine kits to be distributed"/>
    <n v="0"/>
    <n v="0"/>
    <n v="0"/>
    <s v="Low coverage"/>
    <s v="n/a"/>
    <s v="n/a"/>
    <s v="Not yet set up"/>
    <s v="Set up but low results "/>
    <m/>
  </r>
  <r>
    <s v="Buthidaung"/>
    <s v="MMR012010066"/>
    <s v="Thay Kan Gwa Son"/>
    <s v="198431"/>
    <s v="Gwa Sone Muslim"/>
    <m/>
    <m/>
    <x v="0"/>
    <s v="Muslim"/>
    <x v="0"/>
    <n v="0"/>
    <n v="0"/>
    <n v="1337"/>
    <m/>
    <s v="3. Large"/>
    <s v="E.U."/>
    <m/>
    <s v="ACF"/>
    <s v="Covered"/>
    <d v="2016-01-07T00:00:00"/>
    <m/>
    <s v="Focal NGO"/>
    <n v="0"/>
    <n v="0"/>
    <s v="No"/>
    <n v="0"/>
    <n v="0"/>
    <n v="0"/>
    <n v="2"/>
    <m/>
    <n v="0"/>
    <n v="0"/>
    <n v="0"/>
    <n v="0"/>
    <n v="0"/>
    <n v="0"/>
    <n v="0"/>
    <n v="0"/>
    <s v="0-10%"/>
    <n v="0"/>
    <n v="0"/>
    <s v="yes"/>
    <n v="5.3479999999999999"/>
    <n v="0"/>
    <n v="0"/>
    <m/>
    <n v="0"/>
    <m/>
    <n v="0"/>
    <n v="22"/>
    <n v="42"/>
    <s v="Household latrines"/>
    <n v="0.69109947643979053"/>
    <n v="923.99999999999989"/>
    <n v="0.69109947643979053"/>
    <n v="923.99999999999989"/>
    <n v="0"/>
    <n v="0"/>
    <s v="n/a"/>
    <s v="n/a"/>
    <n v="0"/>
    <s v="n/a"/>
    <s v="n/a"/>
    <s v="n/a"/>
    <s v="n/a"/>
    <s v="n/a"/>
    <s v="n/a"/>
    <s v="n/a"/>
    <s v="n/a"/>
    <s v="n/a"/>
    <s v="n/a"/>
    <n v="1"/>
    <s v="n/a"/>
    <s v="Latrines at each HH"/>
    <s v="n/a"/>
    <m/>
    <m/>
    <s v="n/a"/>
    <n v="0"/>
    <n v="0"/>
    <s v="n/a"/>
    <s v="n/a"/>
    <s v="n/a"/>
    <s v="n/a"/>
    <s v="HH latrine kits to be distributed"/>
    <n v="0.8"/>
    <n v="1069.6000000000001"/>
    <n v="0"/>
    <s v="Low coverage"/>
    <s v="n/a"/>
    <s v="n/a"/>
    <s v="Not yet set up"/>
    <s v="Set up but low results "/>
    <m/>
  </r>
  <r>
    <s v="Buthidaung"/>
    <s v="MMR012010066"/>
    <s v="Thay Kan Gwa Son"/>
    <s v="198428"/>
    <s v="Gwa Sone Rakhine"/>
    <m/>
    <m/>
    <x v="0"/>
    <s v="Rakhine"/>
    <x v="0"/>
    <n v="0"/>
    <n v="0"/>
    <n v="563"/>
    <m/>
    <s v="2. Medium"/>
    <s v="E.U."/>
    <m/>
    <s v="ACF"/>
    <s v="Covered"/>
    <d v="2016-01-07T00:00:00"/>
    <m/>
    <s v="Focal NGO"/>
    <n v="0"/>
    <n v="0"/>
    <s v="No"/>
    <n v="0"/>
    <n v="0"/>
    <n v="0"/>
    <n v="3"/>
    <m/>
    <n v="0"/>
    <n v="0"/>
    <n v="0"/>
    <n v="0"/>
    <n v="0"/>
    <n v="0"/>
    <n v="0"/>
    <n v="0"/>
    <s v="0-10%"/>
    <n v="0"/>
    <n v="0"/>
    <s v="yes"/>
    <n v="2.2519999999999998"/>
    <n v="0"/>
    <n v="0"/>
    <m/>
    <n v="0"/>
    <m/>
    <n v="0"/>
    <n v="13"/>
    <n v="42"/>
    <s v="Share Household Latriens"/>
    <n v="0.96980461811722918"/>
    <n v="546"/>
    <n v="0.96980461811722918"/>
    <n v="546"/>
    <n v="0"/>
    <n v="0"/>
    <s v="n/a"/>
    <s v="n/a"/>
    <n v="0"/>
    <s v="n/a"/>
    <s v="n/a"/>
    <s v="n/a"/>
    <s v="n/a"/>
    <s v="n/a"/>
    <s v="n/a"/>
    <s v="n/a"/>
    <s v="n/a"/>
    <s v="n/a"/>
    <s v="n/a"/>
    <n v="1"/>
    <s v="n/a"/>
    <s v="Latrines at each HH"/>
    <s v="n/a"/>
    <m/>
    <m/>
    <s v="n/a"/>
    <n v="0"/>
    <n v="0"/>
    <s v="n/a"/>
    <s v="n/a"/>
    <s v="n/a"/>
    <s v="n/a"/>
    <s v="HH latrine kits to be distributed"/>
    <n v="0.2"/>
    <n v="112.60000000000001"/>
    <n v="2"/>
    <s v="Low coverage"/>
    <s v="n/a"/>
    <s v="n/a"/>
    <s v="Not yet set up"/>
    <s v="Set up but low results "/>
    <m/>
  </r>
  <r>
    <s v="Buthidaung"/>
    <s v="MMR012010071"/>
    <s v="Thein Taung Pyin"/>
    <s v="217884"/>
    <s v="Hla Tha Ma"/>
    <m/>
    <m/>
    <x v="0"/>
    <s v="Muslim"/>
    <x v="0"/>
    <n v="0"/>
    <n v="0"/>
    <n v="260"/>
    <m/>
    <s v="1. Small"/>
    <s v="E.U."/>
    <m/>
    <s v="ACF"/>
    <s v="Covered"/>
    <d v="2016-01-07T00:00:00"/>
    <m/>
    <s v="Focal NGO"/>
    <n v="0"/>
    <n v="0"/>
    <s v="No"/>
    <n v="0"/>
    <n v="0"/>
    <n v="0"/>
    <n v="1"/>
    <m/>
    <n v="0"/>
    <n v="0"/>
    <n v="0"/>
    <n v="0"/>
    <n v="0"/>
    <n v="0"/>
    <n v="0"/>
    <n v="0"/>
    <s v="0-10%"/>
    <n v="0"/>
    <n v="0"/>
    <s v="yes"/>
    <n v="1.04"/>
    <n v="0"/>
    <n v="0"/>
    <m/>
    <n v="0"/>
    <m/>
    <n v="0"/>
    <n v="6"/>
    <n v="42"/>
    <s v="Household latrines"/>
    <n v="0.96923076923076923"/>
    <n v="252"/>
    <n v="0.96923076923076923"/>
    <n v="252"/>
    <n v="0"/>
    <n v="0"/>
    <s v="n/a"/>
    <s v="n/a"/>
    <n v="0"/>
    <s v="n/a"/>
    <s v="n/a"/>
    <s v="n/a"/>
    <s v="n/a"/>
    <s v="n/a"/>
    <s v="n/a"/>
    <s v="n/a"/>
    <s v="n/a"/>
    <s v="n/a"/>
    <s v="n/a"/>
    <n v="1"/>
    <s v="n/a"/>
    <s v="Latrines at each HH"/>
    <s v="n/a"/>
    <m/>
    <m/>
    <s v="n/a"/>
    <n v="0"/>
    <n v="0"/>
    <s v="n/a"/>
    <s v="n/a"/>
    <s v="n/a"/>
    <s v="n/a"/>
    <s v="HH latrine kits to be distributed"/>
    <n v="1"/>
    <n v="260"/>
    <n v="3"/>
    <s v="Low coverage"/>
    <s v="n/a"/>
    <s v="n/a"/>
    <s v="Not yet set up"/>
    <s v="Set up but low results "/>
    <m/>
  </r>
  <r>
    <s v="Buthidaung"/>
    <s v="MMR012010013"/>
    <s v="Inn Chaung"/>
    <s v="198183"/>
    <s v="Inn Chaung (Daing Net)"/>
    <m/>
    <m/>
    <x v="0"/>
    <s v="Daing Net"/>
    <x v="0"/>
    <n v="0"/>
    <n v="0"/>
    <n v="374"/>
    <m/>
    <s v="1. Small"/>
    <s v="E.U."/>
    <m/>
    <s v="CARE"/>
    <s v="Covered"/>
    <d v="2016-01-07T00:00:00"/>
    <m/>
    <s v="Focal NGO"/>
    <n v="0"/>
    <n v="0"/>
    <s v="No"/>
    <n v="0"/>
    <n v="1"/>
    <n v="0"/>
    <n v="2"/>
    <m/>
    <n v="0"/>
    <n v="0"/>
    <n v="0.66844919786096257"/>
    <n v="250"/>
    <n v="0.66844919786096257"/>
    <n v="250"/>
    <n v="0.66844919786096257"/>
    <n v="250"/>
    <s v="60-80%"/>
    <n v="0"/>
    <n v="0"/>
    <s v="yes"/>
    <n v="0.496"/>
    <n v="0"/>
    <n v="0"/>
    <n v="0.9"/>
    <n v="336.6"/>
    <s v=" Planned Pond renovation with hand pump installation "/>
    <n v="0"/>
    <n v="2"/>
    <n v="42"/>
    <s v="Share Household Latriens"/>
    <n v="0.22459893048128343"/>
    <n v="84"/>
    <n v="0.22459893048128343"/>
    <n v="84"/>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13"/>
    <s v="Inn Chaung"/>
    <s v="198187"/>
    <s v="Inn Chaung (Muslim)"/>
    <m/>
    <m/>
    <x v="0"/>
    <s v="Muslim"/>
    <x v="0"/>
    <n v="0"/>
    <n v="0"/>
    <n v="229"/>
    <m/>
    <s v="1. Small"/>
    <s v="E.U."/>
    <m/>
    <s v="CARE"/>
    <s v="Covered"/>
    <d v="2016-01-07T00:00:00"/>
    <m/>
    <s v="Focal NGO"/>
    <n v="0"/>
    <n v="0"/>
    <s v="No"/>
    <n v="0"/>
    <n v="1"/>
    <n v="0"/>
    <n v="3"/>
    <m/>
    <n v="0"/>
    <n v="0"/>
    <n v="1"/>
    <n v="229"/>
    <n v="1"/>
    <n v="229"/>
    <n v="1"/>
    <n v="229"/>
    <s v="80-100%"/>
    <n v="0"/>
    <n v="0"/>
    <s v="yes"/>
    <n v="0"/>
    <n v="0"/>
    <n v="0"/>
    <n v="1"/>
    <n v="229"/>
    <s v=" Planned Pond renovation with hand pump installation "/>
    <n v="0"/>
    <n v="3"/>
    <n v="42"/>
    <s v="Share Household Latriens"/>
    <n v="0.55021834061135366"/>
    <n v="125.99999999999999"/>
    <n v="0.55021834061135366"/>
    <n v="125.99999999999999"/>
    <n v="0"/>
    <n v="0"/>
    <s v="n/a"/>
    <s v="n/a"/>
    <n v="0"/>
    <s v="n/a"/>
    <s v="n/a"/>
    <s v="n/a"/>
    <s v="n/a"/>
    <s v="n/a"/>
    <s v="n/a"/>
    <s v="n/a"/>
    <s v="n/a"/>
    <s v="n/a"/>
    <s v="n/a"/>
    <n v="0.7"/>
    <s v="n/a"/>
    <s v=" Required Latrines for  HHs , Public &amp; schools"/>
    <s v="n/a"/>
    <m/>
    <m/>
    <s v="n/a"/>
    <n v="0"/>
    <n v="0"/>
    <s v="n/a"/>
    <s v="n/a"/>
    <s v="n/a"/>
    <s v="n/a"/>
    <s v=" Hygiene kits to be distributed"/>
    <n v="0"/>
    <n v="0"/>
    <n v="0"/>
    <s v="Low coverage"/>
    <s v="n/a"/>
    <s v="n/a"/>
    <s v="Not yet set up"/>
    <s v="Set up but low results "/>
    <s v="75 (%) of water facilities will be manage by community themselves at end of project"/>
  </r>
  <r>
    <s v="Buthidaung"/>
    <s v="MMR012010033"/>
    <s v="Nan Yar Kone"/>
    <s v="198301"/>
    <s v="Ka Doe Seik"/>
    <m/>
    <m/>
    <x v="0"/>
    <s v="Muslim"/>
    <x v="0"/>
    <n v="0"/>
    <n v="0"/>
    <n v="1450"/>
    <m/>
    <s v="3. Large"/>
    <s v="E.U."/>
    <m/>
    <s v="ACF"/>
    <s v="Covered"/>
    <d v="2016-01-07T00:00:00"/>
    <m/>
    <s v="Focal NGO"/>
    <n v="0"/>
    <n v="0"/>
    <s v="No"/>
    <n v="0"/>
    <n v="1"/>
    <n v="0"/>
    <n v="1"/>
    <m/>
    <n v="0"/>
    <n v="0"/>
    <n v="0.17241379310344829"/>
    <n v="250.00000000000003"/>
    <n v="0.17241379310344829"/>
    <n v="250.00000000000003"/>
    <n v="0.17241379310344829"/>
    <n v="250.00000000000003"/>
    <s v="15-30%"/>
    <n v="0"/>
    <n v="0"/>
    <s v="yes"/>
    <n v="4.8"/>
    <n v="0"/>
    <n v="0"/>
    <n v="0.17"/>
    <n v="246.50000000000003"/>
    <m/>
    <n v="0"/>
    <n v="52"/>
    <n v="42"/>
    <s v="Share Household Latriens"/>
    <n v="1"/>
    <n v="1450"/>
    <n v="1"/>
    <n v="1450"/>
    <n v="0"/>
    <n v="0"/>
    <s v="n/a"/>
    <s v="n/a"/>
    <n v="0"/>
    <s v="n/a"/>
    <s v="n/a"/>
    <s v="n/a"/>
    <s v="n/a"/>
    <s v="n/a"/>
    <s v="n/a"/>
    <s v="n/a"/>
    <s v="n/a"/>
    <s v="n/a"/>
    <s v="n/a"/>
    <n v="1"/>
    <s v="n/a"/>
    <s v="Latrines at each HH"/>
    <s v="n/a"/>
    <m/>
    <m/>
    <s v="n/a"/>
    <n v="0"/>
    <n v="0"/>
    <s v="n/a"/>
    <s v="n/a"/>
    <s v="n/a"/>
    <s v="n/a"/>
    <s v="HH latrine kits to be distributed"/>
    <n v="0.8"/>
    <n v="1160"/>
    <n v="0"/>
    <s v="Low coverage"/>
    <s v="n/a"/>
    <s v="n/a"/>
    <s v="Not yet set up"/>
    <s v="Set up but low results "/>
    <m/>
  </r>
  <r>
    <s v="Buthidaung"/>
    <s v="MMR012010063"/>
    <s v="Say Taung"/>
    <s v="198419"/>
    <s v="Kan Pyin"/>
    <m/>
    <m/>
    <x v="0"/>
    <s v="Rakhine"/>
    <x v="0"/>
    <n v="0"/>
    <n v="0"/>
    <n v="303"/>
    <m/>
    <s v="1. Small"/>
    <s v="E.U."/>
    <m/>
    <s v="CARE"/>
    <s v="Covered"/>
    <d v="2016-01-07T00:00:00"/>
    <m/>
    <s v="Focal NGO"/>
    <n v="0"/>
    <n v="0"/>
    <s v="No"/>
    <n v="0"/>
    <n v="0"/>
    <n v="0"/>
    <n v="2"/>
    <m/>
    <n v="0"/>
    <n v="0"/>
    <n v="0"/>
    <n v="0"/>
    <n v="0"/>
    <n v="0"/>
    <n v="0"/>
    <n v="0"/>
    <s v="0-10%"/>
    <n v="0"/>
    <n v="0"/>
    <s v="yes"/>
    <n v="1.212"/>
    <n v="0"/>
    <n v="0"/>
    <n v="0.9"/>
    <n v="272.7"/>
    <s v=" Planned Pond renovation with hand pump installation "/>
    <n v="0"/>
    <n v="0"/>
    <n v="42"/>
    <s v="Share Household Latriens"/>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70"/>
    <s v="Ah Htet Kywe Cho Maw (a)Nyaung Chaung Kywe Gyo Maw"/>
    <s v="198444"/>
    <s v="Kar Di (Kywe Cho Maw)"/>
    <m/>
    <m/>
    <x v="0"/>
    <s v="Muslim"/>
    <x v="0"/>
    <n v="0"/>
    <n v="0"/>
    <n v="727"/>
    <m/>
    <s v="2. Medium"/>
    <s v="E.U."/>
    <m/>
    <s v="CARE"/>
    <s v="Covered"/>
    <d v="2016-01-07T00:00:00"/>
    <m/>
    <s v="Focal NGO"/>
    <n v="0"/>
    <n v="0"/>
    <s v="No"/>
    <n v="0"/>
    <n v="0"/>
    <n v="0"/>
    <n v="4"/>
    <m/>
    <n v="0"/>
    <n v="0"/>
    <n v="0"/>
    <n v="0"/>
    <n v="0"/>
    <n v="0"/>
    <n v="0"/>
    <n v="0"/>
    <s v="0-10%"/>
    <n v="0"/>
    <n v="0"/>
    <s v="yes"/>
    <n v="2.9079999999999999"/>
    <n v="0"/>
    <n v="0"/>
    <n v="0.9"/>
    <n v="654.30000000000007"/>
    <s v=" Planned Pond renovation with hand pump installation "/>
    <n v="0"/>
    <n v="12"/>
    <n v="42"/>
    <s v="Share Household Latriens"/>
    <n v="0.69325997248968363"/>
    <n v="504"/>
    <n v="0.69325997248968363"/>
    <n v="504"/>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09"/>
    <s v="Laung Chaung"/>
    <s v="217866"/>
    <s v="Kha Yu Chaung (Muslim)"/>
    <m/>
    <m/>
    <x v="0"/>
    <s v="Muslim"/>
    <x v="0"/>
    <n v="0"/>
    <n v="0"/>
    <n v="844"/>
    <m/>
    <s v="2. Medium"/>
    <s v="E.U."/>
    <m/>
    <s v="CARE"/>
    <s v="Covered"/>
    <d v="2016-01-07T00:00:00"/>
    <m/>
    <s v="Focal NGO"/>
    <n v="0"/>
    <n v="0"/>
    <s v="No"/>
    <n v="0"/>
    <n v="0"/>
    <n v="0"/>
    <n v="4"/>
    <m/>
    <n v="0"/>
    <n v="0"/>
    <n v="0"/>
    <n v="0"/>
    <n v="0"/>
    <n v="0"/>
    <n v="0"/>
    <n v="0"/>
    <s v="0-10%"/>
    <n v="0"/>
    <n v="0"/>
    <s v="yes"/>
    <n v="3.3759999999999999"/>
    <n v="0"/>
    <n v="0"/>
    <n v="0.9"/>
    <n v="759.6"/>
    <s v=" 1- spring cash flow renovated"/>
    <n v="0"/>
    <n v="10"/>
    <n v="42"/>
    <s v="Share Household Latriens"/>
    <n v="0.49763033175355448"/>
    <n v="420"/>
    <n v="0.49763033175355448"/>
    <n v="42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47"/>
    <s v="Kin Taung (a) Kyar Nyo Pyin"/>
    <s v="198356"/>
    <s v="Kin Taung (Taung + Myauk)"/>
    <m/>
    <m/>
    <x v="0"/>
    <s v="Muslim"/>
    <x v="0"/>
    <n v="0"/>
    <n v="0"/>
    <n v="5040"/>
    <m/>
    <s v="3. Large"/>
    <s v="E.U."/>
    <m/>
    <s v="CARE"/>
    <s v="Covered"/>
    <d v="2016-01-07T00:00:00"/>
    <m/>
    <s v="Focal NGO"/>
    <n v="0"/>
    <n v="0"/>
    <s v="No"/>
    <n v="3"/>
    <n v="18"/>
    <n v="0"/>
    <n v="7"/>
    <m/>
    <n v="0"/>
    <n v="0"/>
    <n v="1"/>
    <n v="5040"/>
    <n v="1"/>
    <n v="5040"/>
    <n v="1"/>
    <n v="5040"/>
    <s v="80-100%"/>
    <n v="0"/>
    <n v="0"/>
    <s v="yes"/>
    <n v="0"/>
    <n v="0"/>
    <n v="0"/>
    <n v="1"/>
    <n v="5040"/>
    <s v=" Planned Pond renovation with hand pump installation "/>
    <n v="0"/>
    <n v="5"/>
    <n v="42"/>
    <s v="Share Household Latriens"/>
    <n v="4.1666666666666664E-2"/>
    <n v="210"/>
    <n v="4.1666666666666664E-2"/>
    <n v="21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0"/>
    <s v="Lay Myo"/>
    <s v="198369"/>
    <s v="Kyar Nyo Pyin (Muslim)"/>
    <m/>
    <m/>
    <x v="0"/>
    <s v="Muslim"/>
    <x v="0"/>
    <n v="0"/>
    <n v="0"/>
    <n v="440"/>
    <m/>
    <s v="1. Small"/>
    <s v="E.U."/>
    <m/>
    <s v="CARE"/>
    <s v="Covered"/>
    <d v="2016-01-07T00:00:00"/>
    <m/>
    <s v="Focal NGO"/>
    <n v="0"/>
    <n v="0"/>
    <s v="No"/>
    <n v="0"/>
    <n v="0"/>
    <n v="0"/>
    <n v="1"/>
    <m/>
    <n v="0"/>
    <n v="0"/>
    <n v="0"/>
    <n v="0"/>
    <n v="0"/>
    <n v="0"/>
    <n v="0"/>
    <n v="0"/>
    <s v="0-10%"/>
    <n v="0"/>
    <n v="0"/>
    <s v="yes"/>
    <n v="1.76"/>
    <n v="0"/>
    <n v="0"/>
    <n v="0.9"/>
    <n v="396"/>
    <s v=" Planned Pond renovation with hand pump installation "/>
    <n v="0"/>
    <n v="12"/>
    <n v="42"/>
    <s v="Share Household Latriens"/>
    <n v="1"/>
    <n v="440"/>
    <n v="1"/>
    <n v="44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0"/>
    <s v="Lay Myo"/>
    <s v="198368"/>
    <s v="Kyar Nyo Pyin (Rakhine)_x000a_+ Pyar Yae"/>
    <m/>
    <m/>
    <x v="0"/>
    <s v="Rakhine"/>
    <x v="0"/>
    <n v="0"/>
    <n v="0"/>
    <n v="412"/>
    <m/>
    <s v="1. Small"/>
    <s v="E.U."/>
    <m/>
    <s v="CARE"/>
    <s v="Covered"/>
    <d v="2016-01-07T00:00:00"/>
    <m/>
    <s v="Focal NGO"/>
    <n v="0"/>
    <n v="0"/>
    <s v="No"/>
    <n v="0"/>
    <n v="0"/>
    <n v="0"/>
    <n v="3"/>
    <m/>
    <n v="0"/>
    <n v="0"/>
    <n v="0"/>
    <n v="0"/>
    <n v="0"/>
    <n v="0"/>
    <n v="0"/>
    <n v="0"/>
    <s v="0-10%"/>
    <n v="0"/>
    <n v="0"/>
    <s v="yes"/>
    <n v="1.6479999999999999"/>
    <n v="0"/>
    <n v="0"/>
    <n v="0.9"/>
    <n v="370.8"/>
    <s v=" Planned Pond renovation with hand pump installation "/>
    <n v="0"/>
    <n v="20"/>
    <n v="42"/>
    <s v="Share Household Latriens"/>
    <n v="1"/>
    <n v="412"/>
    <n v="1"/>
    <n v="412"/>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4"/>
    <s v="Thaing Ta Poke"/>
    <s v="198422"/>
    <s v="Kyauk Pyin Seik"/>
    <m/>
    <m/>
    <x v="0"/>
    <s v="Rakhine"/>
    <x v="0"/>
    <n v="0"/>
    <n v="0"/>
    <n v="609"/>
    <m/>
    <s v="2. Medium"/>
    <s v="E.U."/>
    <m/>
    <s v="CARE"/>
    <s v="Covered"/>
    <d v="2016-01-07T00:00:00"/>
    <m/>
    <s v="Focal NGO"/>
    <n v="0"/>
    <n v="0"/>
    <s v="No"/>
    <n v="0"/>
    <n v="0"/>
    <n v="0"/>
    <n v="3"/>
    <m/>
    <n v="0"/>
    <n v="0"/>
    <n v="0"/>
    <n v="0"/>
    <n v="0"/>
    <n v="0"/>
    <n v="0"/>
    <n v="0"/>
    <s v="0-10%"/>
    <n v="0"/>
    <n v="0"/>
    <s v="yes"/>
    <n v="2.4359999999999999"/>
    <n v="0"/>
    <n v="0"/>
    <n v="0.9"/>
    <n v="548.1"/>
    <s v=" Planned Pond renovation with hand pump installation "/>
    <n v="0"/>
    <n v="3"/>
    <n v="42"/>
    <s v="Share Household Latriens"/>
    <n v="0.20689655172413793"/>
    <n v="126"/>
    <n v="0.20689655172413793"/>
    <n v="126"/>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5"/>
    <s v="Gu Dar Pyin"/>
    <s v="217879"/>
    <s v="Kyauk Sar Dine"/>
    <m/>
    <m/>
    <x v="0"/>
    <s v="Rakhine"/>
    <x v="0"/>
    <n v="0"/>
    <n v="0"/>
    <n v="343"/>
    <m/>
    <s v="1. Small"/>
    <s v="E.U."/>
    <m/>
    <s v="ACF"/>
    <s v="Covered"/>
    <d v="2016-01-07T00:00:00"/>
    <m/>
    <s v="Focal NGO"/>
    <n v="0"/>
    <n v="0"/>
    <s v="No"/>
    <n v="1"/>
    <n v="0"/>
    <n v="0"/>
    <n v="1"/>
    <m/>
    <n v="0"/>
    <n v="0"/>
    <n v="0.7288629737609329"/>
    <n v="249.99999999999997"/>
    <n v="0.7288629737609329"/>
    <n v="249.99999999999997"/>
    <n v="0.7288629737609329"/>
    <n v="249.99999999999997"/>
    <s v="60-80%"/>
    <n v="0"/>
    <n v="0"/>
    <s v="yes"/>
    <n v="0.37200000000000011"/>
    <n v="0"/>
    <n v="0"/>
    <n v="0.73"/>
    <n v="250.39"/>
    <m/>
    <n v="0"/>
    <n v="2"/>
    <n v="42"/>
    <s v="Mixed"/>
    <n v="0.24489795918367346"/>
    <n v="84"/>
    <n v="0.24489795918367346"/>
    <n v="84"/>
    <n v="0"/>
    <n v="0"/>
    <s v="n/a"/>
    <s v="n/a"/>
    <n v="0"/>
    <s v="n/a"/>
    <s v="n/a"/>
    <s v="n/a"/>
    <s v="n/a"/>
    <s v="n/a"/>
    <s v="n/a"/>
    <s v="n/a"/>
    <s v="n/a"/>
    <s v="n/a"/>
    <s v="n/a"/>
    <n v="1"/>
    <s v="n/a"/>
    <s v="Latrines at each HH"/>
    <s v="n/a"/>
    <m/>
    <m/>
    <s v="n/a"/>
    <n v="0"/>
    <n v="0"/>
    <s v="n/a"/>
    <s v="n/a"/>
    <s v="n/a"/>
    <s v="n/a"/>
    <s v="HH latrine kits to be distributed"/>
    <n v="0"/>
    <n v="0"/>
    <n v="0"/>
    <s v="Low coverage"/>
    <s v="n/a"/>
    <s v="n/a"/>
    <s v="Not yet set up"/>
    <s v="Set up but low results "/>
    <m/>
  </r>
  <r>
    <s v="Buthidaung"/>
    <s v="MMR012010060"/>
    <s v="Kyauk Yant"/>
    <s v="198404"/>
    <s v="Kyauk Yan (Rakhine)"/>
    <m/>
    <m/>
    <x v="0"/>
    <s v="Rakhine"/>
    <x v="0"/>
    <n v="0"/>
    <n v="0"/>
    <n v="64"/>
    <m/>
    <s v="1. Small"/>
    <s v="E.U."/>
    <m/>
    <s v="CARE"/>
    <s v="Covered"/>
    <d v="2016-01-07T00:00:00"/>
    <m/>
    <s v="Focal NGO"/>
    <n v="0"/>
    <n v="0"/>
    <s v="No"/>
    <n v="0"/>
    <n v="0"/>
    <n v="0"/>
    <n v="1"/>
    <m/>
    <n v="0"/>
    <n v="0"/>
    <n v="0"/>
    <n v="0"/>
    <n v="0"/>
    <n v="0"/>
    <n v="0"/>
    <n v="0"/>
    <s v="0-10%"/>
    <n v="0"/>
    <n v="0"/>
    <s v="yes"/>
    <n v="0.25600000000000001"/>
    <n v="0"/>
    <n v="0"/>
    <n v="0.9"/>
    <n v="57.6"/>
    <s v=" Planned Pond renovation with hand pump installation "/>
    <n v="0"/>
    <n v="0"/>
    <n v="42"/>
    <s v="Share Household Latriens"/>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33"/>
    <s v="Nan Yar Kone"/>
    <s v="198303"/>
    <s v="Kyauk Yit Muslim"/>
    <m/>
    <m/>
    <x v="0"/>
    <s v="Muslim"/>
    <x v="0"/>
    <n v="0"/>
    <n v="0"/>
    <n v="121"/>
    <m/>
    <s v="1. Small"/>
    <s v="E.U."/>
    <m/>
    <s v="ACF"/>
    <s v="Covered"/>
    <d v="2016-01-07T00:00:00"/>
    <m/>
    <s v="Focal NGO"/>
    <n v="0"/>
    <n v="0"/>
    <s v="No"/>
    <n v="0"/>
    <n v="0"/>
    <n v="0"/>
    <n v="1"/>
    <m/>
    <n v="0"/>
    <n v="0"/>
    <n v="0"/>
    <n v="0"/>
    <n v="0"/>
    <n v="0"/>
    <n v="0"/>
    <n v="0"/>
    <s v="0-10%"/>
    <n v="0"/>
    <n v="0"/>
    <s v="yes"/>
    <n v="0.48399999999999999"/>
    <n v="0"/>
    <n v="0"/>
    <m/>
    <n v="0"/>
    <m/>
    <n v="0"/>
    <n v="2"/>
    <n v="42"/>
    <s v="Household latrines"/>
    <n v="0.69421487603305787"/>
    <n v="84"/>
    <n v="0.69421487603305787"/>
    <n v="84"/>
    <n v="0"/>
    <n v="0"/>
    <s v="n/a"/>
    <s v="n/a"/>
    <n v="0"/>
    <s v="n/a"/>
    <s v="n/a"/>
    <s v="n/a"/>
    <s v="n/a"/>
    <s v="n/a"/>
    <s v="n/a"/>
    <s v="n/a"/>
    <s v="n/a"/>
    <s v="n/a"/>
    <s v="n/a"/>
    <n v="1"/>
    <s v="n/a"/>
    <s v="Latrines at each HH"/>
    <s v="n/a"/>
    <m/>
    <m/>
    <s v="n/a"/>
    <n v="0"/>
    <n v="0"/>
    <s v="n/a"/>
    <s v="n/a"/>
    <s v="n/a"/>
    <s v="n/a"/>
    <s v="HH latrine kits to be distributed"/>
    <n v="1"/>
    <n v="121"/>
    <n v="0"/>
    <s v="Low coverage"/>
    <s v="n/a"/>
    <s v="n/a"/>
    <s v="Not yet set up"/>
    <s v="Set up but low results "/>
    <m/>
  </r>
  <r>
    <s v="Buthidaung"/>
    <s v="MMR012010033"/>
    <s v="Nan Yar Kone"/>
    <s v="198303"/>
    <s v="Kyauk Yit RK"/>
    <m/>
    <m/>
    <x v="0"/>
    <s v="Rakhine"/>
    <x v="0"/>
    <n v="0"/>
    <n v="0"/>
    <n v="69"/>
    <m/>
    <s v="1. Small"/>
    <s v="E.U."/>
    <m/>
    <s v="ACF"/>
    <s v="Covered"/>
    <d v="2016-01-07T00:00:00"/>
    <m/>
    <s v="Focal NGO"/>
    <n v="0"/>
    <n v="0"/>
    <s v="No"/>
    <n v="1"/>
    <n v="0"/>
    <n v="0"/>
    <n v="1"/>
    <m/>
    <n v="0"/>
    <n v="0"/>
    <n v="1"/>
    <n v="69"/>
    <n v="1"/>
    <n v="69"/>
    <n v="1"/>
    <n v="69"/>
    <s v="80-100%"/>
    <n v="0"/>
    <n v="0"/>
    <s v="yes"/>
    <n v="0"/>
    <n v="0"/>
    <n v="0"/>
    <n v="1"/>
    <n v="69"/>
    <m/>
    <n v="0"/>
    <n v="2"/>
    <n v="42"/>
    <s v="Household latrines"/>
    <n v="1"/>
    <n v="69"/>
    <n v="1"/>
    <n v="69"/>
    <n v="0"/>
    <n v="0"/>
    <s v="n/a"/>
    <s v="n/a"/>
    <n v="0"/>
    <s v="n/a"/>
    <s v="n/a"/>
    <s v="n/a"/>
    <s v="n/a"/>
    <s v="n/a"/>
    <s v="n/a"/>
    <s v="n/a"/>
    <s v="n/a"/>
    <s v="n/a"/>
    <s v="n/a"/>
    <n v="1"/>
    <s v="n/a"/>
    <s v="Latrines at each HH"/>
    <s v="n/a"/>
    <m/>
    <m/>
    <s v="n/a"/>
    <n v="0"/>
    <n v="0"/>
    <s v="n/a"/>
    <s v="n/a"/>
    <s v="n/a"/>
    <s v="n/a"/>
    <s v="HH latrine kits to be distributed"/>
    <n v="0"/>
    <n v="0"/>
    <n v="0"/>
    <s v="Low coverage"/>
    <s v="n/a"/>
    <s v="n/a"/>
    <s v="Not yet set up"/>
    <s v="Set up but low results "/>
    <m/>
  </r>
  <r>
    <s v="Buthidaung"/>
    <s v="MMR012010031"/>
    <s v="Tha Yet Kin Ma Nu"/>
    <s v="198292"/>
    <s v="Kyet Mauk Taung Myuak"/>
    <m/>
    <m/>
    <x v="0"/>
    <s v="Muslim"/>
    <x v="0"/>
    <n v="0"/>
    <n v="0"/>
    <n v="383"/>
    <m/>
    <s v="1. Small"/>
    <s v="E.U."/>
    <m/>
    <s v="CARE"/>
    <s v="Covered"/>
    <d v="2016-01-07T00:00:00"/>
    <m/>
    <s v="Focal NGO"/>
    <n v="0"/>
    <n v="0"/>
    <s v="No"/>
    <n v="0"/>
    <n v="0"/>
    <n v="0"/>
    <n v="2"/>
    <m/>
    <n v="0"/>
    <n v="0"/>
    <n v="0"/>
    <n v="0"/>
    <n v="0"/>
    <n v="0"/>
    <n v="0"/>
    <n v="0"/>
    <s v="0-10%"/>
    <n v="0"/>
    <n v="0"/>
    <s v="yes"/>
    <n v="1.532"/>
    <n v="0"/>
    <n v="0"/>
    <n v="0.9"/>
    <n v="344.7"/>
    <s v=" Planned Pond renovation with hand pump installation "/>
    <n v="0"/>
    <n v="5"/>
    <n v="42"/>
    <s v="Share Household Latriens"/>
    <n v="0.54830287206266315"/>
    <n v="210"/>
    <n v="0.54830287206266315"/>
    <n v="21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71"/>
    <s v="Thein Taung Pyin"/>
    <s v="217885"/>
    <s v="Langui"/>
    <m/>
    <m/>
    <x v="0"/>
    <s v="Muslim"/>
    <x v="0"/>
    <n v="0"/>
    <n v="0"/>
    <n v="353"/>
    <m/>
    <s v="1. Small"/>
    <s v="E.U."/>
    <m/>
    <s v="ACF"/>
    <s v="Covered"/>
    <d v="2016-01-07T00:00:00"/>
    <m/>
    <s v="Focal NGO"/>
    <n v="0"/>
    <n v="0"/>
    <s v="No"/>
    <n v="0"/>
    <n v="0"/>
    <n v="0"/>
    <n v="1"/>
    <m/>
    <n v="0"/>
    <n v="0"/>
    <n v="0"/>
    <n v="0"/>
    <n v="0"/>
    <n v="0"/>
    <n v="0"/>
    <n v="0"/>
    <s v="0-10%"/>
    <n v="0"/>
    <n v="0"/>
    <s v="yes"/>
    <n v="1.4119999999999999"/>
    <n v="0"/>
    <n v="0"/>
    <m/>
    <n v="0"/>
    <m/>
    <n v="0"/>
    <n v="10"/>
    <n v="42"/>
    <s v="Household latrines"/>
    <n v="1"/>
    <n v="353"/>
    <n v="1"/>
    <n v="353"/>
    <n v="0"/>
    <n v="0"/>
    <s v="n/a"/>
    <s v="n/a"/>
    <n v="0"/>
    <s v="n/a"/>
    <s v="n/a"/>
    <s v="n/a"/>
    <s v="n/a"/>
    <s v="n/a"/>
    <s v="n/a"/>
    <s v="n/a"/>
    <s v="n/a"/>
    <s v="n/a"/>
    <s v="n/a"/>
    <n v="1"/>
    <s v="n/a"/>
    <s v="Latrines at each HH"/>
    <s v="n/a"/>
    <m/>
    <m/>
    <s v="n/a"/>
    <n v="0"/>
    <n v="0"/>
    <s v="n/a"/>
    <s v="n/a"/>
    <s v="n/a"/>
    <s v="n/a"/>
    <s v="HH latrine kits to be distributed"/>
    <n v="1"/>
    <n v="353"/>
    <n v="2"/>
    <s v="Low coverage"/>
    <s v="n/a"/>
    <s v="n/a"/>
    <s v="Not yet set up"/>
    <s v="Set up but low results "/>
    <m/>
  </r>
  <r>
    <s v="Buthidaung"/>
    <s v="MMR012010009"/>
    <s v="Laung Chaung"/>
    <s v="198164"/>
    <s v="Laung Chaung (Daing Net)"/>
    <m/>
    <m/>
    <x v="0"/>
    <s v="Daing Net"/>
    <x v="0"/>
    <n v="0"/>
    <n v="0"/>
    <n v="834"/>
    <m/>
    <s v="2. Medium"/>
    <s v="E.U."/>
    <m/>
    <s v="CARE"/>
    <s v="Covered"/>
    <d v="2016-01-07T00:00:00"/>
    <m/>
    <s v="Focal NGO"/>
    <n v="0"/>
    <n v="0"/>
    <s v="No"/>
    <n v="0"/>
    <n v="0"/>
    <n v="0"/>
    <n v="2"/>
    <m/>
    <n v="0"/>
    <n v="0"/>
    <n v="0"/>
    <n v="0"/>
    <n v="0"/>
    <n v="0"/>
    <n v="0"/>
    <n v="0"/>
    <s v="0-10%"/>
    <n v="0"/>
    <n v="0"/>
    <s v="yes"/>
    <n v="3.3359999999999999"/>
    <n v="0"/>
    <n v="0"/>
    <n v="0.9"/>
    <n v="750.6"/>
    <s v=" 1- pond renovated"/>
    <n v="0"/>
    <n v="5"/>
    <n v="42"/>
    <s v="Share Household Latriens"/>
    <n v="0.25179856115107913"/>
    <n v="210"/>
    <n v="0.25179856115107913"/>
    <n v="21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42"/>
    <s v="Ah Lel Chaung"/>
    <s v="198335"/>
    <s v="Let Thar Ywa"/>
    <m/>
    <m/>
    <x v="0"/>
    <s v="Rakhine"/>
    <x v="0"/>
    <n v="0"/>
    <n v="0"/>
    <n v="62"/>
    <m/>
    <s v="1. Small"/>
    <s v="E.U."/>
    <m/>
    <s v="ACF"/>
    <s v="Covered"/>
    <d v="2016-01-07T00:00:00"/>
    <m/>
    <s v="Focal NGO"/>
    <n v="0"/>
    <n v="0"/>
    <s v="No"/>
    <n v="0"/>
    <n v="0"/>
    <n v="0"/>
    <n v="1"/>
    <m/>
    <n v="0"/>
    <n v="0"/>
    <n v="0"/>
    <n v="0"/>
    <n v="0"/>
    <n v="0"/>
    <n v="0"/>
    <n v="0"/>
    <s v="0-10%"/>
    <n v="0"/>
    <n v="0"/>
    <s v="yes"/>
    <n v="0.248"/>
    <n v="0"/>
    <n v="0"/>
    <m/>
    <n v="0"/>
    <m/>
    <n v="0"/>
    <n v="4"/>
    <n v="42"/>
    <s v="Mixed"/>
    <n v="1"/>
    <n v="62"/>
    <n v="1"/>
    <n v="62"/>
    <n v="0"/>
    <n v="0"/>
    <s v="n/a"/>
    <s v="n/a"/>
    <n v="0"/>
    <s v="n/a"/>
    <s v="n/a"/>
    <s v="n/a"/>
    <s v="n/a"/>
    <s v="n/a"/>
    <s v="n/a"/>
    <s v="n/a"/>
    <s v="n/a"/>
    <s v="n/a"/>
    <s v="n/a"/>
    <n v="1"/>
    <s v="n/a"/>
    <s v="Latrines at each HH"/>
    <s v="n/a"/>
    <m/>
    <m/>
    <s v="n/a"/>
    <n v="0"/>
    <n v="0"/>
    <s v="n/a"/>
    <s v="n/a"/>
    <s v="n/a"/>
    <s v="n/a"/>
    <s v="HH latrine kits to be distributed"/>
    <n v="0"/>
    <n v="0"/>
    <n v="0"/>
    <s v="Low coverage"/>
    <s v="n/a"/>
    <s v="n/a"/>
    <s v="Not yet set up"/>
    <s v="Set up but low results "/>
    <m/>
  </r>
  <r>
    <s v="Buthidaung"/>
    <s v="MMR012010037"/>
    <s v="Let Wea Det Pu Zun Chaung"/>
    <s v="198316"/>
    <s v="Let Wea Det"/>
    <m/>
    <m/>
    <x v="0"/>
    <s v="Muslim"/>
    <x v="0"/>
    <n v="0"/>
    <n v="0"/>
    <n v="1530"/>
    <m/>
    <s v="3. Large"/>
    <s v="E.U."/>
    <m/>
    <s v="CARE"/>
    <s v="Covered"/>
    <d v="2016-01-07T00:00:00"/>
    <m/>
    <s v="Focal NGO"/>
    <n v="0"/>
    <n v="0"/>
    <s v="No"/>
    <n v="0"/>
    <n v="1"/>
    <n v="0"/>
    <n v="1"/>
    <m/>
    <n v="0"/>
    <n v="0"/>
    <n v="0.16339869281045752"/>
    <n v="250"/>
    <n v="0.16339869281045752"/>
    <n v="250"/>
    <n v="0.16339869281045752"/>
    <n v="250"/>
    <s v="15-30%"/>
    <n v="0"/>
    <n v="0"/>
    <s v="yes"/>
    <n v="5.12"/>
    <n v="0"/>
    <n v="0"/>
    <n v="0.9"/>
    <n v="1377"/>
    <s v=" Planned Pond renovation with hand pump installation "/>
    <n v="0"/>
    <n v="20"/>
    <n v="42"/>
    <s v="Share Household Latriens"/>
    <n v="0.5490196078431373"/>
    <n v="840.00000000000011"/>
    <n v="0.5490196078431373"/>
    <n v="840.00000000000011"/>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6"/>
    <s v="Thay Kan Gwa Son"/>
    <s v="198432"/>
    <s v="Maw Staw Bis"/>
    <m/>
    <m/>
    <x v="0"/>
    <s v="Muslim"/>
    <x v="0"/>
    <n v="0"/>
    <n v="0"/>
    <n v="1948"/>
    <m/>
    <s v="3. Large"/>
    <s v="E.U."/>
    <m/>
    <s v="ACF"/>
    <s v="Covered"/>
    <d v="2016-01-07T00:00:00"/>
    <m/>
    <s v="Focal NGO"/>
    <n v="0"/>
    <n v="0"/>
    <s v="No"/>
    <n v="0"/>
    <n v="0"/>
    <n v="0"/>
    <n v="2"/>
    <m/>
    <n v="0"/>
    <n v="0"/>
    <n v="0"/>
    <n v="0"/>
    <n v="0"/>
    <n v="0"/>
    <n v="0"/>
    <n v="0"/>
    <s v="0-10%"/>
    <n v="0"/>
    <n v="0"/>
    <s v="yes"/>
    <n v="7.7919999999999998"/>
    <n v="0"/>
    <n v="0"/>
    <m/>
    <n v="0"/>
    <m/>
    <n v="0"/>
    <n v="66"/>
    <n v="42"/>
    <s v="Share Household Latriens"/>
    <n v="1"/>
    <n v="1948"/>
    <n v="1"/>
    <n v="1948"/>
    <n v="0"/>
    <n v="0"/>
    <s v="n/a"/>
    <s v="n/a"/>
    <n v="0"/>
    <s v="n/a"/>
    <s v="n/a"/>
    <s v="n/a"/>
    <s v="n/a"/>
    <s v="n/a"/>
    <s v="n/a"/>
    <s v="n/a"/>
    <s v="n/a"/>
    <s v="n/a"/>
    <s v="n/a"/>
    <n v="1"/>
    <s v="n/a"/>
    <s v="Latrines at each HH"/>
    <s v="n/a"/>
    <m/>
    <m/>
    <s v="n/a"/>
    <n v="0"/>
    <n v="0"/>
    <s v="n/a"/>
    <s v="n/a"/>
    <s v="n/a"/>
    <s v="n/a"/>
    <s v="HH latrine kits to be distributed"/>
    <n v="0.3"/>
    <n v="584.4"/>
    <n v="0"/>
    <s v="Low coverage"/>
    <s v="n/a"/>
    <s v="n/a"/>
    <s v="Not yet set up"/>
    <s v="Set up but low results "/>
    <m/>
  </r>
  <r>
    <s v="Buthidaung"/>
    <s v="MMR012010053"/>
    <s v="Tha Peik Taung"/>
    <s v="198379"/>
    <s v="Myauk Ywa"/>
    <m/>
    <m/>
    <x v="0"/>
    <s v="Muslim"/>
    <x v="0"/>
    <n v="0"/>
    <n v="0"/>
    <n v="283"/>
    <m/>
    <s v="1. Small"/>
    <s v="E.U."/>
    <m/>
    <s v="CARE"/>
    <s v="Covered"/>
    <d v="2016-01-07T00:00:00"/>
    <m/>
    <s v="Focal NGO"/>
    <n v="0"/>
    <n v="0"/>
    <s v="No"/>
    <n v="0"/>
    <n v="0"/>
    <n v="0"/>
    <n v="2"/>
    <m/>
    <n v="0"/>
    <n v="0"/>
    <n v="0"/>
    <n v="0"/>
    <n v="0"/>
    <n v="0"/>
    <n v="0"/>
    <n v="0"/>
    <s v="0-10%"/>
    <n v="0"/>
    <n v="0"/>
    <s v="yes"/>
    <n v="1.1319999999999999"/>
    <n v="0"/>
    <n v="0"/>
    <n v="0.9"/>
    <n v="254.70000000000002"/>
    <s v=" Planned Pond renovation with hand pump installation "/>
    <n v="0"/>
    <n v="5"/>
    <n v="42"/>
    <s v="Share Household Latriens"/>
    <n v="0.74204946996466437"/>
    <n v="210.00000000000003"/>
    <n v="0.74204946996466437"/>
    <n v="210.00000000000003"/>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m/>
    <m/>
    <s v=""/>
    <s v="Myauk Ywa (Kyet Mauk Taung)"/>
    <m/>
    <m/>
    <x v="0"/>
    <s v="Muslim"/>
    <x v="0"/>
    <n v="0"/>
    <n v="0"/>
    <n v="304"/>
    <m/>
    <s v="1. Small"/>
    <s v="E.U."/>
    <m/>
    <s v="CARE"/>
    <s v="Covered"/>
    <d v="2016-01-07T00:00:00"/>
    <m/>
    <s v="Focal NGO"/>
    <n v="0"/>
    <n v="0"/>
    <s v="No"/>
    <n v="0"/>
    <n v="0"/>
    <n v="0"/>
    <n v="4"/>
    <m/>
    <n v="0"/>
    <n v="0"/>
    <n v="0"/>
    <n v="0"/>
    <n v="0"/>
    <n v="0"/>
    <n v="0"/>
    <n v="0"/>
    <s v="0-10%"/>
    <n v="0"/>
    <n v="0"/>
    <s v="yes"/>
    <n v="1.216"/>
    <n v="0"/>
    <n v="0"/>
    <n v="0.9"/>
    <n v="273.60000000000002"/>
    <s v="1- spring cash flow renovated"/>
    <n v="0"/>
    <n v="0"/>
    <n v="42"/>
    <s v="Share Household Latriens"/>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41"/>
    <s v="Myaung Nar"/>
    <s v="198332"/>
    <s v="Myaung Nar"/>
    <m/>
    <m/>
    <x v="0"/>
    <s v="Muslim"/>
    <x v="0"/>
    <n v="0"/>
    <n v="0"/>
    <n v="276"/>
    <m/>
    <s v="1. Small"/>
    <s v="E.U."/>
    <m/>
    <s v="CARE"/>
    <s v="Covered"/>
    <d v="2016-01-07T00:00:00"/>
    <m/>
    <s v="Focal NGO"/>
    <n v="0"/>
    <n v="0"/>
    <s v="No"/>
    <n v="0"/>
    <n v="0"/>
    <n v="0"/>
    <n v="4"/>
    <m/>
    <n v="0"/>
    <n v="0"/>
    <n v="0"/>
    <n v="0"/>
    <n v="0"/>
    <n v="0"/>
    <n v="0"/>
    <n v="0"/>
    <s v="0-10%"/>
    <n v="0"/>
    <n v="0"/>
    <s v="yes"/>
    <n v="1.1040000000000001"/>
    <n v="0"/>
    <n v="0"/>
    <n v="0.9"/>
    <n v="248.4"/>
    <s v=" Planned Pond renovation with hand pump installation "/>
    <n v="0"/>
    <n v="20"/>
    <n v="42"/>
    <s v="Share Household Latriens"/>
    <n v="1"/>
    <n v="276"/>
    <n v="1"/>
    <n v="276"/>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33"/>
    <s v="Nan Yar Kone"/>
    <s v="217871"/>
    <s v="Nan Yah Gone Ahtet"/>
    <m/>
    <m/>
    <x v="0"/>
    <s v="Muslim"/>
    <x v="0"/>
    <n v="0"/>
    <n v="0"/>
    <n v="307"/>
    <m/>
    <s v="1. Small"/>
    <s v="E.U."/>
    <m/>
    <s v="ACF"/>
    <s v="Covered"/>
    <d v="2016-01-07T00:00:00"/>
    <m/>
    <s v="Focal NGO"/>
    <n v="0"/>
    <n v="0"/>
    <s v="No"/>
    <n v="0"/>
    <n v="0"/>
    <n v="0"/>
    <n v="1"/>
    <m/>
    <n v="0"/>
    <n v="0"/>
    <n v="0"/>
    <n v="0"/>
    <n v="0"/>
    <n v="0"/>
    <n v="0"/>
    <n v="0"/>
    <s v="0-10%"/>
    <n v="0"/>
    <n v="0"/>
    <s v="yes"/>
    <n v="1.228"/>
    <n v="0"/>
    <n v="0"/>
    <m/>
    <n v="0"/>
    <m/>
    <n v="0"/>
    <n v="23"/>
    <n v="42"/>
    <s v="Household latrines"/>
    <n v="1"/>
    <n v="307"/>
    <n v="1"/>
    <n v="307"/>
    <n v="0"/>
    <n v="0"/>
    <s v="n/a"/>
    <s v="n/a"/>
    <n v="0"/>
    <s v="n/a"/>
    <s v="n/a"/>
    <s v="n/a"/>
    <s v="n/a"/>
    <s v="n/a"/>
    <s v="n/a"/>
    <s v="n/a"/>
    <s v="n/a"/>
    <s v="n/a"/>
    <s v="n/a"/>
    <n v="1"/>
    <s v="n/a"/>
    <s v="Latrines at each HH"/>
    <s v="n/a"/>
    <m/>
    <m/>
    <s v="n/a"/>
    <n v="0"/>
    <n v="0"/>
    <s v="n/a"/>
    <s v="n/a"/>
    <s v="n/a"/>
    <s v="n/a"/>
    <s v="HH latrine kits to be distributed"/>
    <n v="0.8"/>
    <n v="245.60000000000002"/>
    <n v="0"/>
    <s v="Low coverage"/>
    <s v="n/a"/>
    <s v="n/a"/>
    <s v="Not yet set up"/>
    <s v="Set up but low results "/>
    <m/>
  </r>
  <r>
    <s v="Buthidaung"/>
    <s v="MMR012010061"/>
    <s v="San Goe Taung"/>
    <s v="198413"/>
    <s v="Nwar Yone Taung"/>
    <m/>
    <m/>
    <x v="0"/>
    <s v="Rakhine"/>
    <x v="0"/>
    <n v="0"/>
    <n v="0"/>
    <n v="715"/>
    <m/>
    <s v="2. Medium"/>
    <s v="E.U."/>
    <m/>
    <s v="CARE"/>
    <s v="Covered"/>
    <d v="2016-01-07T00:00:00"/>
    <m/>
    <s v="Focal NGO"/>
    <n v="0"/>
    <n v="0"/>
    <s v="No"/>
    <n v="1"/>
    <m/>
    <n v="0"/>
    <n v="2"/>
    <m/>
    <n v="0"/>
    <n v="0"/>
    <n v="0.34965034965034963"/>
    <n v="250"/>
    <n v="0.34965034965034963"/>
    <n v="250"/>
    <n v="0.34965034965034963"/>
    <n v="250"/>
    <s v="30-45%"/>
    <n v="0"/>
    <n v="0"/>
    <s v="yes"/>
    <n v="1.8599999999999999"/>
    <n v="0"/>
    <n v="0"/>
    <n v="0.9"/>
    <n v="643.5"/>
    <s v=" Planned Pond renovation with hand pump installation "/>
    <n v="0"/>
    <n v="4"/>
    <n v="42"/>
    <s v="Share Household Latriens"/>
    <n v="0.23496503496503496"/>
    <n v="168"/>
    <n v="0.23496503496503496"/>
    <n v="168"/>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70"/>
    <s v="Ah Htet Kywe Cho Maw (a)Nyaung Chaung Kywe Gyo Maw"/>
    <s v="198446"/>
    <s v="Nyaung Chaung"/>
    <m/>
    <m/>
    <x v="0"/>
    <s v="Rakhine"/>
    <x v="0"/>
    <n v="0"/>
    <n v="0"/>
    <n v="205"/>
    <m/>
    <s v="1. Small"/>
    <s v="E.U."/>
    <m/>
    <s v="CARE"/>
    <s v="Covered"/>
    <d v="2016-01-07T00:00:00"/>
    <m/>
    <s v="Focal NGO"/>
    <n v="0"/>
    <n v="0"/>
    <s v="No"/>
    <n v="0"/>
    <n v="0"/>
    <n v="0"/>
    <n v="4"/>
    <m/>
    <n v="0"/>
    <n v="0"/>
    <n v="0"/>
    <n v="0"/>
    <n v="0"/>
    <n v="0"/>
    <n v="0"/>
    <n v="0"/>
    <s v="0-10%"/>
    <n v="0"/>
    <n v="0"/>
    <s v="yes"/>
    <n v="0.82"/>
    <n v="0"/>
    <n v="0"/>
    <n v="0.9"/>
    <n v="184.5"/>
    <s v=" Planned Pond renovation with hand pump installation "/>
    <n v="0"/>
    <n v="75"/>
    <n v="42"/>
    <s v="Share Household Latriens"/>
    <n v="1"/>
    <n v="205"/>
    <n v="1"/>
    <n v="205"/>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33"/>
    <s v="Nan Yar Kone"/>
    <s v="198299"/>
    <s v="Palay Taung Ywa Thit"/>
    <m/>
    <m/>
    <x v="0"/>
    <s v="Muslim"/>
    <x v="0"/>
    <n v="0"/>
    <n v="0"/>
    <n v="451"/>
    <m/>
    <s v="1. Small"/>
    <s v="E.U."/>
    <m/>
    <s v="ACF"/>
    <s v="Covered"/>
    <d v="2016-01-07T00:00:00"/>
    <m/>
    <s v="Focal NGO"/>
    <n v="0"/>
    <n v="0"/>
    <s v="No"/>
    <n v="0"/>
    <n v="3"/>
    <n v="0"/>
    <n v="0"/>
    <m/>
    <n v="0"/>
    <n v="0"/>
    <n v="1"/>
    <n v="451"/>
    <n v="1"/>
    <n v="451"/>
    <n v="1"/>
    <n v="451"/>
    <s v="80-100%"/>
    <n v="0"/>
    <n v="0"/>
    <s v="no"/>
    <n v="0"/>
    <n v="0"/>
    <n v="0"/>
    <n v="1"/>
    <n v="451"/>
    <m/>
    <n v="0"/>
    <n v="13"/>
    <n v="42"/>
    <s v="Household latrines"/>
    <n v="1"/>
    <n v="451"/>
    <n v="1"/>
    <n v="451"/>
    <n v="0"/>
    <n v="0"/>
    <s v="n/a"/>
    <s v="n/a"/>
    <n v="0"/>
    <s v="n/a"/>
    <s v="n/a"/>
    <s v="n/a"/>
    <s v="n/a"/>
    <s v="n/a"/>
    <s v="n/a"/>
    <s v="n/a"/>
    <s v="n/a"/>
    <s v="n/a"/>
    <s v="n/a"/>
    <n v="1"/>
    <s v="n/a"/>
    <s v="Latrines at each HH"/>
    <s v="n/a"/>
    <m/>
    <m/>
    <s v="n/a"/>
    <n v="0"/>
    <n v="0"/>
    <s v="n/a"/>
    <s v="n/a"/>
    <s v="n/a"/>
    <s v="n/a"/>
    <s v="HH latrine kits to be distributed"/>
    <n v="0.7"/>
    <n v="315.7"/>
    <n v="0"/>
    <s v="Low coverage"/>
    <s v="n/a"/>
    <s v="n/a"/>
    <s v="Not yet set up"/>
    <s v="Set up but low results "/>
    <m/>
  </r>
  <r>
    <s v="Buthidaung"/>
    <s v="MMR012010069"/>
    <s v="Hpa Yar Pyin Aung Pa"/>
    <s v="198442"/>
    <s v="Phyar Pyin"/>
    <m/>
    <m/>
    <x v="0"/>
    <s v="Muslim"/>
    <x v="0"/>
    <n v="0"/>
    <n v="0"/>
    <n v="3014"/>
    <m/>
    <s v="3. Large"/>
    <s v="E.U."/>
    <m/>
    <s v="ACF"/>
    <s v="Covered"/>
    <d v="2016-01-07T00:00:00"/>
    <m/>
    <s v="Focal NGO"/>
    <n v="0"/>
    <n v="0"/>
    <s v="No"/>
    <n v="0"/>
    <n v="2"/>
    <n v="0"/>
    <n v="2"/>
    <m/>
    <n v="0"/>
    <n v="0"/>
    <n v="0.16589250165892502"/>
    <n v="500"/>
    <n v="0.16589250165892502"/>
    <n v="500"/>
    <n v="0.16589250165892502"/>
    <n v="500"/>
    <s v="15-30%"/>
    <n v="0"/>
    <n v="0"/>
    <s v="yes"/>
    <n v="10.055999999999999"/>
    <n v="0"/>
    <n v="0"/>
    <n v="0.17"/>
    <n v="512.38"/>
    <m/>
    <n v="0"/>
    <n v="145"/>
    <n v="42"/>
    <s v="Share Household Latriens"/>
    <n v="1"/>
    <n v="3014"/>
    <n v="1"/>
    <n v="3014"/>
    <n v="0"/>
    <n v="0"/>
    <s v="n/a"/>
    <s v="n/a"/>
    <n v="0"/>
    <s v="n/a"/>
    <s v="n/a"/>
    <s v="n/a"/>
    <s v="n/a"/>
    <s v="n/a"/>
    <s v="n/a"/>
    <s v="n/a"/>
    <s v="n/a"/>
    <s v="n/a"/>
    <s v="n/a"/>
    <n v="1"/>
    <s v="n/a"/>
    <s v="Latrines at each HH"/>
    <s v="n/a"/>
    <m/>
    <m/>
    <s v="n/a"/>
    <n v="0"/>
    <n v="0"/>
    <s v="n/a"/>
    <s v="n/a"/>
    <s v="n/a"/>
    <s v="n/a"/>
    <s v="HH latrine kits to be distributed"/>
    <n v="0.3"/>
    <n v="904.19999999999993"/>
    <n v="0"/>
    <s v="Low coverage"/>
    <s v="n/a"/>
    <s v="n/a"/>
    <s v="Not yet set up"/>
    <s v="Set up but low results "/>
    <m/>
  </r>
  <r>
    <s v="Buthidaung"/>
    <s v="MMR012010033"/>
    <s v="Nan Yar Kone"/>
    <s v="198299"/>
    <s v="Play Taung South"/>
    <m/>
    <m/>
    <x v="0"/>
    <s v="Muslim"/>
    <x v="0"/>
    <n v="0"/>
    <n v="0"/>
    <n v="607"/>
    <m/>
    <s v="2. Medium"/>
    <s v="E.U."/>
    <m/>
    <s v="ACF"/>
    <s v="Covered"/>
    <d v="2016-01-07T00:00:00"/>
    <m/>
    <s v="Focal NGO"/>
    <n v="0"/>
    <n v="0"/>
    <s v="No"/>
    <n v="0"/>
    <n v="1"/>
    <n v="0"/>
    <n v="1"/>
    <m/>
    <n v="0"/>
    <n v="0"/>
    <n v="0.41186161449752884"/>
    <n v="250"/>
    <n v="0.41186161449752884"/>
    <n v="250"/>
    <n v="0.41186161449752884"/>
    <n v="250"/>
    <s v="30-45%"/>
    <n v="0"/>
    <n v="0"/>
    <s v="yes"/>
    <n v="1.4279999999999999"/>
    <n v="0"/>
    <n v="0"/>
    <n v="0.41"/>
    <n v="248.86999999999998"/>
    <m/>
    <n v="0"/>
    <n v="54"/>
    <n v="42"/>
    <s v="Household latrines"/>
    <n v="1"/>
    <n v="607"/>
    <n v="1"/>
    <n v="607"/>
    <n v="0"/>
    <n v="0"/>
    <s v="n/a"/>
    <s v="n/a"/>
    <n v="0"/>
    <s v="n/a"/>
    <s v="n/a"/>
    <s v="n/a"/>
    <s v="n/a"/>
    <s v="n/a"/>
    <s v="n/a"/>
    <s v="n/a"/>
    <s v="n/a"/>
    <s v="n/a"/>
    <s v="n/a"/>
    <n v="1"/>
    <s v="n/a"/>
    <s v="Latrines at each HH"/>
    <s v="n/a"/>
    <m/>
    <m/>
    <s v="n/a"/>
    <n v="0"/>
    <n v="0"/>
    <s v="n/a"/>
    <s v="n/a"/>
    <s v="n/a"/>
    <s v="n/a"/>
    <s v="HH latrine kits to be distributed"/>
    <n v="0.7"/>
    <n v="424.9"/>
    <n v="0"/>
    <s v="Low coverage"/>
    <s v="n/a"/>
    <s v="n/a"/>
    <s v="Not yet set up"/>
    <s v="Set up but low results "/>
    <m/>
  </r>
  <r>
    <s v="Buthidaung"/>
    <s v="MMR012010033"/>
    <s v="Nan Yar Kone"/>
    <s v="198302"/>
    <s v="Play Taung Ywa Gyi North"/>
    <m/>
    <m/>
    <x v="0"/>
    <s v="Muslim"/>
    <x v="0"/>
    <n v="0"/>
    <n v="0"/>
    <n v="1348"/>
    <m/>
    <s v="3. Large"/>
    <s v="E.U."/>
    <m/>
    <s v="ACF"/>
    <s v="Covered"/>
    <d v="2016-01-07T00:00:00"/>
    <m/>
    <s v="Focal NGO"/>
    <n v="0"/>
    <n v="0"/>
    <s v="No"/>
    <n v="1"/>
    <n v="4"/>
    <n v="0"/>
    <n v="2"/>
    <m/>
    <n v="0"/>
    <n v="0"/>
    <n v="0.92729970326409494"/>
    <n v="1250"/>
    <n v="0.92729970326409494"/>
    <n v="1250"/>
    <n v="0.92729970326409494"/>
    <n v="1250"/>
    <s v="80-100%"/>
    <n v="0"/>
    <n v="0"/>
    <s v="yes"/>
    <n v="0.39200000000000035"/>
    <n v="0"/>
    <n v="0"/>
    <n v="0.93"/>
    <n v="1253.6400000000001"/>
    <m/>
    <n v="0"/>
    <n v="73"/>
    <n v="42"/>
    <s v="Household latrines"/>
    <n v="1"/>
    <n v="1348"/>
    <n v="1"/>
    <n v="1348"/>
    <n v="0"/>
    <n v="0"/>
    <s v="n/a"/>
    <s v="n/a"/>
    <n v="0"/>
    <s v="n/a"/>
    <s v="n/a"/>
    <s v="n/a"/>
    <s v="n/a"/>
    <s v="n/a"/>
    <s v="n/a"/>
    <s v="n/a"/>
    <s v="n/a"/>
    <s v="n/a"/>
    <s v="n/a"/>
    <n v="1"/>
    <s v="n/a"/>
    <s v="Latrines at each HH"/>
    <s v="n/a"/>
    <m/>
    <m/>
    <s v="n/a"/>
    <n v="0"/>
    <n v="0"/>
    <s v="n/a"/>
    <s v="n/a"/>
    <s v="n/a"/>
    <s v="n/a"/>
    <s v="HH latrine kits to be distributed"/>
    <n v="0.7"/>
    <n v="943.59999999999991"/>
    <n v="0"/>
    <s v="Low coverage"/>
    <s v="n/a"/>
    <s v="n/a"/>
    <s v="Not yet set up"/>
    <s v="Set up but low results "/>
    <m/>
  </r>
  <r>
    <s v="Buthidaung"/>
    <s v="NA"/>
    <s v="NA"/>
    <m/>
    <s v="Prine Taung"/>
    <m/>
    <m/>
    <x v="0"/>
    <s v="Muslim"/>
    <x v="0"/>
    <n v="0"/>
    <n v="0"/>
    <n v="755"/>
    <m/>
    <s v="2. Medium"/>
    <s v="E.U."/>
    <m/>
    <s v="ACF"/>
    <s v="Covered"/>
    <d v="2016-01-07T00:00:00"/>
    <m/>
    <s v="Focal NGO"/>
    <n v="0"/>
    <n v="0"/>
    <s v="No"/>
    <n v="0"/>
    <n v="0"/>
    <n v="0"/>
    <n v="3"/>
    <m/>
    <n v="0"/>
    <n v="0"/>
    <n v="0"/>
    <n v="0"/>
    <n v="0"/>
    <n v="0"/>
    <n v="0"/>
    <n v="0"/>
    <s v="0-10%"/>
    <n v="0"/>
    <n v="0"/>
    <s v="yes"/>
    <n v="3.02"/>
    <n v="0"/>
    <n v="0"/>
    <m/>
    <n v="0"/>
    <m/>
    <n v="0"/>
    <n v="5"/>
    <n v="42"/>
    <s v="Household latrines"/>
    <n v="0.27814569536423839"/>
    <n v="209.99999999999997"/>
    <n v="0.27814569536423839"/>
    <n v="209.99999999999997"/>
    <n v="0"/>
    <n v="0"/>
    <s v="n/a"/>
    <s v="n/a"/>
    <n v="0"/>
    <s v="n/a"/>
    <s v="n/a"/>
    <s v="n/a"/>
    <s v="n/a"/>
    <s v="n/a"/>
    <s v="n/a"/>
    <s v="n/a"/>
    <s v="n/a"/>
    <s v="n/a"/>
    <s v="n/a"/>
    <n v="1"/>
    <s v="n/a"/>
    <s v="Latrines at each HH"/>
    <s v="n/a"/>
    <m/>
    <m/>
    <s v="n/a"/>
    <n v="0"/>
    <n v="0"/>
    <s v="n/a"/>
    <s v="n/a"/>
    <s v="n/a"/>
    <s v="n/a"/>
    <s v="HH latrine kits to be distributed"/>
    <n v="1"/>
    <n v="755"/>
    <n v="0"/>
    <s v="Low coverage"/>
    <s v="n/a"/>
    <s v="n/a"/>
    <s v="Not yet set up"/>
    <s v="Set up but low results "/>
    <m/>
  </r>
  <r>
    <s v="Buthidaung"/>
    <s v="MMR012010061"/>
    <s v="San Goe Taung"/>
    <s v="198408"/>
    <s v="San Go Taung"/>
    <m/>
    <m/>
    <x v="0"/>
    <s v="Rakhine"/>
    <x v="0"/>
    <n v="0"/>
    <n v="0"/>
    <n v="250"/>
    <m/>
    <s v="1. Small"/>
    <s v="E.U."/>
    <m/>
    <s v="CARE"/>
    <s v="Covered"/>
    <d v="2016-01-07T00:00:00"/>
    <m/>
    <s v="Focal NGO"/>
    <n v="0"/>
    <n v="0"/>
    <s v="No"/>
    <n v="0"/>
    <n v="0"/>
    <n v="0"/>
    <n v="2"/>
    <m/>
    <n v="0"/>
    <n v="0"/>
    <n v="0"/>
    <n v="0"/>
    <n v="0"/>
    <n v="0"/>
    <n v="0"/>
    <n v="0"/>
    <s v="0-10%"/>
    <n v="0"/>
    <n v="0"/>
    <s v="yes"/>
    <n v="1"/>
    <n v="0"/>
    <n v="0"/>
    <n v="0.9"/>
    <n v="225"/>
    <s v=" Planned Pond renovation with hand pump installation "/>
    <n v="0"/>
    <n v="5"/>
    <n v="42"/>
    <s v="Share Household Latriens"/>
    <n v="0.84"/>
    <n v="210"/>
    <n v="0.84"/>
    <n v="21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3"/>
    <s v="Say Taung"/>
    <s v="198418"/>
    <s v="Say Taung"/>
    <m/>
    <m/>
    <x v="0"/>
    <s v="Rakhine"/>
    <x v="0"/>
    <n v="0"/>
    <n v="0"/>
    <n v="1853"/>
    <m/>
    <s v="3. Large"/>
    <s v="E.U."/>
    <m/>
    <s v="CARE"/>
    <s v="Covered"/>
    <d v="2016-01-07T00:00:00"/>
    <m/>
    <s v="Focal NGO"/>
    <n v="0"/>
    <n v="0"/>
    <s v="No"/>
    <n v="0"/>
    <n v="0"/>
    <n v="0"/>
    <n v="3"/>
    <m/>
    <n v="0"/>
    <n v="0"/>
    <n v="0"/>
    <n v="0"/>
    <n v="0"/>
    <n v="0"/>
    <n v="0"/>
    <n v="0"/>
    <s v="0-10%"/>
    <n v="0"/>
    <n v="0"/>
    <s v="yes"/>
    <n v="7.4119999999999999"/>
    <n v="0"/>
    <n v="0"/>
    <n v="0.9"/>
    <n v="1667.7"/>
    <s v=" Planned Pond renovation with hand pump installation "/>
    <n v="0"/>
    <n v="5"/>
    <n v="42"/>
    <s v="Share Household Latriens"/>
    <n v="0.11332973556395035"/>
    <n v="210"/>
    <n v="0.11332973556395035"/>
    <n v="21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71"/>
    <s v="Thein Taung Pyin"/>
    <s v="217886"/>
    <s v="Say Tha Ma"/>
    <m/>
    <m/>
    <x v="0"/>
    <s v="Muslim"/>
    <x v="0"/>
    <n v="0"/>
    <n v="0"/>
    <n v="500"/>
    <m/>
    <s v="1. Small"/>
    <s v="E.U."/>
    <m/>
    <s v="ACF"/>
    <s v="Covered"/>
    <d v="2016-01-07T00:00:00"/>
    <m/>
    <s v="Focal NGO"/>
    <n v="0"/>
    <n v="0"/>
    <s v="No"/>
    <n v="0"/>
    <n v="0"/>
    <n v="0"/>
    <n v="1"/>
    <m/>
    <n v="0"/>
    <n v="0"/>
    <n v="0"/>
    <n v="0"/>
    <n v="0"/>
    <n v="0"/>
    <n v="0"/>
    <n v="0"/>
    <s v="0-10%"/>
    <n v="0"/>
    <n v="0"/>
    <s v="yes"/>
    <n v="2"/>
    <n v="0"/>
    <n v="0"/>
    <m/>
    <n v="0"/>
    <m/>
    <n v="0"/>
    <n v="20"/>
    <n v="42"/>
    <s v="Household latrines"/>
    <n v="1"/>
    <n v="500"/>
    <n v="1"/>
    <n v="500"/>
    <n v="0"/>
    <n v="0"/>
    <s v="n/a"/>
    <s v="n/a"/>
    <n v="0"/>
    <s v="n/a"/>
    <s v="n/a"/>
    <s v="n/a"/>
    <s v="n/a"/>
    <s v="n/a"/>
    <s v="n/a"/>
    <s v="n/a"/>
    <s v="n/a"/>
    <s v="n/a"/>
    <s v="n/a"/>
    <n v="1"/>
    <s v="n/a"/>
    <s v="Latrines at each HH"/>
    <s v="n/a"/>
    <m/>
    <m/>
    <s v="n/a"/>
    <n v="0"/>
    <n v="0"/>
    <s v="n/a"/>
    <s v="n/a"/>
    <s v="n/a"/>
    <s v="n/a"/>
    <s v="HH latrine kits to be distributed"/>
    <n v="1"/>
    <n v="500"/>
    <n v="3"/>
    <s v="Low coverage"/>
    <s v="n/a"/>
    <s v="n/a"/>
    <s v="Set up but low results "/>
    <s v="Set up but low results "/>
    <m/>
  </r>
  <r>
    <s v="Buthidaung"/>
    <s v="MMR012010061"/>
    <s v="San Goe Taung"/>
    <s v="198409"/>
    <s v="Shat Shar Taung"/>
    <m/>
    <m/>
    <x v="0"/>
    <s v="Rakhine"/>
    <x v="0"/>
    <n v="0"/>
    <n v="0"/>
    <n v="92"/>
    <m/>
    <s v="1. Small"/>
    <s v="E.U."/>
    <m/>
    <s v="CARE"/>
    <s v="Covered"/>
    <d v="2016-01-07T00:00:00"/>
    <m/>
    <s v="Focal NGO"/>
    <n v="0"/>
    <n v="0"/>
    <s v="No"/>
    <n v="0"/>
    <m/>
    <n v="0"/>
    <n v="2"/>
    <m/>
    <n v="0"/>
    <n v="0"/>
    <n v="0"/>
    <n v="0"/>
    <n v="0"/>
    <n v="0"/>
    <n v="0"/>
    <n v="0"/>
    <s v="0-10%"/>
    <n v="0"/>
    <n v="0"/>
    <s v="yes"/>
    <n v="0.36799999999999999"/>
    <n v="0"/>
    <n v="0"/>
    <n v="0.9"/>
    <n v="82.8"/>
    <s v=" Planned Pond renovation with hand pump installation "/>
    <n v="0"/>
    <n v="4"/>
    <n v="42"/>
    <s v="Share Household Latriens"/>
    <n v="1"/>
    <n v="92"/>
    <n v="1"/>
    <n v="92"/>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37"/>
    <s v="Let Wea Det Pu Zun Chaung"/>
    <s v="198318"/>
    <s v="Si Tar (Pa Zun Chaung)"/>
    <m/>
    <m/>
    <x v="0"/>
    <s v="Muslim"/>
    <x v="0"/>
    <n v="0"/>
    <n v="0"/>
    <n v="323"/>
    <m/>
    <s v="1. Small"/>
    <s v="E.U."/>
    <m/>
    <s v="CARE"/>
    <s v="Covered"/>
    <d v="2016-01-07T00:00:00"/>
    <m/>
    <s v="Focal NGO"/>
    <n v="0"/>
    <n v="0"/>
    <s v="No"/>
    <n v="0"/>
    <n v="0"/>
    <n v="0"/>
    <n v="2"/>
    <m/>
    <n v="0"/>
    <n v="0"/>
    <n v="0"/>
    <n v="0"/>
    <n v="0"/>
    <n v="0"/>
    <n v="0"/>
    <n v="0"/>
    <s v="0-10%"/>
    <n v="0"/>
    <n v="0"/>
    <s v="yes"/>
    <n v="1.292"/>
    <n v="0"/>
    <n v="0"/>
    <n v="0.9"/>
    <n v="290.7"/>
    <s v=" Planned Pond renovation with hand pump installation "/>
    <n v="0"/>
    <n v="10"/>
    <n v="42"/>
    <s v="Share Household Latriens"/>
    <n v="1"/>
    <n v="323"/>
    <n v="1"/>
    <n v="323"/>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NA"/>
    <s v="NA"/>
    <m/>
    <s v="Taung Chaung"/>
    <m/>
    <m/>
    <x v="0"/>
    <s v="Muslim"/>
    <x v="0"/>
    <n v="0"/>
    <n v="0"/>
    <n v="792"/>
    <m/>
    <s v="2. Medium"/>
    <s v="E.U."/>
    <m/>
    <s v="ACF"/>
    <s v="Covered"/>
    <d v="2016-01-07T00:00:00"/>
    <m/>
    <s v="Focal NGO"/>
    <n v="0"/>
    <n v="0"/>
    <s v="No"/>
    <n v="0"/>
    <n v="1"/>
    <n v="0"/>
    <n v="0"/>
    <m/>
    <n v="0"/>
    <n v="0"/>
    <n v="0.31565656565656564"/>
    <n v="249.99999999999997"/>
    <n v="0.31565656565656564"/>
    <n v="249.99999999999997"/>
    <n v="0.31565656565656564"/>
    <n v="249.99999999999997"/>
    <s v="30-45%"/>
    <n v="0"/>
    <n v="0"/>
    <s v="no"/>
    <n v="2.1680000000000001"/>
    <n v="0"/>
    <n v="0"/>
    <n v="0.32"/>
    <n v="253.44"/>
    <m/>
    <n v="0"/>
    <n v="22"/>
    <n v="42"/>
    <s v="Household latrines"/>
    <n v="1"/>
    <n v="792"/>
    <n v="1"/>
    <n v="792"/>
    <n v="0"/>
    <n v="0"/>
    <s v="n/a"/>
    <s v="n/a"/>
    <n v="0"/>
    <s v="n/a"/>
    <s v="n/a"/>
    <s v="n/a"/>
    <s v="n/a"/>
    <s v="n/a"/>
    <s v="n/a"/>
    <s v="n/a"/>
    <s v="n/a"/>
    <s v="n/a"/>
    <s v="n/a"/>
    <n v="1"/>
    <s v="n/a"/>
    <s v="Latrines at each HH"/>
    <s v="n/a"/>
    <m/>
    <m/>
    <s v="n/a"/>
    <n v="0"/>
    <n v="0"/>
    <s v="n/a"/>
    <s v="n/a"/>
    <s v="n/a"/>
    <s v="n/a"/>
    <s v="HH latrine kits to be distributed"/>
    <n v="1"/>
    <n v="792"/>
    <n v="3"/>
    <s v="Low coverage"/>
    <s v="n/a"/>
    <s v="n/a"/>
    <s v="Set up but low results "/>
    <s v="Set up but low results "/>
    <m/>
  </r>
  <r>
    <s v="Buthidaung"/>
    <s v="NA"/>
    <s v="NA"/>
    <m/>
    <s v="Taung Maw"/>
    <m/>
    <m/>
    <x v="0"/>
    <s v="Rakhine"/>
    <x v="0"/>
    <n v="0"/>
    <n v="0"/>
    <n v="501"/>
    <m/>
    <s v="2. Medium"/>
    <s v="E.U."/>
    <m/>
    <s v="ACF"/>
    <s v="Covered"/>
    <d v="2016-01-07T00:00:00"/>
    <m/>
    <s v="Focal NGO"/>
    <n v="0"/>
    <n v="0"/>
    <s v="No"/>
    <n v="1"/>
    <n v="0"/>
    <n v="0"/>
    <n v="1"/>
    <m/>
    <n v="0"/>
    <n v="0"/>
    <n v="0.49900199600798401"/>
    <n v="250"/>
    <n v="0.49900199600798401"/>
    <n v="250"/>
    <n v="0.49900199600798401"/>
    <n v="250"/>
    <s v="45-60%"/>
    <n v="0"/>
    <n v="0"/>
    <s v="yes"/>
    <n v="1.004"/>
    <n v="0"/>
    <n v="0"/>
    <n v="0.5"/>
    <n v="250.5"/>
    <m/>
    <n v="0"/>
    <n v="18"/>
    <n v="42"/>
    <s v="Household latrines"/>
    <n v="1"/>
    <n v="501"/>
    <n v="1"/>
    <n v="501"/>
    <n v="0"/>
    <n v="0"/>
    <s v="n/a"/>
    <s v="n/a"/>
    <n v="0"/>
    <s v="n/a"/>
    <s v="n/a"/>
    <s v="n/a"/>
    <s v="n/a"/>
    <s v="n/a"/>
    <s v="n/a"/>
    <s v="n/a"/>
    <s v="n/a"/>
    <s v="n/a"/>
    <s v="n/a"/>
    <n v="1"/>
    <s v="n/a"/>
    <s v="Latrines at each HH"/>
    <s v="n/a"/>
    <m/>
    <m/>
    <s v="n/a"/>
    <n v="0"/>
    <n v="0"/>
    <s v="n/a"/>
    <s v="n/a"/>
    <s v="n/a"/>
    <s v="n/a"/>
    <s v="HH latrine kits to be distributed"/>
    <n v="1"/>
    <n v="501"/>
    <n v="0"/>
    <s v="Low coverage"/>
    <s v="n/a"/>
    <s v="n/a"/>
    <s v="Not yet set up"/>
    <s v="Set up but low results "/>
    <m/>
  </r>
  <r>
    <s v="Buthidaung"/>
    <s v="MMR012010053"/>
    <s v="Tha Peik Taung"/>
    <s v="198380"/>
    <s v="Taung Ywa"/>
    <m/>
    <m/>
    <x v="0"/>
    <s v="Muslim"/>
    <x v="0"/>
    <n v="0"/>
    <n v="0"/>
    <n v="351"/>
    <m/>
    <s v="1. Small"/>
    <s v="E.U."/>
    <m/>
    <s v="ACF"/>
    <s v="Covered"/>
    <d v="2016-01-07T00:00:00"/>
    <m/>
    <s v="Focal NGO"/>
    <n v="0"/>
    <n v="0"/>
    <s v="No"/>
    <n v="0"/>
    <n v="0"/>
    <n v="0"/>
    <n v="1"/>
    <m/>
    <n v="0"/>
    <n v="0"/>
    <n v="0"/>
    <n v="0"/>
    <n v="0"/>
    <n v="0"/>
    <n v="0"/>
    <n v="0"/>
    <s v="0-10%"/>
    <n v="0"/>
    <n v="0"/>
    <s v="yes"/>
    <n v="1.4039999999999999"/>
    <n v="0"/>
    <n v="0"/>
    <m/>
    <n v="0"/>
    <m/>
    <n v="0"/>
    <n v="32"/>
    <n v="42"/>
    <s v="Share Household Latriens"/>
    <n v="1"/>
    <n v="351"/>
    <n v="1"/>
    <n v="351"/>
    <n v="0"/>
    <n v="0"/>
    <s v="n/a"/>
    <s v="n/a"/>
    <n v="0"/>
    <s v="n/a"/>
    <s v="n/a"/>
    <s v="n/a"/>
    <s v="n/a"/>
    <s v="n/a"/>
    <s v="n/a"/>
    <s v="n/a"/>
    <s v="n/a"/>
    <s v="n/a"/>
    <s v="n/a"/>
    <n v="1"/>
    <s v="n/a"/>
    <s v="Latrines at each HH"/>
    <s v="n/a"/>
    <m/>
    <m/>
    <s v="n/a"/>
    <n v="0"/>
    <n v="0"/>
    <s v="n/a"/>
    <s v="n/a"/>
    <s v="n/a"/>
    <s v="n/a"/>
    <s v="HH latrine kits to be distributed"/>
    <n v="1"/>
    <n v="351"/>
    <n v="0"/>
    <s v="Low coverage"/>
    <s v="n/a"/>
    <s v="n/a"/>
    <s v="Not yet set up"/>
    <s v="Set up but low results "/>
    <m/>
  </r>
  <r>
    <s v="Buthidaung"/>
    <s v="MMR012010053"/>
    <s v="Tha Peik Taung"/>
    <s v="198378"/>
    <s v="Taungchay Ywa Muslim"/>
    <m/>
    <m/>
    <x v="0"/>
    <s v="Muslim"/>
    <x v="0"/>
    <n v="0"/>
    <n v="0"/>
    <n v="104"/>
    <m/>
    <s v="1. Small"/>
    <s v="E.U."/>
    <m/>
    <s v="ACF"/>
    <s v="Covered"/>
    <d v="2016-01-07T00:00:00"/>
    <m/>
    <s v="Focal NGO"/>
    <n v="0"/>
    <n v="0"/>
    <s v="No"/>
    <n v="0"/>
    <n v="2"/>
    <n v="0"/>
    <n v="0"/>
    <m/>
    <n v="0"/>
    <n v="0"/>
    <n v="1"/>
    <n v="104"/>
    <n v="1"/>
    <n v="104"/>
    <n v="1"/>
    <n v="104"/>
    <s v="80-100%"/>
    <n v="0"/>
    <n v="0"/>
    <s v="no"/>
    <n v="0"/>
    <n v="0"/>
    <n v="0"/>
    <n v="1"/>
    <n v="104"/>
    <m/>
    <n v="0"/>
    <n v="4"/>
    <n v="42"/>
    <s v="Household latrines"/>
    <n v="1"/>
    <n v="104"/>
    <n v="1"/>
    <n v="104"/>
    <n v="0"/>
    <n v="0"/>
    <s v="n/a"/>
    <s v="n/a"/>
    <n v="0"/>
    <s v="n/a"/>
    <s v="n/a"/>
    <s v="n/a"/>
    <s v="n/a"/>
    <s v="n/a"/>
    <s v="n/a"/>
    <s v="n/a"/>
    <s v="n/a"/>
    <s v="n/a"/>
    <s v="n/a"/>
    <n v="1"/>
    <s v="n/a"/>
    <s v="Latrines at each HH"/>
    <s v="n/a"/>
    <m/>
    <m/>
    <s v="n/a"/>
    <n v="0"/>
    <n v="0"/>
    <s v="n/a"/>
    <s v="n/a"/>
    <s v="n/a"/>
    <s v="n/a"/>
    <s v="HH latrine kits to be distributed"/>
    <n v="1"/>
    <n v="104"/>
    <n v="0"/>
    <s v="Low coverage"/>
    <s v="n/a"/>
    <s v="n/a"/>
    <s v="Not yet set up"/>
    <s v="Set up but low results "/>
    <m/>
  </r>
  <r>
    <s v="Buthidaung"/>
    <s v="MMR012010064"/>
    <s v="Thaing Ta Poke"/>
    <s v="198423"/>
    <s v="Tha Pyay Seik"/>
    <m/>
    <m/>
    <x v="0"/>
    <s v="Rakhine"/>
    <x v="0"/>
    <n v="0"/>
    <n v="0"/>
    <n v="234"/>
    <m/>
    <s v="1. Small"/>
    <s v="E.U."/>
    <m/>
    <s v="CARE"/>
    <s v="Covered"/>
    <d v="2016-01-07T00:00:00"/>
    <m/>
    <s v="Focal NGO"/>
    <n v="0"/>
    <n v="0"/>
    <s v="No"/>
    <n v="0"/>
    <n v="0"/>
    <n v="0"/>
    <n v="2"/>
    <m/>
    <n v="0"/>
    <n v="0"/>
    <n v="0"/>
    <n v="0"/>
    <n v="0"/>
    <n v="0"/>
    <n v="0"/>
    <n v="0"/>
    <s v="0-10%"/>
    <n v="0"/>
    <n v="0"/>
    <s v="yes"/>
    <n v="0.93600000000000005"/>
    <n v="0"/>
    <n v="0"/>
    <n v="0.9"/>
    <n v="210.6"/>
    <s v=" Planned Pond renovation with hand pump installation "/>
    <n v="0"/>
    <n v="0"/>
    <n v="42"/>
    <s v="Share Household Latriens"/>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5"/>
    <s v="Gu Dar Pyin"/>
    <s v="198391"/>
    <s v="Tha Yet Taung"/>
    <m/>
    <m/>
    <x v="0"/>
    <s v="Muslim"/>
    <x v="0"/>
    <n v="0"/>
    <n v="0"/>
    <n v="1106"/>
    <m/>
    <s v="3. Large"/>
    <s v="E.U."/>
    <m/>
    <s v="ACF"/>
    <s v="Covered"/>
    <d v="2016-01-07T00:00:00"/>
    <m/>
    <s v="Focal NGO"/>
    <n v="0"/>
    <n v="0"/>
    <s v="No"/>
    <n v="0"/>
    <n v="0"/>
    <n v="0"/>
    <n v="2"/>
    <m/>
    <n v="0"/>
    <n v="0"/>
    <n v="0"/>
    <n v="0"/>
    <n v="0"/>
    <n v="0"/>
    <n v="0"/>
    <n v="0"/>
    <s v="0-10%"/>
    <n v="0"/>
    <n v="0"/>
    <s v="yes"/>
    <n v="4.4240000000000004"/>
    <n v="0"/>
    <n v="0"/>
    <m/>
    <n v="0"/>
    <m/>
    <n v="0"/>
    <n v="35"/>
    <n v="42"/>
    <s v="Household latrines"/>
    <n v="1"/>
    <n v="1106"/>
    <n v="1"/>
    <n v="1106"/>
    <n v="0"/>
    <n v="0"/>
    <s v="n/a"/>
    <s v="n/a"/>
    <n v="0"/>
    <s v="n/a"/>
    <s v="n/a"/>
    <s v="n/a"/>
    <s v="n/a"/>
    <s v="n/a"/>
    <s v="n/a"/>
    <s v="n/a"/>
    <s v="n/a"/>
    <s v="n/a"/>
    <s v="n/a"/>
    <n v="1"/>
    <s v="n/a"/>
    <s v="Latrines at each HH"/>
    <s v="n/a"/>
    <m/>
    <m/>
    <s v="n/a"/>
    <n v="0"/>
    <n v="0"/>
    <s v="n/a"/>
    <s v="n/a"/>
    <s v="n/a"/>
    <s v="n/a"/>
    <s v="HH latrine kits to be distributed"/>
    <n v="1"/>
    <n v="1106"/>
    <n v="0"/>
    <s v="Low coverage"/>
    <s v="n/a"/>
    <s v="n/a"/>
    <s v="Not yet set up"/>
    <s v="Set up but low results "/>
    <m/>
  </r>
  <r>
    <s v="Buthidaung"/>
    <s v="MMR012010064"/>
    <s v="Thaing Ta Poke"/>
    <s v="198421"/>
    <s v="Thaing Ta Poke"/>
    <m/>
    <m/>
    <x v="0"/>
    <s v="Rakhine"/>
    <x v="0"/>
    <n v="0"/>
    <n v="0"/>
    <n v="536"/>
    <m/>
    <s v="2. Medium"/>
    <s v="E.U."/>
    <m/>
    <s v="CARE"/>
    <s v="Covered"/>
    <d v="2016-01-07T00:00:00"/>
    <m/>
    <s v="Focal NGO"/>
    <n v="0"/>
    <n v="0"/>
    <s v="No"/>
    <n v="0"/>
    <n v="0"/>
    <n v="0"/>
    <n v="3"/>
    <m/>
    <n v="0"/>
    <n v="0"/>
    <n v="0"/>
    <n v="0"/>
    <n v="0"/>
    <n v="0"/>
    <n v="0"/>
    <n v="0"/>
    <s v="0-10%"/>
    <n v="0"/>
    <n v="0"/>
    <s v="yes"/>
    <n v="2.1440000000000001"/>
    <n v="0"/>
    <n v="0"/>
    <n v="0.9"/>
    <n v="482.40000000000003"/>
    <s v=" Planned Pond renovation with hand pump installation "/>
    <n v="0"/>
    <n v="2"/>
    <n v="42"/>
    <s v="Share Household Latriens"/>
    <n v="0.15671641791044777"/>
    <n v="84"/>
    <n v="0.15671641791044777"/>
    <n v="84"/>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33"/>
    <s v="Nan Yar Kone"/>
    <s v="198300"/>
    <s v="Than Chay  RK"/>
    <m/>
    <m/>
    <x v="0"/>
    <s v="Rakhine"/>
    <x v="0"/>
    <n v="0"/>
    <n v="0"/>
    <n v="98"/>
    <m/>
    <s v="1. Small"/>
    <s v="E.U."/>
    <m/>
    <s v="ACF"/>
    <s v="Covered"/>
    <d v="2016-01-07T00:00:00"/>
    <m/>
    <s v="Focal NGO"/>
    <n v="0"/>
    <n v="0"/>
    <s v="No"/>
    <n v="1"/>
    <n v="2"/>
    <n v="0"/>
    <n v="0"/>
    <m/>
    <n v="0"/>
    <n v="0"/>
    <n v="1"/>
    <n v="98"/>
    <n v="1"/>
    <n v="98"/>
    <n v="1"/>
    <n v="98"/>
    <s v="80-100%"/>
    <n v="0"/>
    <n v="0"/>
    <s v="no"/>
    <n v="0"/>
    <n v="0"/>
    <n v="0"/>
    <n v="1"/>
    <n v="98"/>
    <m/>
    <n v="0"/>
    <n v="0"/>
    <n v="42"/>
    <s v="Household latrines"/>
    <n v="0"/>
    <n v="0"/>
    <n v="0"/>
    <n v="0"/>
    <n v="0"/>
    <n v="0"/>
    <s v="n/a"/>
    <s v="n/a"/>
    <n v="0"/>
    <s v="n/a"/>
    <s v="n/a"/>
    <s v="n/a"/>
    <s v="n/a"/>
    <s v="n/a"/>
    <s v="n/a"/>
    <s v="n/a"/>
    <s v="n/a"/>
    <s v="n/a"/>
    <s v="n/a"/>
    <n v="1"/>
    <s v="n/a"/>
    <s v="Latrines at each HH"/>
    <s v="n/a"/>
    <m/>
    <m/>
    <s v="n/a"/>
    <n v="0"/>
    <n v="0"/>
    <s v="n/a"/>
    <s v="n/a"/>
    <s v="n/a"/>
    <s v="n/a"/>
    <s v="HH latrine kits to be distributed"/>
    <n v="1"/>
    <n v="98"/>
    <n v="0"/>
    <s v="Low coverage"/>
    <s v="n/a"/>
    <s v="n/a"/>
    <s v="Not yet set up"/>
    <s v="Set up but low results "/>
    <m/>
  </r>
  <r>
    <s v="Buthidaung"/>
    <s v="MMR012010058"/>
    <s v="Hpa Yar Pyin Thein Tan"/>
    <s v="198398"/>
    <s v="Thein Tan (Muslim)"/>
    <m/>
    <m/>
    <x v="0"/>
    <s v="Muslim"/>
    <x v="0"/>
    <n v="0"/>
    <n v="0"/>
    <n v="1083"/>
    <m/>
    <s v="3. Large"/>
    <s v="E.U."/>
    <m/>
    <s v="CARE"/>
    <s v="Covered"/>
    <d v="2016-01-07T00:00:00"/>
    <m/>
    <s v="Focal NGO"/>
    <n v="0"/>
    <n v="0"/>
    <s v="No"/>
    <n v="0"/>
    <n v="0"/>
    <n v="0"/>
    <n v="4"/>
    <m/>
    <n v="0"/>
    <n v="0"/>
    <n v="0"/>
    <n v="0"/>
    <n v="0"/>
    <n v="0"/>
    <n v="0"/>
    <n v="0"/>
    <s v="0-10%"/>
    <n v="0"/>
    <n v="0"/>
    <s v="yes"/>
    <n v="4.3319999999999999"/>
    <n v="0"/>
    <n v="0"/>
    <n v="0.9"/>
    <n v="974.7"/>
    <s v=" Planned Pond renovation with hand pump installation "/>
    <n v="0"/>
    <n v="4"/>
    <n v="42"/>
    <s v="Share Household Latriens"/>
    <n v="0.15512465373961218"/>
    <n v="168"/>
    <n v="0.15512465373961218"/>
    <n v="168"/>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58"/>
    <s v="Hpa Yar Pyin Thein Tan"/>
    <s v="198399"/>
    <s v="Thein Tan (Rakhine)"/>
    <m/>
    <m/>
    <x v="0"/>
    <s v="Rakhine"/>
    <x v="0"/>
    <n v="0"/>
    <n v="0"/>
    <n v="249"/>
    <m/>
    <s v="1. Small"/>
    <s v="E.U."/>
    <m/>
    <s v="CARE"/>
    <s v="Covered"/>
    <d v="2016-01-07T00:00:00"/>
    <m/>
    <s v="Focal NGO"/>
    <n v="0"/>
    <n v="0"/>
    <s v="No"/>
    <n v="0"/>
    <n v="0"/>
    <n v="0"/>
    <n v="3"/>
    <m/>
    <n v="0"/>
    <n v="0"/>
    <n v="0"/>
    <n v="0"/>
    <n v="0"/>
    <n v="0"/>
    <n v="0"/>
    <n v="0"/>
    <s v="0-10%"/>
    <n v="0"/>
    <n v="0"/>
    <s v="yes"/>
    <n v="0.996"/>
    <n v="0"/>
    <n v="0"/>
    <n v="0.9"/>
    <n v="224.1"/>
    <s v=" Planned Pond renovation with hand pump installation "/>
    <n v="0"/>
    <n v="24"/>
    <n v="42"/>
    <s v="Share Household Latriens"/>
    <n v="1"/>
    <n v="249"/>
    <n v="1"/>
    <n v="249"/>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71"/>
    <s v="Thein Taung Pyin"/>
    <s v="198448"/>
    <s v="Thein Taung pyin (Dine Net)"/>
    <m/>
    <m/>
    <x v="0"/>
    <s v="Rakhine"/>
    <x v="0"/>
    <n v="0"/>
    <n v="0"/>
    <n v="301"/>
    <m/>
    <s v="1. Small"/>
    <s v="E.U."/>
    <m/>
    <s v="ACF"/>
    <s v="Covered"/>
    <d v="2016-01-07T00:00:00"/>
    <m/>
    <s v="Focal NGO"/>
    <n v="0"/>
    <n v="0"/>
    <s v="No"/>
    <n v="0"/>
    <n v="0"/>
    <n v="0"/>
    <n v="2"/>
    <m/>
    <n v="0"/>
    <n v="0"/>
    <n v="0"/>
    <n v="0"/>
    <n v="0"/>
    <n v="0"/>
    <n v="0"/>
    <n v="0"/>
    <s v="0-10%"/>
    <n v="0"/>
    <n v="0"/>
    <s v="yes"/>
    <n v="1.204"/>
    <n v="0"/>
    <n v="0"/>
    <m/>
    <n v="0"/>
    <m/>
    <n v="0"/>
    <n v="4"/>
    <n v="42"/>
    <s v="Share Household Latriens"/>
    <n v="0.55813953488372092"/>
    <n v="168"/>
    <n v="0.55813953488372092"/>
    <n v="168"/>
    <n v="0"/>
    <n v="0"/>
    <s v="n/a"/>
    <s v="n/a"/>
    <n v="0"/>
    <s v="n/a"/>
    <s v="n/a"/>
    <s v="n/a"/>
    <s v="n/a"/>
    <s v="n/a"/>
    <s v="n/a"/>
    <s v="n/a"/>
    <s v="n/a"/>
    <s v="n/a"/>
    <s v="n/a"/>
    <n v="1"/>
    <s v="n/a"/>
    <s v="Latrines at each HH"/>
    <s v="n/a"/>
    <m/>
    <m/>
    <s v="n/a"/>
    <n v="0"/>
    <n v="0"/>
    <s v="n/a"/>
    <s v="n/a"/>
    <s v="n/a"/>
    <s v="n/a"/>
    <s v="HH latrine kits to be distributed"/>
    <n v="1"/>
    <n v="301"/>
    <n v="0"/>
    <s v="Low coverage"/>
    <s v="n/a"/>
    <s v="n/a"/>
    <s v="Not yet set up"/>
    <s v="Set up but low results "/>
    <m/>
  </r>
  <r>
    <s v="Buthidaung"/>
    <s v="MMR012010071"/>
    <s v="Thein Taung Pyin"/>
    <s v="198447"/>
    <s v="Thein Taung pyin (Muslim)"/>
    <m/>
    <m/>
    <x v="0"/>
    <s v="Muslim"/>
    <x v="0"/>
    <n v="0"/>
    <n v="0"/>
    <n v="1641"/>
    <m/>
    <s v="3. Large"/>
    <s v="E.U."/>
    <m/>
    <s v="ACF"/>
    <s v="Covered"/>
    <d v="2016-01-07T00:00:00"/>
    <m/>
    <s v="Focal NGO"/>
    <n v="0"/>
    <n v="0"/>
    <s v="No"/>
    <n v="0"/>
    <n v="0"/>
    <n v="0"/>
    <n v="2"/>
    <m/>
    <n v="0"/>
    <n v="0"/>
    <n v="0"/>
    <n v="0"/>
    <n v="0"/>
    <n v="0"/>
    <n v="0"/>
    <n v="0"/>
    <s v="0-10%"/>
    <n v="0"/>
    <n v="0"/>
    <s v="yes"/>
    <n v="6.5640000000000001"/>
    <n v="0"/>
    <n v="0"/>
    <m/>
    <n v="0"/>
    <m/>
    <n v="0"/>
    <n v="63"/>
    <n v="42"/>
    <s v="Share Household Latriens"/>
    <n v="1"/>
    <n v="1641"/>
    <n v="1"/>
    <n v="1641"/>
    <n v="0"/>
    <n v="0"/>
    <s v="n/a"/>
    <s v="n/a"/>
    <n v="0"/>
    <s v="n/a"/>
    <s v="n/a"/>
    <s v="n/a"/>
    <s v="n/a"/>
    <s v="n/a"/>
    <s v="n/a"/>
    <s v="n/a"/>
    <s v="n/a"/>
    <s v="n/a"/>
    <s v="n/a"/>
    <n v="1"/>
    <s v="n/a"/>
    <s v="Latrines at each HH"/>
    <s v="n/a"/>
    <m/>
    <m/>
    <s v="n/a"/>
    <n v="0"/>
    <n v="0"/>
    <s v="n/a"/>
    <s v="n/a"/>
    <s v="n/a"/>
    <s v="n/a"/>
    <s v="HH latrine kits to be distributed"/>
    <n v="0.8"/>
    <n v="1312.8000000000002"/>
    <n v="0"/>
    <s v="Low coverage"/>
    <s v="n/a"/>
    <s v="n/a"/>
    <s v="Not yet set up"/>
    <s v="Set up but low results "/>
    <m/>
  </r>
  <r>
    <s v="Buthidaung"/>
    <s v="MMR012010061"/>
    <s v="San Goe Taung"/>
    <s v="198410"/>
    <s v="U Yin Thar"/>
    <m/>
    <m/>
    <x v="0"/>
    <s v="Rakhine"/>
    <x v="0"/>
    <n v="0"/>
    <n v="0"/>
    <n v="219"/>
    <m/>
    <s v="1. Small"/>
    <s v="E.U."/>
    <m/>
    <s v="CARE"/>
    <s v="Covered"/>
    <d v="2016-01-07T00:00:00"/>
    <m/>
    <s v="Focal NGO"/>
    <n v="0"/>
    <n v="0"/>
    <s v="No"/>
    <n v="0"/>
    <n v="1"/>
    <n v="0"/>
    <n v="2"/>
    <m/>
    <n v="0"/>
    <n v="0"/>
    <n v="1"/>
    <n v="219"/>
    <n v="1"/>
    <n v="219"/>
    <n v="1"/>
    <n v="219"/>
    <s v="80-100%"/>
    <n v="0"/>
    <n v="0"/>
    <s v="yes"/>
    <n v="0"/>
    <n v="0"/>
    <n v="0"/>
    <n v="1"/>
    <n v="219"/>
    <s v=" Planned Pond renovation with hand pump installation "/>
    <n v="0"/>
    <n v="6"/>
    <n v="42"/>
    <s v="Share Household Latriens"/>
    <n v="1"/>
    <n v="219"/>
    <n v="1"/>
    <n v="219"/>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m/>
    <m/>
    <m/>
    <s v="Wa Khote Chaung"/>
    <m/>
    <m/>
    <x v="0"/>
    <s v="Kah Mee"/>
    <x v="0"/>
    <n v="0"/>
    <n v="0"/>
    <n v="145"/>
    <m/>
    <s v="1. Small"/>
    <s v="E.U."/>
    <m/>
    <s v="CARE"/>
    <s v="Covered"/>
    <d v="2016-01-07T00:00:00"/>
    <m/>
    <s v="Focal NGO"/>
    <n v="0"/>
    <n v="0"/>
    <s v="No"/>
    <n v="0"/>
    <n v="0"/>
    <n v="0"/>
    <n v="0"/>
    <m/>
    <n v="0"/>
    <n v="0"/>
    <n v="0"/>
    <n v="0"/>
    <n v="0"/>
    <n v="0"/>
    <n v="0"/>
    <n v="0"/>
    <s v="0-10%"/>
    <n v="0"/>
    <n v="0"/>
    <s v="no"/>
    <n v="0.57999999999999996"/>
    <n v="0"/>
    <n v="0"/>
    <n v="0.9"/>
    <n v="130.5"/>
    <s v=" 1- spring cash flow with hand pump renovated "/>
    <n v="0"/>
    <n v="15"/>
    <n v="42"/>
    <s v="Share Household Latriens"/>
    <n v="1"/>
    <n v="145"/>
    <n v="1"/>
    <n v="145"/>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6"/>
    <s v="Thay Kan Gwa Son"/>
    <s v="198430"/>
    <s v="Wet Ma Kya"/>
    <m/>
    <m/>
    <x v="0"/>
    <s v="Muslim"/>
    <x v="0"/>
    <n v="0"/>
    <n v="0"/>
    <n v="1913"/>
    <m/>
    <s v="3. Large"/>
    <s v="E.U."/>
    <m/>
    <s v="ACF"/>
    <s v="Covered"/>
    <d v="2016-01-07T00:00:00"/>
    <m/>
    <s v="Focal NGO"/>
    <n v="0"/>
    <n v="0"/>
    <s v="No"/>
    <n v="0"/>
    <n v="0"/>
    <n v="0"/>
    <n v="1"/>
    <m/>
    <n v="0"/>
    <n v="0"/>
    <n v="0"/>
    <n v="0"/>
    <n v="0"/>
    <n v="0"/>
    <n v="0"/>
    <n v="0"/>
    <s v="0-10%"/>
    <n v="0"/>
    <n v="0"/>
    <s v="yes"/>
    <n v="7.6520000000000001"/>
    <n v="0"/>
    <n v="0"/>
    <m/>
    <n v="0"/>
    <m/>
    <n v="0"/>
    <n v="39"/>
    <n v="42"/>
    <s v="Share Household Latriens"/>
    <n v="0.85624673288029274"/>
    <n v="1638"/>
    <n v="0.85624673288029274"/>
    <n v="1638"/>
    <n v="0"/>
    <n v="0"/>
    <s v="n/a"/>
    <s v="n/a"/>
    <n v="0"/>
    <s v="n/a"/>
    <s v="n/a"/>
    <s v="n/a"/>
    <s v="n/a"/>
    <s v="n/a"/>
    <s v="n/a"/>
    <s v="n/a"/>
    <s v="n/a"/>
    <s v="n/a"/>
    <s v="n/a"/>
    <n v="1"/>
    <s v="n/a"/>
    <s v="Latrines at each HH"/>
    <s v="n/a"/>
    <m/>
    <m/>
    <s v="n/a"/>
    <n v="0"/>
    <n v="0"/>
    <s v="n/a"/>
    <s v="n/a"/>
    <s v="n/a"/>
    <s v="n/a"/>
    <s v="HH latrine kits to be distributed"/>
    <n v="0.8"/>
    <n v="1530.4"/>
    <n v="3"/>
    <s v="Low coverage"/>
    <s v="n/a"/>
    <s v="n/a"/>
    <s v="Not yet set up"/>
    <s v="Set up but low results "/>
    <m/>
  </r>
  <r>
    <s v="Buthidaung"/>
    <s v="MMR012010031"/>
    <s v="Tha Yet Kin Ma Nu"/>
    <s v="198291"/>
    <s v="Ywa Gyi (Tha Yet Kin Ma Nu)"/>
    <m/>
    <m/>
    <x v="0"/>
    <s v="Muslim"/>
    <x v="0"/>
    <n v="0"/>
    <n v="0"/>
    <n v="773"/>
    <m/>
    <s v="2. Medium"/>
    <s v="E.U."/>
    <m/>
    <s v="CARE"/>
    <s v="Covered"/>
    <d v="2016-01-07T00:00:00"/>
    <m/>
    <s v="Focal NGO"/>
    <n v="0"/>
    <n v="0"/>
    <s v="No"/>
    <n v="0"/>
    <n v="4"/>
    <n v="0"/>
    <n v="2"/>
    <m/>
    <n v="0"/>
    <n v="0"/>
    <n v="1"/>
    <n v="773"/>
    <n v="1"/>
    <n v="773"/>
    <n v="1"/>
    <n v="773"/>
    <s v="80-100%"/>
    <n v="0"/>
    <n v="0"/>
    <s v="yes"/>
    <n v="0"/>
    <n v="0"/>
    <n v="0"/>
    <n v="1"/>
    <n v="773"/>
    <s v=" Planned Pond renovation with hand pump installation "/>
    <n v="0"/>
    <n v="7"/>
    <n v="42"/>
    <s v="Share Household Latriens"/>
    <n v="0.38033635187580855"/>
    <n v="294"/>
    <n v="0.38033635187580855"/>
    <n v="294"/>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NA"/>
    <s v="NA"/>
    <m/>
    <s v="Zan Kha Ma"/>
    <m/>
    <m/>
    <x v="0"/>
    <s v="Muslim"/>
    <x v="0"/>
    <n v="0"/>
    <n v="0"/>
    <n v="345"/>
    <m/>
    <s v="1. Small"/>
    <s v="E.U."/>
    <m/>
    <s v="ACF"/>
    <s v="Covered"/>
    <d v="2016-01-07T00:00:00"/>
    <m/>
    <s v="Focal NGO"/>
    <n v="0"/>
    <n v="0"/>
    <s v="No"/>
    <n v="0"/>
    <n v="0"/>
    <n v="0"/>
    <n v="1"/>
    <m/>
    <n v="0"/>
    <n v="0"/>
    <n v="0"/>
    <n v="0"/>
    <n v="0"/>
    <n v="0"/>
    <n v="0"/>
    <n v="0"/>
    <s v="0-10%"/>
    <n v="0"/>
    <n v="0"/>
    <s v="yes"/>
    <n v="1.38"/>
    <n v="0"/>
    <n v="0"/>
    <n v="0"/>
    <n v="0"/>
    <m/>
    <n v="0"/>
    <n v="0"/>
    <n v="42"/>
    <s v="Household latrines"/>
    <n v="0"/>
    <n v="0"/>
    <n v="0"/>
    <n v="0"/>
    <n v="0"/>
    <n v="0"/>
    <s v="n/a"/>
    <s v="n/a"/>
    <n v="0"/>
    <s v="n/a"/>
    <s v="n/a"/>
    <s v="n/a"/>
    <s v="n/a"/>
    <s v="n/a"/>
    <s v="n/a"/>
    <s v="n/a"/>
    <s v="n/a"/>
    <s v="n/a"/>
    <s v="n/a"/>
    <n v="1"/>
    <s v="n/a"/>
    <s v="Latrines at each HH"/>
    <s v="n/a"/>
    <m/>
    <m/>
    <s v="n/a"/>
    <n v="0"/>
    <n v="0"/>
    <s v="n/a"/>
    <s v="n/a"/>
    <s v="n/a"/>
    <s v="n/a"/>
    <s v="HH latrine kits to be distributed"/>
    <n v="1"/>
    <n v="345"/>
    <n v="3"/>
    <s v="Low coverage"/>
    <s v="n/a"/>
    <s v="n/a"/>
    <s v="Not yet set up"/>
    <s v="Set up but low results "/>
    <m/>
  </r>
  <r>
    <s v="Buthidaung"/>
    <s v="MMR012010013"/>
    <s v="Inn Chaung"/>
    <s v="198184"/>
    <s v="Zay Teit Taung"/>
    <m/>
    <m/>
    <x v="0"/>
    <s v="Muslim"/>
    <x v="0"/>
    <n v="0"/>
    <n v="0"/>
    <n v="651"/>
    <m/>
    <s v="2. Medium"/>
    <s v="E.U."/>
    <m/>
    <s v="CARE"/>
    <s v="Covered"/>
    <d v="2016-01-07T00:00:00"/>
    <m/>
    <s v="Focal NGO"/>
    <n v="0"/>
    <n v="0"/>
    <s v="No"/>
    <n v="0"/>
    <n v="4"/>
    <n v="0"/>
    <n v="5"/>
    <m/>
    <n v="0"/>
    <n v="0"/>
    <n v="1"/>
    <n v="651"/>
    <n v="1"/>
    <n v="651"/>
    <n v="1"/>
    <n v="651"/>
    <s v="80-100%"/>
    <n v="0"/>
    <n v="0"/>
    <s v="yes"/>
    <n v="0"/>
    <n v="0"/>
    <n v="0"/>
    <n v="1"/>
    <n v="651"/>
    <s v=" Planned Pond renovation with hand pump installation "/>
    <n v="0"/>
    <n v="10"/>
    <n v="42"/>
    <s v="Share Household Latriens"/>
    <n v="0.64516129032258063"/>
    <n v="420"/>
    <n v="0.64516129032258063"/>
    <n v="42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Buthidaung"/>
    <s v="MMR012010065"/>
    <s v="Wet Ma Kya (a) Zay Di Taung"/>
    <s v="198425"/>
    <s v="Zedi Taung (Muslim)"/>
    <m/>
    <m/>
    <x v="0"/>
    <s v="Muslim"/>
    <x v="0"/>
    <n v="0"/>
    <n v="0"/>
    <n v="710"/>
    <m/>
    <s v="2. Medium"/>
    <s v="E.U."/>
    <m/>
    <s v="CARE"/>
    <s v="Covered"/>
    <d v="2016-01-07T00:00:00"/>
    <m/>
    <s v="Focal NGO"/>
    <n v="0"/>
    <n v="0"/>
    <s v="No"/>
    <n v="0"/>
    <n v="1"/>
    <n v="0"/>
    <n v="2"/>
    <m/>
    <n v="0"/>
    <n v="0"/>
    <n v="0.352112676056338"/>
    <n v="249.99999999999997"/>
    <n v="0.352112676056338"/>
    <n v="249.99999999999997"/>
    <n v="0.352112676056338"/>
    <n v="249.99999999999997"/>
    <s v="30-45%"/>
    <n v="0"/>
    <n v="0"/>
    <s v="yes"/>
    <n v="1.8399999999999999"/>
    <n v="0"/>
    <n v="0"/>
    <n v="0.9"/>
    <n v="639"/>
    <s v=" Planned Pond renovation with hand pump installation "/>
    <n v="0"/>
    <n v="0"/>
    <n v="42"/>
    <s v="Share Household Latriens"/>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Kyauk Phyu"/>
    <m/>
    <m/>
    <n v="198645"/>
    <s v="Baw Ya Par"/>
    <n v="93.699799999999996"/>
    <n v="19.184200000000001"/>
    <x v="0"/>
    <s v="Rakhine"/>
    <x v="1"/>
    <n v="0"/>
    <n v="0"/>
    <n v="312"/>
    <s v="Not affected"/>
    <s v="1. Small"/>
    <s v="UNICEF"/>
    <m/>
    <s v="Oxfam"/>
    <s v="Covered"/>
    <d v="2015-11-30T00:00:00"/>
    <m/>
    <s v="Focal NGO"/>
    <n v="0"/>
    <n v="0"/>
    <s v="No"/>
    <n v="2"/>
    <n v="0"/>
    <n v="0"/>
    <n v="5"/>
    <m/>
    <n v="0"/>
    <n v="0"/>
    <n v="1"/>
    <n v="312"/>
    <n v="1"/>
    <n v="312"/>
    <n v="1"/>
    <n v="312"/>
    <s v="80-100%"/>
    <n v="0"/>
    <n v="0"/>
    <s v="yes"/>
    <n v="0"/>
    <n v="0"/>
    <n v="0"/>
    <n v="1"/>
    <n v="312"/>
    <m/>
    <n v="0"/>
    <n v="37"/>
    <n v="6"/>
    <s v="Share Household Latriens"/>
    <n v="0.71153846153846156"/>
    <n v="222"/>
    <n v="0.71153846153846156"/>
    <n v="222"/>
    <n v="0"/>
    <n v="0"/>
    <s v="n/a"/>
    <n v="1"/>
    <n v="312"/>
    <s v="n/a"/>
    <s v="n/a"/>
    <s v="n/a"/>
    <s v="n/a"/>
    <s v="n/a"/>
    <s v="n/a"/>
    <s v="n/a"/>
    <s v="n/a"/>
    <s v="n/a"/>
    <s v="n/a"/>
    <s v="n/a"/>
    <s v="n/a"/>
    <s v="community latrines"/>
    <s v="n/a"/>
    <m/>
    <m/>
    <s v="n/a"/>
    <m/>
    <m/>
    <s v="n/a"/>
    <s v="n/a"/>
    <s v="n/a"/>
    <s v="n/a"/>
    <m/>
    <n v="0"/>
    <n v="0"/>
    <n v="2"/>
    <s v="Excellent coverage"/>
    <s v="Not yet set up"/>
    <s v="n/a"/>
    <s v="Functional and efficient"/>
    <s v="Functional and efficient"/>
    <s v="WASH actvities coordinated by WASH committee."/>
  </r>
  <r>
    <s v="Kyauk Phyu"/>
    <m/>
    <m/>
    <n v="198647"/>
    <s v="Chin Ywar Min Pyin"/>
    <n v="93.733699999999999"/>
    <n v="19.189399999999999"/>
    <x v="0"/>
    <s v="Rakhine"/>
    <x v="1"/>
    <n v="0"/>
    <n v="0"/>
    <n v="689"/>
    <s v="Not affected"/>
    <s v="2. Medium"/>
    <s v="UNICEF"/>
    <m/>
    <s v="Oxfam"/>
    <s v="Covered"/>
    <d v="2015-11-30T00:00:00"/>
    <m/>
    <s v="Focal NGO"/>
    <n v="0"/>
    <n v="0"/>
    <s v="No"/>
    <n v="3"/>
    <n v="0"/>
    <n v="0"/>
    <n v="1"/>
    <m/>
    <n v="0"/>
    <n v="0"/>
    <n v="1"/>
    <n v="689"/>
    <n v="1"/>
    <n v="689"/>
    <n v="1"/>
    <n v="689"/>
    <s v="80-100%"/>
    <n v="0"/>
    <n v="0"/>
    <s v="yes"/>
    <n v="0"/>
    <n v="0"/>
    <n v="0"/>
    <n v="1"/>
    <n v="689"/>
    <m/>
    <n v="0"/>
    <n v="16"/>
    <n v="6"/>
    <s v="Share Household Latriens"/>
    <n v="0.13933236574746008"/>
    <n v="96"/>
    <n v="0.13933236574746008"/>
    <n v="96"/>
    <n v="0"/>
    <n v="0"/>
    <s v="n/a"/>
    <n v="1"/>
    <n v="689"/>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s v="MMR012CMP036"/>
    <s v="Ka Nyin Taw"/>
    <n v="93.552452000000002"/>
    <n v="19.421102000000001"/>
    <x v="1"/>
    <s v="Rakhine"/>
    <x v="2"/>
    <n v="65"/>
    <n v="327"/>
    <n v="327"/>
    <s v="Not affected"/>
    <s v="2. Medium"/>
    <s v="UNICEF"/>
    <s v="UNHCR"/>
    <s v="Oxfam"/>
    <s v="Covered"/>
    <d v="2015-11-30T00:00:00"/>
    <m/>
    <s v="Focal NGO"/>
    <n v="0"/>
    <n v="0"/>
    <s v="No"/>
    <n v="3"/>
    <n v="0"/>
    <n v="2"/>
    <n v="0"/>
    <m/>
    <n v="1"/>
    <n v="0"/>
    <n v="1"/>
    <n v="327"/>
    <n v="1"/>
    <n v="327"/>
    <n v="1"/>
    <n v="327"/>
    <s v="80-100%"/>
    <n v="0"/>
    <n v="0"/>
    <s v="no"/>
    <n v="0"/>
    <n v="0"/>
    <n v="327"/>
    <n v="1"/>
    <n v="327"/>
    <s v="1 pond; household bucket chlorination in place"/>
    <n v="0"/>
    <n v="8"/>
    <n v="20"/>
    <s v="Gender Separate, clearly perceived"/>
    <n v="0.4892966360856269"/>
    <n v="160"/>
    <n v="0.4892966360856269"/>
    <n v="160"/>
    <n v="0"/>
    <n v="0"/>
    <s v="n/a"/>
    <n v="1"/>
    <n v="327"/>
    <n v="8.3500000000000014"/>
    <n v="1"/>
    <n v="1.7125382262996942E-2"/>
    <n v="5.6"/>
    <n v="57.392857142857146"/>
    <n v="1"/>
    <n v="318"/>
    <n v="12"/>
    <n v="1"/>
    <n v="0"/>
    <n v="1"/>
    <n v="327"/>
    <s v="Comunal bath house constructed &amp; connected to water as required by the community."/>
    <d v="2015-01-25T00:00:00"/>
    <m/>
    <m/>
    <d v="2016-01-25T00:00:00"/>
    <n v="65"/>
    <n v="1"/>
    <n v="0"/>
    <n v="1"/>
    <n v="327"/>
    <n v="7"/>
    <s v="Refil done monthly"/>
    <n v="0.75"/>
    <n v="245.25"/>
    <n v="11"/>
    <s v="Excellent coverage"/>
    <s v="Functional and efficient"/>
    <s v="No"/>
    <s v="Functional and efficient"/>
    <s v="Functional and efficient"/>
    <s v="60 IDPs leave with relatives in Kyuk Phyu town."/>
  </r>
  <r>
    <s v="Kyauk Phyu"/>
    <m/>
    <m/>
    <n v="198611"/>
    <s v="Kyauk Ka Lay"/>
    <n v="93.596400000000003"/>
    <n v="19.175699999999999"/>
    <x v="0"/>
    <s v="Rakhine"/>
    <x v="1"/>
    <n v="0"/>
    <n v="0"/>
    <n v="497"/>
    <s v="Not affected"/>
    <s v="1. Small"/>
    <s v="UNICEF"/>
    <m/>
    <s v="Oxfam"/>
    <s v="Covered"/>
    <d v="2015-11-30T00:00:00"/>
    <m/>
    <s v="Focal NGO"/>
    <n v="0"/>
    <n v="0"/>
    <s v="No"/>
    <n v="7"/>
    <n v="0"/>
    <n v="0"/>
    <n v="1"/>
    <m/>
    <n v="0"/>
    <n v="0"/>
    <n v="1"/>
    <n v="497"/>
    <n v="1"/>
    <n v="497"/>
    <n v="1"/>
    <n v="497"/>
    <s v="80-100%"/>
    <n v="0"/>
    <n v="0"/>
    <s v="yes"/>
    <n v="0"/>
    <n v="0"/>
    <n v="0"/>
    <n v="1"/>
    <n v="497"/>
    <m/>
    <n v="0"/>
    <n v="25"/>
    <n v="6"/>
    <s v="Share Household Latriens"/>
    <n v="0.30181086519114686"/>
    <n v="150"/>
    <n v="0.30181086519114686"/>
    <n v="150"/>
    <n v="0"/>
    <n v="0"/>
    <s v="n/a"/>
    <n v="1"/>
    <n v="497"/>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s v="MMR012CMP035"/>
    <s v="Kyauk Ta Lone "/>
    <n v="93.512326000000002"/>
    <n v="19.424576999999999"/>
    <x v="1"/>
    <s v="Muslim"/>
    <x v="2"/>
    <n v="427"/>
    <n v="1274"/>
    <n v="1274"/>
    <s v="Not affected"/>
    <s v="3. Large"/>
    <s v="UNICEF"/>
    <s v="UNHCR"/>
    <s v="Oxfam"/>
    <s v="Covered"/>
    <d v="2015-11-30T00:00:00"/>
    <m/>
    <s v="Focal NGO"/>
    <n v="0"/>
    <n v="0"/>
    <s v="No"/>
    <n v="8"/>
    <n v="1"/>
    <n v="21"/>
    <n v="0"/>
    <m/>
    <n v="1"/>
    <n v="0"/>
    <n v="1"/>
    <n v="1274"/>
    <n v="1"/>
    <n v="1274"/>
    <n v="1"/>
    <n v="1274"/>
    <s v="80-100%"/>
    <n v="0"/>
    <n v="0"/>
    <s v="no"/>
    <n v="0"/>
    <n v="0"/>
    <n v="1274"/>
    <n v="1"/>
    <n v="1274"/>
    <s v="1 pond untreated"/>
    <n v="0"/>
    <n v="86"/>
    <n v="20"/>
    <s v="No Specification"/>
    <n v="1"/>
    <n v="1274"/>
    <n v="1"/>
    <n v="1274"/>
    <n v="0"/>
    <n v="0"/>
    <s v="75-100%"/>
    <n v="1"/>
    <n v="1274"/>
    <n v="0"/>
    <n v="3"/>
    <n v="1.3186813186813185E-2"/>
    <n v="16.799999999999997"/>
    <n v="224.50000000000003"/>
    <n v="1"/>
    <n v="1371"/>
    <n v="20"/>
    <n v="1"/>
    <n v="0"/>
    <n v="1"/>
    <n v="1274"/>
    <s v="Bathing stations are used where water is available nearby. Community also use a bathing pond located at edge of camp."/>
    <d v="2014-05-15T00:00:00"/>
    <m/>
    <m/>
    <s v="To be done"/>
    <n v="427"/>
    <n v="1"/>
    <n v="427"/>
    <n v="0"/>
    <n v="0"/>
    <n v="16"/>
    <s v="Refil done monthly"/>
    <n v="0.75"/>
    <n v="955.5"/>
    <n v="6"/>
    <s v="Excellent coverage"/>
    <s v="Functional and efficient"/>
    <s v="No"/>
    <s v="Functional and efficient"/>
    <s v="Functional and efficient"/>
    <m/>
  </r>
  <r>
    <s v="Kyauk Phyu"/>
    <m/>
    <m/>
    <n v="198612"/>
    <s v="Nga/Oke"/>
    <n v="93.585700000000003"/>
    <n v="19.195399999999999"/>
    <x v="0"/>
    <s v="Rakhine"/>
    <x v="1"/>
    <n v="0"/>
    <n v="0"/>
    <n v="598"/>
    <s v="Not affected"/>
    <s v="2. Medium"/>
    <s v="UNICEF"/>
    <m/>
    <s v="Oxfam"/>
    <s v="Covered"/>
    <d v="2015-11-30T00:00:00"/>
    <m/>
    <s v="Focal NGO"/>
    <n v="0"/>
    <n v="0"/>
    <s v="No"/>
    <n v="15"/>
    <n v="0"/>
    <n v="0"/>
    <m/>
    <m/>
    <n v="0"/>
    <n v="0"/>
    <n v="1"/>
    <n v="598"/>
    <n v="1"/>
    <n v="598"/>
    <n v="1"/>
    <n v="598"/>
    <s v="80-100%"/>
    <n v="0"/>
    <n v="0"/>
    <s v="no"/>
    <n v="0"/>
    <n v="0"/>
    <n v="0"/>
    <n v="1"/>
    <n v="598"/>
    <m/>
    <n v="0"/>
    <n v="29"/>
    <n v="6"/>
    <s v="Share Household Latriens"/>
    <n v="0.29096989966555181"/>
    <n v="173.99999999999997"/>
    <n v="0.29096989966555181"/>
    <n v="173.99999999999997"/>
    <n v="0"/>
    <n v="0"/>
    <s v="n/a"/>
    <n v="1"/>
    <n v="598"/>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6"/>
    <s v="Pyu Chaing"/>
    <n v="93.551000000000002"/>
    <n v="19.2498"/>
    <x v="0"/>
    <s v="Rakhine"/>
    <x v="1"/>
    <n v="0"/>
    <n v="0"/>
    <n v="156"/>
    <s v="Not affected"/>
    <s v="1. Small"/>
    <s v="UNICEF"/>
    <m/>
    <s v="Oxfam"/>
    <s v="Covered"/>
    <d v="2015-11-30T00:00:00"/>
    <m/>
    <s v="Focal NGO"/>
    <n v="0"/>
    <n v="0"/>
    <s v="No"/>
    <n v="7"/>
    <n v="0"/>
    <n v="0"/>
    <n v="2"/>
    <m/>
    <n v="0"/>
    <n v="0"/>
    <n v="1"/>
    <n v="156"/>
    <n v="1"/>
    <n v="156"/>
    <n v="1"/>
    <n v="156"/>
    <s v="80-100%"/>
    <n v="0"/>
    <n v="0"/>
    <s v="yes"/>
    <n v="0"/>
    <n v="0"/>
    <n v="0"/>
    <n v="1"/>
    <n v="156"/>
    <m/>
    <n v="0"/>
    <n v="9"/>
    <n v="6"/>
    <s v="Share Household Latriens"/>
    <n v="0.34615384615384615"/>
    <n v="54"/>
    <n v="0.34615384615384615"/>
    <n v="54"/>
    <n v="0"/>
    <n v="0"/>
    <s v="n/a"/>
    <n v="1"/>
    <n v="156"/>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643"/>
    <s v="Rakhine Min Pyin"/>
    <n v="93.720699999999994"/>
    <n v="19.188700000000001"/>
    <x v="0"/>
    <s v="Rakhine"/>
    <x v="1"/>
    <n v="0"/>
    <n v="0"/>
    <n v="314"/>
    <s v="Not affected"/>
    <s v="1. Small"/>
    <s v="UNICEF"/>
    <m/>
    <s v="Oxfam"/>
    <s v="Covered"/>
    <d v="2015-11-30T00:00:00"/>
    <m/>
    <s v="Focal NGO"/>
    <n v="0"/>
    <n v="0"/>
    <s v="No"/>
    <n v="7"/>
    <n v="0"/>
    <n v="0"/>
    <n v="2"/>
    <m/>
    <n v="0"/>
    <n v="0"/>
    <n v="1"/>
    <n v="314"/>
    <n v="1"/>
    <n v="314"/>
    <n v="1"/>
    <n v="314"/>
    <s v="80-100%"/>
    <n v="0"/>
    <n v="0"/>
    <s v="yes"/>
    <n v="0"/>
    <n v="0"/>
    <n v="0"/>
    <n v="1"/>
    <n v="314"/>
    <m/>
    <n v="0"/>
    <n v="27"/>
    <n v="6"/>
    <s v="Share Household Latriens"/>
    <n v="0.51592356687898089"/>
    <n v="162"/>
    <n v="0.51592356687898089"/>
    <n v="162"/>
    <n v="0"/>
    <n v="0"/>
    <s v="n/a"/>
    <n v="0.6"/>
    <n v="188.4"/>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4"/>
    <s v="Wa Hmyaung"/>
    <n v="93.571299999999994"/>
    <n v="19.221900000000002"/>
    <x v="0"/>
    <s v="Rakhine"/>
    <x v="1"/>
    <n v="0"/>
    <n v="0"/>
    <n v="809"/>
    <s v="Not affected"/>
    <s v="2. Medium"/>
    <s v="UNICEF"/>
    <m/>
    <s v="Oxfam"/>
    <s v="Covered"/>
    <d v="2015-11-30T00:00:00"/>
    <m/>
    <s v="Focal NGO"/>
    <n v="0"/>
    <n v="0"/>
    <s v="No"/>
    <n v="3"/>
    <n v="0"/>
    <n v="0"/>
    <n v="4"/>
    <m/>
    <n v="0.03"/>
    <n v="0"/>
    <n v="0.92707045735475901"/>
    <n v="750"/>
    <n v="0.92707045735475901"/>
    <n v="750"/>
    <n v="0.92707045735475901"/>
    <n v="750"/>
    <s v="80-100%"/>
    <n v="0"/>
    <n v="0"/>
    <s v="yes"/>
    <n v="0.23600000000000021"/>
    <n v="0"/>
    <n v="24.27"/>
    <n v="1"/>
    <n v="809"/>
    <m/>
    <n v="0"/>
    <n v="37"/>
    <n v="6"/>
    <s v="Share Household Latriens"/>
    <n v="0.27441285537700866"/>
    <n v="222"/>
    <n v="0.27441285537700866"/>
    <n v="222"/>
    <n v="0"/>
    <n v="0"/>
    <s v="n/a"/>
    <n v="0.3"/>
    <n v="242.7"/>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512"/>
    <s v="War Net Chun"/>
    <n v="93.548599999999993"/>
    <n v="19.254300000000001"/>
    <x v="0"/>
    <s v="Rakhine"/>
    <x v="1"/>
    <n v="0"/>
    <n v="0"/>
    <n v="634"/>
    <s v="Not affected"/>
    <s v="2. Medium"/>
    <s v="UNICEF"/>
    <m/>
    <s v="Oxfam"/>
    <s v="Covered"/>
    <d v="2015-11-30T00:00:00"/>
    <m/>
    <s v="Focal NGO"/>
    <n v="0"/>
    <n v="0"/>
    <s v="No"/>
    <n v="6"/>
    <n v="0"/>
    <n v="0"/>
    <n v="1"/>
    <m/>
    <n v="0"/>
    <n v="0"/>
    <n v="1"/>
    <n v="634"/>
    <n v="1"/>
    <n v="634"/>
    <n v="1"/>
    <n v="634"/>
    <s v="80-100%"/>
    <n v="0"/>
    <n v="0"/>
    <s v="yes"/>
    <n v="0"/>
    <n v="0"/>
    <n v="0"/>
    <n v="1"/>
    <n v="634"/>
    <m/>
    <n v="0"/>
    <n v="22"/>
    <n v="6"/>
    <s v="Share Household Latriens"/>
    <n v="0.20820189274447951"/>
    <n v="132"/>
    <n v="0.20820189274447951"/>
    <n v="132"/>
    <n v="0"/>
    <n v="0"/>
    <s v="n/a"/>
    <n v="0.3"/>
    <n v="190.2"/>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Phyu"/>
    <m/>
    <m/>
    <n v="198657"/>
    <s v="Yae Myet"/>
    <n v="92.340199999999996"/>
    <n v="21.057600000000001"/>
    <x v="0"/>
    <s v="Rakhine"/>
    <x v="1"/>
    <n v="0"/>
    <n v="0"/>
    <n v="158"/>
    <s v="Not affected"/>
    <s v="1. Small"/>
    <s v="UNICEF"/>
    <m/>
    <s v="Oxfam"/>
    <s v="Covered"/>
    <d v="2015-11-30T00:00:00"/>
    <m/>
    <s v="Focal NGO"/>
    <n v="0"/>
    <n v="0"/>
    <s v="No"/>
    <n v="1"/>
    <n v="0"/>
    <n v="0"/>
    <n v="2"/>
    <m/>
    <n v="0"/>
    <n v="0"/>
    <n v="1"/>
    <n v="158"/>
    <n v="1"/>
    <n v="158"/>
    <n v="1"/>
    <n v="158"/>
    <s v="80-100%"/>
    <n v="0"/>
    <n v="0"/>
    <s v="yes"/>
    <n v="0"/>
    <n v="0"/>
    <n v="0"/>
    <n v="1"/>
    <n v="158"/>
    <s v="2 spring"/>
    <n v="0"/>
    <n v="7"/>
    <n v="6"/>
    <s v="Share Household Latriens"/>
    <n v="0.26582278481012656"/>
    <n v="41.999999999999993"/>
    <n v="0.26582278481012656"/>
    <n v="41.999999999999993"/>
    <n v="0"/>
    <n v="0"/>
    <s v="n/a"/>
    <m/>
    <n v="0"/>
    <s v="n/a"/>
    <s v="n/a"/>
    <s v="n/a"/>
    <s v="n/a"/>
    <s v="n/a"/>
    <s v="n/a"/>
    <s v="n/a"/>
    <s v="n/a"/>
    <s v="n/a"/>
    <s v="n/a"/>
    <s v="n/a"/>
    <s v="n/a"/>
    <s v="HH latrines built with community particpation"/>
    <s v="n/a"/>
    <m/>
    <m/>
    <s v="n/a"/>
    <m/>
    <m/>
    <s v="n/a"/>
    <s v="n/a"/>
    <s v="n/a"/>
    <s v="n/a"/>
    <m/>
    <n v="0"/>
    <n v="0"/>
    <n v="2"/>
    <s v="Excellent coverage"/>
    <s v="Not yet set up"/>
    <s v="n/a"/>
    <s v="Functional and efficient"/>
    <s v="Functional and efficient"/>
    <s v="WASH actvities coordinated by WASH committee."/>
  </r>
  <r>
    <s v="Kyauk Taw"/>
    <m/>
    <m/>
    <s v="MMR012CMP022"/>
    <s v="Ah Lel"/>
    <n v="93.002700000000004"/>
    <n v="20.921199999999999"/>
    <x v="0"/>
    <s v="Muslim"/>
    <x v="3"/>
    <n v="23"/>
    <n v="140"/>
    <n v="480"/>
    <s v="Moderately affected"/>
    <s v="1. Small"/>
    <s v="None"/>
    <s v="UNHCR"/>
    <s v="None"/>
    <s v="Not Covered"/>
    <m/>
    <m/>
    <s v="Not documented"/>
    <n v="0"/>
    <n v="0"/>
    <s v="No"/>
    <n v="0"/>
    <n v="0"/>
    <n v="0"/>
    <n v="2"/>
    <m/>
    <n v="0"/>
    <n v="0"/>
    <n v="0"/>
    <n v="0"/>
    <n v="0"/>
    <n v="0"/>
    <n v="0"/>
    <n v="0"/>
    <s v="0-10%"/>
    <n v="0"/>
    <n v="0"/>
    <s v="yes"/>
    <n v="1.92"/>
    <n v="0"/>
    <n v="0"/>
    <n v="0"/>
    <n v="0"/>
    <m/>
    <n v="4"/>
    <n v="0"/>
    <n v="6"/>
    <s v="Mixed"/>
    <n v="0"/>
    <n v="0"/>
    <n v="0"/>
    <n v="0"/>
    <n v="0"/>
    <n v="0"/>
    <s v="n/a"/>
    <n v="0"/>
    <n v="0"/>
    <s v="n/a"/>
    <s v="n/a"/>
    <s v="n/a"/>
    <s v="n/a"/>
    <s v="n/a"/>
    <s v="n/a"/>
    <s v="n/a"/>
    <s v="n/a"/>
    <s v="n/a"/>
    <s v="n/a"/>
    <s v="n/a"/>
    <s v="n/a"/>
    <s v="community latrines"/>
    <s v="n/a"/>
    <m/>
    <m/>
    <s v="n/a"/>
    <m/>
    <m/>
    <s v="n/a"/>
    <s v="n/a"/>
    <s v="n/a"/>
    <s v="n/a"/>
    <m/>
    <m/>
    <n v="0"/>
    <m/>
    <s v="No coverage"/>
    <m/>
    <m/>
    <m/>
    <m/>
    <m/>
  </r>
  <r>
    <s v="Kyauk Taw"/>
    <m/>
    <m/>
    <s v="MMR012CMP025"/>
    <s v="Ah Lel Kyun"/>
    <n v="93.016300000000001"/>
    <n v="20.911000000000001"/>
    <x v="0"/>
    <s v="Muslim"/>
    <x v="3"/>
    <n v="14"/>
    <n v="84"/>
    <n v="3109"/>
    <s v="Moderately affected"/>
    <s v="3. Large"/>
    <s v="None"/>
    <s v="UNHCR"/>
    <s v="None"/>
    <s v="Not Covered"/>
    <m/>
    <m/>
    <s v="Not documented"/>
    <n v="0"/>
    <n v="0"/>
    <s v="No"/>
    <n v="0"/>
    <n v="0"/>
    <n v="0"/>
    <n v="2"/>
    <m/>
    <n v="0"/>
    <n v="0"/>
    <n v="0"/>
    <n v="0"/>
    <n v="0"/>
    <n v="0"/>
    <n v="0"/>
    <n v="0"/>
    <s v="0-10%"/>
    <n v="0"/>
    <n v="0"/>
    <s v="yes"/>
    <n v="12.436"/>
    <n v="0"/>
    <n v="0"/>
    <n v="0"/>
    <n v="0"/>
    <m/>
    <n v="0"/>
    <n v="4"/>
    <n v="6"/>
    <s v="Mixed"/>
    <n v="7.7195239626889674E-3"/>
    <n v="24"/>
    <n v="7.7195239626889674E-3"/>
    <n v="24"/>
    <n v="0"/>
    <n v="0"/>
    <s v="n/a"/>
    <n v="0.01"/>
    <n v="31.09"/>
    <s v="n/a"/>
    <s v="n/a"/>
    <s v="n/a"/>
    <s v="n/a"/>
    <s v="n/a"/>
    <s v="n/a"/>
    <s v="n/a"/>
    <s v="n/a"/>
    <s v="n/a"/>
    <s v="n/a"/>
    <s v="n/a"/>
    <s v="n/a"/>
    <s v="community latrines"/>
    <s v="n/a"/>
    <m/>
    <m/>
    <s v="n/a"/>
    <m/>
    <m/>
    <s v="n/a"/>
    <s v="n/a"/>
    <s v="n/a"/>
    <s v="n/a"/>
    <m/>
    <m/>
    <n v="0"/>
    <m/>
    <s v="No coverage"/>
    <m/>
    <m/>
    <m/>
    <m/>
    <m/>
  </r>
  <r>
    <s v="Kyauk Taw"/>
    <m/>
    <m/>
    <n v="196946"/>
    <s v="Ah Pauk Wa"/>
    <n v="92.961841000000007"/>
    <n v="20.720213000000001"/>
    <x v="0"/>
    <s v="Rakhine"/>
    <x v="3"/>
    <n v="92"/>
    <n v="559"/>
    <n v="559"/>
    <m/>
    <s v="2. Medium"/>
    <s v="ERF"/>
    <m/>
    <s v="Oxfam"/>
    <s v="Covered"/>
    <d v="2016-02-28T00:00:00"/>
    <m/>
    <s v="Focal NGO"/>
    <n v="0"/>
    <n v="0"/>
    <s v="No"/>
    <n v="0"/>
    <n v="0"/>
    <n v="0"/>
    <n v="1"/>
    <m/>
    <n v="0"/>
    <n v="0"/>
    <n v="0"/>
    <n v="0"/>
    <n v="0"/>
    <n v="0"/>
    <n v="0"/>
    <n v="0"/>
    <s v="0-10%"/>
    <n v="0"/>
    <n v="0"/>
    <s v="yes"/>
    <n v="2.2360000000000002"/>
    <n v="0"/>
    <n v="0"/>
    <n v="0"/>
    <n v="0"/>
    <m/>
    <n v="0"/>
    <n v="20"/>
    <n v="6"/>
    <s v="Household latrines"/>
    <n v="0.21466905187835419"/>
    <n v="120"/>
    <n v="0.21466905187835419"/>
    <n v="120"/>
    <n v="0"/>
    <n v="0"/>
    <s v="25-50%"/>
    <n v="0.8"/>
    <n v="447.20000000000005"/>
    <s v="n/a"/>
    <s v="n/a"/>
    <s v="n/a"/>
    <s v="n/a"/>
    <s v="n/a"/>
    <s v="n/a"/>
    <s v="n/a"/>
    <s v="n/a"/>
    <s v="n/a"/>
    <s v="n/a"/>
    <s v="n/a"/>
    <s v="n/a"/>
    <s v="Need to update school database for total needs coverage"/>
    <s v="n/a"/>
    <m/>
    <m/>
    <s v="n/a"/>
    <n v="97"/>
    <n v="3"/>
    <s v="n/a"/>
    <s v="n/a"/>
    <s v="n/a"/>
    <s v="n/a"/>
    <m/>
    <n v="0"/>
    <n v="0"/>
    <n v="2"/>
    <s v="Excellent coverage"/>
    <s v="Not yet planned"/>
    <s v="n/a"/>
    <s v="Not yet planned"/>
    <s v="Not yet planned"/>
    <m/>
  </r>
  <r>
    <s v="Kyauk Taw"/>
    <m/>
    <m/>
    <s v="MMR012CMP024"/>
    <s v="Ah Pauk Wa"/>
    <n v="93.014349999999993"/>
    <n v="20.896740000000001"/>
    <x v="0"/>
    <s v="Muslim"/>
    <x v="3"/>
    <n v="153"/>
    <n v="836"/>
    <n v="836"/>
    <m/>
    <s v="2. Medium"/>
    <s v="ERF"/>
    <s v="UNHCR"/>
    <s v="Oxfam"/>
    <s v="Covered"/>
    <d v="2016-02-28T00:00:00"/>
    <m/>
    <s v="Focal NGO"/>
    <n v="0"/>
    <n v="0"/>
    <s v="No"/>
    <n v="0"/>
    <n v="0"/>
    <n v="0"/>
    <n v="2"/>
    <m/>
    <n v="0"/>
    <n v="0"/>
    <n v="0"/>
    <n v="0"/>
    <n v="0"/>
    <n v="0"/>
    <n v="0"/>
    <n v="0"/>
    <s v="0-10%"/>
    <n v="0"/>
    <n v="0"/>
    <s v="yes"/>
    <n v="3.3439999999999999"/>
    <n v="0"/>
    <n v="0"/>
    <n v="0"/>
    <n v="0"/>
    <m/>
    <n v="0"/>
    <n v="20"/>
    <n v="6"/>
    <s v="Household latrines"/>
    <n v="0.14354066985645933"/>
    <n v="120"/>
    <n v="0.14354066985645933"/>
    <n v="120"/>
    <n v="0"/>
    <n v="0"/>
    <s v="25-50%"/>
    <n v="0.8"/>
    <n v="668.80000000000007"/>
    <s v="n/a"/>
    <s v="n/a"/>
    <s v="n/a"/>
    <s v="n/a"/>
    <s v="n/a"/>
    <s v="n/a"/>
    <s v="n/a"/>
    <s v="n/a"/>
    <s v="n/a"/>
    <s v="n/a"/>
    <s v="n/a"/>
    <s v="n/a"/>
    <s v="Need to update school database for total needs coverage"/>
    <s v="n/a"/>
    <m/>
    <m/>
    <s v="n/a"/>
    <m/>
    <m/>
    <s v="n/a"/>
    <s v="n/a"/>
    <s v="n/a"/>
    <s v="n/a"/>
    <m/>
    <n v="0"/>
    <n v="0"/>
    <n v="2"/>
    <s v="Excellent coverage"/>
    <s v="Set up but low results "/>
    <s v="n/a"/>
    <s v="Not yet planned"/>
    <s v="Not yet planned"/>
    <m/>
  </r>
  <r>
    <s v="Kyauk Taw"/>
    <m/>
    <m/>
    <n v="196943"/>
    <s v="Doke Kan Chaung"/>
    <n v="93.001900000000006"/>
    <n v="20.7059"/>
    <x v="0"/>
    <s v="Rakhine"/>
    <x v="1"/>
    <n v="0"/>
    <n v="0"/>
    <n v="1539"/>
    <m/>
    <s v="3. Large"/>
    <s v="ERF"/>
    <m/>
    <s v="Oxfam"/>
    <s v="Covered"/>
    <d v="2016-02-28T00:00:00"/>
    <m/>
    <s v="Focal NGO"/>
    <n v="0"/>
    <n v="0"/>
    <s v="No"/>
    <n v="0"/>
    <n v="0"/>
    <n v="0"/>
    <n v="1"/>
    <m/>
    <n v="0"/>
    <n v="0"/>
    <n v="0"/>
    <n v="0"/>
    <n v="0"/>
    <n v="0"/>
    <n v="0"/>
    <n v="0"/>
    <s v="0-10%"/>
    <n v="0"/>
    <n v="0"/>
    <s v="yes"/>
    <n v="6.1559999999999997"/>
    <n v="0"/>
    <n v="0"/>
    <n v="0"/>
    <n v="0"/>
    <m/>
    <n v="0"/>
    <n v="10"/>
    <n v="6"/>
    <s v="Household latrines"/>
    <n v="3.8986354775828458E-2"/>
    <n v="60"/>
    <n v="3.8986354775828458E-2"/>
    <n v="60"/>
    <n v="0"/>
    <n v="0"/>
    <s v="n/a"/>
    <n v="0.04"/>
    <n v="61.56"/>
    <s v="n/a"/>
    <s v="n/a"/>
    <s v="n/a"/>
    <s v="n/a"/>
    <s v="n/a"/>
    <s v="n/a"/>
    <s v="n/a"/>
    <s v="n/a"/>
    <s v="n/a"/>
    <s v="n/a"/>
    <s v="n/a"/>
    <s v="n/a"/>
    <s v="Need to update school database for total needs coverage"/>
    <s v="n/a"/>
    <m/>
    <m/>
    <s v="n/a"/>
    <m/>
    <m/>
    <s v="n/a"/>
    <s v="n/a"/>
    <s v="n/a"/>
    <s v="n/a"/>
    <m/>
    <m/>
    <n v="0"/>
    <n v="2"/>
    <s v="Excellent coverage"/>
    <s v="Not yet planned"/>
    <s v="n/a"/>
    <s v="Not yet planned"/>
    <s v="Not yet planned"/>
    <m/>
  </r>
  <r>
    <s v="Kyauk Taw"/>
    <m/>
    <m/>
    <n v="196973"/>
    <s v="Goke Pi Htaunt"/>
    <n v="93.0154"/>
    <n v="20.71"/>
    <x v="0"/>
    <s v="Rakhine"/>
    <x v="3"/>
    <n v="116"/>
    <n v="799"/>
    <n v="1569"/>
    <m/>
    <s v="3. Large"/>
    <s v="ERF"/>
    <m/>
    <s v="Oxfam"/>
    <s v="Covered"/>
    <d v="2016-02-28T00:00:00"/>
    <m/>
    <s v="Focal NGO"/>
    <n v="0"/>
    <n v="0"/>
    <s v="No"/>
    <n v="0"/>
    <n v="0"/>
    <n v="0"/>
    <n v="2"/>
    <m/>
    <n v="0"/>
    <n v="0"/>
    <n v="0"/>
    <n v="0"/>
    <n v="0"/>
    <n v="0"/>
    <n v="0"/>
    <n v="0"/>
    <s v="0-10%"/>
    <n v="0"/>
    <n v="0"/>
    <s v="yes"/>
    <n v="6.2759999999999998"/>
    <n v="0"/>
    <n v="0"/>
    <n v="0"/>
    <n v="0"/>
    <m/>
    <n v="0"/>
    <n v="10"/>
    <n v="6"/>
    <s v="Household latrines"/>
    <n v="3.8240917782026769E-2"/>
    <n v="60"/>
    <n v="3.8240917782026769E-2"/>
    <n v="60"/>
    <n v="0"/>
    <n v="0"/>
    <s v="n/a"/>
    <n v="0.04"/>
    <n v="62.76"/>
    <s v="n/a"/>
    <s v="n/a"/>
    <s v="n/a"/>
    <s v="n/a"/>
    <s v="n/a"/>
    <s v="n/a"/>
    <s v="n/a"/>
    <s v="n/a"/>
    <s v="n/a"/>
    <s v="n/a"/>
    <s v="n/a"/>
    <s v="n/a"/>
    <s v="Need to update school database for total needs coverage"/>
    <s v="n/a"/>
    <m/>
    <m/>
    <s v="n/a"/>
    <m/>
    <m/>
    <s v="n/a"/>
    <s v="n/a"/>
    <s v="n/a"/>
    <s v="n/a"/>
    <s v="OGB December distribution"/>
    <m/>
    <n v="0"/>
    <n v="2"/>
    <s v="Average coverage"/>
    <s v="Not yet planned"/>
    <s v="n/a"/>
    <s v="Not yet planned"/>
    <s v="Not yet planned"/>
    <m/>
  </r>
  <r>
    <s v="Kyauk Taw"/>
    <m/>
    <m/>
    <s v="MMR012CMP027"/>
    <s v="Goke Pi Htaunt"/>
    <n v="93.014089999999996"/>
    <n v="20.713259999999998"/>
    <x v="0"/>
    <s v="Muslim"/>
    <x v="3"/>
    <n v="116"/>
    <n v="707"/>
    <n v="707"/>
    <m/>
    <s v="2. Medium"/>
    <s v="ERF"/>
    <s v="UNHCR"/>
    <s v="Oxfam"/>
    <s v="Covered"/>
    <d v="2016-02-28T00:00:00"/>
    <m/>
    <s v="Focal NGO"/>
    <n v="0"/>
    <n v="0"/>
    <s v="No"/>
    <n v="0"/>
    <n v="0"/>
    <n v="0"/>
    <n v="2"/>
    <m/>
    <n v="0"/>
    <n v="0"/>
    <n v="0"/>
    <n v="0"/>
    <n v="0"/>
    <n v="0"/>
    <n v="0"/>
    <n v="0"/>
    <s v="0-10%"/>
    <n v="0"/>
    <n v="0"/>
    <s v="yes"/>
    <n v="2.8279999999999998"/>
    <n v="0"/>
    <n v="0"/>
    <n v="0"/>
    <n v="0"/>
    <m/>
    <n v="0"/>
    <n v="22"/>
    <n v="6"/>
    <s v="Household latrines"/>
    <n v="0.18670438472418671"/>
    <n v="132"/>
    <n v="0.18670438472418671"/>
    <n v="132"/>
    <n v="0"/>
    <n v="0"/>
    <s v="25-50%"/>
    <n v="0.8"/>
    <n v="565.6"/>
    <s v="n/a"/>
    <s v="n/a"/>
    <s v="n/a"/>
    <s v="n/a"/>
    <s v="n/a"/>
    <s v="n/a"/>
    <s v="n/a"/>
    <s v="n/a"/>
    <s v="n/a"/>
    <s v="n/a"/>
    <s v="n/a"/>
    <s v="n/a"/>
    <s v="Need to update school database for total needs coverage"/>
    <d v="2014-05-19T00:00:00"/>
    <m/>
    <m/>
    <s v="n/a"/>
    <n v="116"/>
    <n v="3"/>
    <s v="n/a"/>
    <s v="n/a"/>
    <s v="n/a"/>
    <s v="n/a"/>
    <s v="OGB December distribution"/>
    <n v="0"/>
    <n v="0"/>
    <n v="2"/>
    <s v="Excellent coverage"/>
    <s v="Not yet planned"/>
    <s v="n/a"/>
    <s v="Not yet planned"/>
    <s v="Not yet planned"/>
    <m/>
  </r>
  <r>
    <s v="Kyauk Taw"/>
    <m/>
    <m/>
    <n v="196883"/>
    <s v="Hla Nyo Kan"/>
    <n v="92.929500000000004"/>
    <n v="20.8035"/>
    <x v="0"/>
    <s v="Myo "/>
    <x v="1"/>
    <n v="0"/>
    <n v="0"/>
    <n v="335"/>
    <m/>
    <s v="1. Small"/>
    <m/>
    <m/>
    <s v="None"/>
    <s v="Not Covered"/>
    <m/>
    <m/>
    <s v="Focal NGO"/>
    <n v="0"/>
    <n v="0"/>
    <s v="No"/>
    <n v="0"/>
    <n v="0"/>
    <n v="0"/>
    <n v="3"/>
    <m/>
    <n v="0"/>
    <n v="0"/>
    <n v="0"/>
    <n v="0"/>
    <n v="0"/>
    <n v="0"/>
    <n v="0"/>
    <n v="0"/>
    <s v="0-10%"/>
    <n v="0"/>
    <n v="0"/>
    <s v="yes"/>
    <n v="1.34"/>
    <n v="0"/>
    <n v="0"/>
    <n v="0"/>
    <n v="0"/>
    <m/>
    <n v="0"/>
    <n v="10"/>
    <n v="6"/>
    <s v="Household latrines"/>
    <n v="0.17910447761194029"/>
    <n v="60"/>
    <n v="0.17910447761194029"/>
    <n v="60"/>
    <n v="0"/>
    <n v="0"/>
    <s v="25-50%"/>
    <n v="0.18"/>
    <n v="60.3"/>
    <s v="n/a"/>
    <s v="n/a"/>
    <s v="n/a"/>
    <s v="n/a"/>
    <s v="n/a"/>
    <s v="n/a"/>
    <s v="n/a"/>
    <s v="n/a"/>
    <s v="n/a"/>
    <s v="n/a"/>
    <s v="n/a"/>
    <s v="n/a"/>
    <s v="Need to update school database for total needs coverage"/>
    <s v="n/a"/>
    <m/>
    <m/>
    <s v="n/a"/>
    <m/>
    <m/>
    <s v="n/a"/>
    <s v="n/a"/>
    <s v="n/a"/>
    <s v="n/a"/>
    <m/>
    <m/>
    <n v="0"/>
    <n v="2"/>
    <s v="Excellent coverage"/>
    <s v="Not yet planned"/>
    <s v="n/a"/>
    <s v="Not yet planned"/>
    <s v="Not yet planned"/>
    <s v="this village is no longer targeted "/>
  </r>
  <r>
    <s v="Kyauk Taw"/>
    <m/>
    <m/>
    <s v="MMR012CMP026"/>
    <s v="Im Bar Yi"/>
    <n v="93.009900000000002"/>
    <n v="20.696819999999999"/>
    <x v="0"/>
    <s v="Muslim"/>
    <x v="3"/>
    <n v="236"/>
    <n v="1524"/>
    <n v="1524"/>
    <m/>
    <s v="3. Large"/>
    <s v="ERF"/>
    <s v="UNHCR"/>
    <s v="Oxfam"/>
    <s v="Covered"/>
    <d v="2016-02-28T00:00:00"/>
    <m/>
    <s v="Focal NGO"/>
    <n v="0"/>
    <n v="0"/>
    <s v="No"/>
    <n v="0"/>
    <n v="0"/>
    <n v="0"/>
    <n v="3"/>
    <m/>
    <n v="0"/>
    <n v="0"/>
    <n v="0"/>
    <n v="0"/>
    <n v="0"/>
    <n v="0"/>
    <n v="0"/>
    <n v="0"/>
    <s v="0-10%"/>
    <n v="0"/>
    <n v="0"/>
    <s v="yes"/>
    <n v="6.0960000000000001"/>
    <n v="0"/>
    <n v="0"/>
    <n v="0"/>
    <n v="0"/>
    <m/>
    <n v="0"/>
    <n v="37"/>
    <n v="6"/>
    <s v="Household latrines"/>
    <n v="0.14566929133858267"/>
    <n v="222"/>
    <n v="0.14566929133858267"/>
    <n v="222"/>
    <n v="0"/>
    <n v="0"/>
    <s v="25-50%"/>
    <n v="0.8"/>
    <n v="1219.2"/>
    <s v="n/a"/>
    <s v="n/a"/>
    <s v="n/a"/>
    <s v="n/a"/>
    <s v="n/a"/>
    <s v="n/a"/>
    <s v="n/a"/>
    <s v="n/a"/>
    <s v="n/a"/>
    <s v="n/a"/>
    <s v="n/a"/>
    <s v="n/a"/>
    <s v="Need to update school database for total needs coverage"/>
    <d v="2013-12-13T00:00:00"/>
    <m/>
    <m/>
    <s v="n/a"/>
    <n v="460"/>
    <n v="3"/>
    <s v="n/a"/>
    <s v="n/a"/>
    <s v="n/a"/>
    <s v="n/a"/>
    <s v="OGB December distribution"/>
    <n v="0"/>
    <n v="0"/>
    <n v="2"/>
    <s v="Good coverage"/>
    <s v="Not yet planned"/>
    <s v="n/a"/>
    <s v="Not yet planned"/>
    <s v="Not yet planned"/>
    <m/>
  </r>
  <r>
    <s v="Kyauk Taw"/>
    <m/>
    <m/>
    <s v="MMR012CMP030"/>
    <s v="Khaung Htoke"/>
    <n v="93.006497999999993"/>
    <n v="20.886997999999998"/>
    <x v="0"/>
    <s v="Muslim"/>
    <x v="3"/>
    <n v="97"/>
    <n v="576"/>
    <n v="2564"/>
    <m/>
    <s v="3. Large"/>
    <s v="ERF"/>
    <s v="UNHCR"/>
    <s v="Oxfam"/>
    <s v="Covered"/>
    <d v="2016-02-28T00:00:00"/>
    <m/>
    <s v="Focal NGO"/>
    <n v="0"/>
    <n v="0"/>
    <s v="No"/>
    <n v="0"/>
    <n v="0"/>
    <n v="0"/>
    <n v="6"/>
    <m/>
    <n v="0"/>
    <n v="0"/>
    <n v="0"/>
    <n v="0"/>
    <n v="0"/>
    <n v="0"/>
    <n v="0"/>
    <n v="0"/>
    <s v="0-10%"/>
    <n v="0"/>
    <n v="0"/>
    <s v="yes"/>
    <n v="10.256"/>
    <n v="0"/>
    <n v="0"/>
    <n v="0"/>
    <n v="0"/>
    <m/>
    <n v="0"/>
    <n v="100"/>
    <n v="6"/>
    <s v="Household latrines"/>
    <n v="0.23400936037441497"/>
    <n v="600"/>
    <n v="0.23400936037441497"/>
    <n v="600"/>
    <n v="0"/>
    <n v="0"/>
    <s v="25-50%"/>
    <n v="0.81"/>
    <n v="2076.84"/>
    <s v="n/a"/>
    <s v="n/a"/>
    <s v="n/a"/>
    <s v="n/a"/>
    <s v="n/a"/>
    <s v="n/a"/>
    <s v="n/a"/>
    <s v="n/a"/>
    <s v="n/a"/>
    <s v="n/a"/>
    <s v="n/a"/>
    <s v="n/a"/>
    <s v="Need to update school database for total needs coverage"/>
    <d v="2013-12-13T00:00:00"/>
    <m/>
    <m/>
    <s v="n/a"/>
    <n v="97"/>
    <n v="3"/>
    <s v="n/a"/>
    <s v="n/a"/>
    <s v="n/a"/>
    <s v="n/a"/>
    <s v="OGB December distrbibution"/>
    <n v="0"/>
    <n v="0"/>
    <n v="2"/>
    <s v="Low coverage"/>
    <s v="Not yet planned"/>
    <s v="n/a"/>
    <s v="Not yet planned"/>
    <s v="Not yet planned"/>
    <m/>
  </r>
  <r>
    <s v="Kyauk Taw"/>
    <m/>
    <m/>
    <n v="196849"/>
    <s v="Kyauk Ta Lone "/>
    <n v="93.048199999999994"/>
    <n v="20.8657"/>
    <x v="0"/>
    <s v="Rakhine"/>
    <x v="1"/>
    <n v="0"/>
    <n v="0"/>
    <n v="945"/>
    <m/>
    <s v="2. Medium"/>
    <m/>
    <m/>
    <s v="None"/>
    <s v="Not Covered"/>
    <m/>
    <m/>
    <s v="Focal NGO"/>
    <n v="0"/>
    <n v="0"/>
    <s v="No"/>
    <n v="0"/>
    <n v="0"/>
    <n v="0"/>
    <n v="2"/>
    <m/>
    <n v="0"/>
    <n v="0"/>
    <n v="0"/>
    <n v="0"/>
    <n v="0"/>
    <n v="0"/>
    <n v="0"/>
    <n v="0"/>
    <s v="0-10%"/>
    <n v="0"/>
    <n v="0"/>
    <s v="yes"/>
    <n v="3.78"/>
    <n v="0"/>
    <n v="0"/>
    <n v="0"/>
    <n v="0"/>
    <m/>
    <n v="0"/>
    <n v="15"/>
    <n v="6"/>
    <s v="Household latrines"/>
    <n v="9.5238095238095233E-2"/>
    <n v="90"/>
    <n v="9.5238095238095233E-2"/>
    <n v="90"/>
    <n v="0"/>
    <n v="0"/>
    <s v="25-50%"/>
    <n v="0.1"/>
    <n v="94.5"/>
    <s v="n/a"/>
    <s v="n/a"/>
    <s v="n/a"/>
    <s v="n/a"/>
    <s v="n/a"/>
    <s v="n/a"/>
    <s v="n/a"/>
    <s v="n/a"/>
    <s v="n/a"/>
    <s v="n/a"/>
    <s v="n/a"/>
    <s v="n/a"/>
    <s v="Need to update school database for total needs coverage"/>
    <s v="n/a"/>
    <m/>
    <m/>
    <s v="n/a"/>
    <m/>
    <m/>
    <s v="n/a"/>
    <s v="n/a"/>
    <s v="n/a"/>
    <s v="n/a"/>
    <m/>
    <m/>
    <n v="0"/>
    <n v="2"/>
    <s v="Excellent coverage"/>
    <s v="Not yet planned"/>
    <s v="n/a"/>
    <s v="Not yet planned"/>
    <s v="Not yet planned"/>
    <s v="this village is no longer targeted "/>
  </r>
  <r>
    <s v="Kyauk Taw"/>
    <m/>
    <m/>
    <n v="196926"/>
    <s v="Lan Paik Khwin"/>
    <n v="92.945400000000006"/>
    <n v="20.6448"/>
    <x v="0"/>
    <s v="Rakhine"/>
    <x v="1"/>
    <n v="0"/>
    <n v="0"/>
    <n v="409"/>
    <m/>
    <s v="1. Small"/>
    <m/>
    <m/>
    <s v="None"/>
    <s v="Not Covered"/>
    <m/>
    <m/>
    <s v="Focal NGO"/>
    <n v="0"/>
    <n v="0"/>
    <s v="No"/>
    <n v="0"/>
    <n v="0"/>
    <n v="0"/>
    <n v="3"/>
    <m/>
    <n v="0"/>
    <n v="0"/>
    <n v="0"/>
    <n v="0"/>
    <n v="0"/>
    <n v="0"/>
    <n v="0"/>
    <n v="0"/>
    <s v="0-10%"/>
    <n v="0"/>
    <n v="0"/>
    <s v="yes"/>
    <n v="1.6359999999999999"/>
    <n v="0"/>
    <n v="0"/>
    <n v="0"/>
    <n v="0"/>
    <m/>
    <n v="0"/>
    <n v="0"/>
    <n v="6"/>
    <s v="Household latrines"/>
    <n v="0"/>
    <n v="0"/>
    <n v="0"/>
    <n v="0"/>
    <n v="0"/>
    <n v="0"/>
    <s v="n/a"/>
    <n v="0"/>
    <n v="0"/>
    <s v="n/a"/>
    <s v="n/a"/>
    <s v="n/a"/>
    <s v="n/a"/>
    <s v="n/a"/>
    <s v="n/a"/>
    <s v="n/a"/>
    <s v="n/a"/>
    <s v="n/a"/>
    <s v="n/a"/>
    <s v="n/a"/>
    <s v="n/a"/>
    <s v="Need to update school database for total needs coverage"/>
    <s v="n/a"/>
    <m/>
    <m/>
    <s v="n/a"/>
    <m/>
    <m/>
    <s v="n/a"/>
    <s v="n/a"/>
    <s v="n/a"/>
    <s v="n/a"/>
    <m/>
    <m/>
    <n v="0"/>
    <n v="2"/>
    <s v="Excellent coverage"/>
    <s v="Not yet planned"/>
    <s v="n/a"/>
    <s v="Not yet planned"/>
    <s v="Not yet planned"/>
    <s v="this village is no longer targeted "/>
  </r>
  <r>
    <s v="Kyauk Taw"/>
    <m/>
    <m/>
    <s v="MMR012CMP020"/>
    <s v="Let Saung Kauk"/>
    <n v="92.982675999999998"/>
    <n v="20.805734000000001"/>
    <x v="0"/>
    <s v="Muslim"/>
    <x v="3"/>
    <n v="18"/>
    <n v="157"/>
    <n v="2377"/>
    <m/>
    <s v="3. Large"/>
    <s v="ERF"/>
    <s v="UNHCR"/>
    <s v="Oxfam"/>
    <s v="Covered"/>
    <d v="2016-02-28T00:00:00"/>
    <m/>
    <s v="Focal NGO"/>
    <n v="0"/>
    <n v="0"/>
    <s v="No"/>
    <n v="0"/>
    <n v="0"/>
    <n v="0"/>
    <n v="4"/>
    <m/>
    <n v="0"/>
    <n v="0"/>
    <n v="0"/>
    <n v="0"/>
    <n v="0"/>
    <n v="0"/>
    <n v="0"/>
    <n v="0"/>
    <s v="0-10%"/>
    <n v="0"/>
    <n v="0"/>
    <s v="yes"/>
    <n v="9.5079999999999991"/>
    <n v="0"/>
    <n v="0"/>
    <n v="0"/>
    <n v="0"/>
    <m/>
    <n v="0"/>
    <n v="25"/>
    <n v="6"/>
    <s v="Household latrines"/>
    <n v="6.3104753891459822E-2"/>
    <n v="150"/>
    <n v="6.3104753891459822E-2"/>
    <n v="150"/>
    <n v="0"/>
    <n v="0"/>
    <s v="25-50%"/>
    <n v="0.8"/>
    <n v="1901.6000000000001"/>
    <s v="n/a"/>
    <s v="n/a"/>
    <s v="n/a"/>
    <s v="n/a"/>
    <s v="n/a"/>
    <s v="n/a"/>
    <s v="n/a"/>
    <s v="n/a"/>
    <s v="n/a"/>
    <s v="n/a"/>
    <s v="n/a"/>
    <s v="n/a"/>
    <s v="Need to update school database for total needs coverage"/>
    <d v="2014-05-19T00:00:00"/>
    <m/>
    <m/>
    <s v="n/a"/>
    <n v="18"/>
    <n v="3"/>
    <s v="n/a"/>
    <s v="n/a"/>
    <s v="n/a"/>
    <s v="n/a"/>
    <s v="OGB December distrbibution"/>
    <n v="0"/>
    <n v="0"/>
    <n v="2"/>
    <s v="Low coverage"/>
    <s v="Not yet planned"/>
    <s v="n/a"/>
    <s v="Not yet planned"/>
    <s v="Not yet planned"/>
    <m/>
  </r>
  <r>
    <s v="Kyauk Taw"/>
    <m/>
    <m/>
    <s v="MMR012CMP023"/>
    <s v="Ni Din"/>
    <n v="92.965980999999999"/>
    <n v="20.865687000000001"/>
    <x v="0"/>
    <s v="Muslim"/>
    <x v="4"/>
    <n v="85"/>
    <n v="576"/>
    <n v="2212"/>
    <m/>
    <s v="3. Large"/>
    <s v="ERF"/>
    <s v="UNHCR"/>
    <s v="Oxfam"/>
    <s v="Covered"/>
    <d v="2016-02-28T00:00:00"/>
    <m/>
    <s v="Focal NGO"/>
    <n v="0"/>
    <n v="0"/>
    <s v="No"/>
    <n v="0"/>
    <n v="0"/>
    <n v="0"/>
    <n v="6"/>
    <m/>
    <n v="0"/>
    <n v="0"/>
    <n v="0"/>
    <n v="0"/>
    <n v="0"/>
    <n v="0"/>
    <n v="0"/>
    <n v="0"/>
    <s v="0-10%"/>
    <n v="0"/>
    <n v="0"/>
    <s v="yes"/>
    <n v="8.8480000000000008"/>
    <n v="0"/>
    <n v="0"/>
    <n v="0"/>
    <n v="0"/>
    <m/>
    <n v="9"/>
    <n v="42"/>
    <n v="6"/>
    <s v="Share Household Latriens"/>
    <n v="0.11392405063291139"/>
    <n v="252"/>
    <n v="0.11392405063291139"/>
    <n v="252"/>
    <n v="0"/>
    <n v="0"/>
    <s v="25-50%"/>
    <n v="1"/>
    <n v="2212"/>
    <s v="n/a"/>
    <s v="n/a"/>
    <s v="n/a"/>
    <s v="n/a"/>
    <s v="n/a"/>
    <s v="n/a"/>
    <s v="n/a"/>
    <s v="n/a"/>
    <s v="n/a"/>
    <s v="n/a"/>
    <s v="n/a"/>
    <s v="n/a"/>
    <s v="Need to update school database for total needs coverage"/>
    <d v="2014-05-19T00:00:00"/>
    <m/>
    <m/>
    <s v="n/a"/>
    <n v="83"/>
    <n v="3"/>
    <s v="n/a"/>
    <s v="n/a"/>
    <s v="n/a"/>
    <s v="n/a"/>
    <s v="OGB December distribution"/>
    <n v="0"/>
    <n v="0"/>
    <n v="2"/>
    <s v="Low coverage"/>
    <s v="Not yet planned"/>
    <s v="n/a"/>
    <s v="Not yet planned"/>
    <s v="Not yet planned"/>
    <m/>
  </r>
  <r>
    <s v="Kyauk Taw"/>
    <m/>
    <m/>
    <n v="196759"/>
    <s v="Paung Mae"/>
    <n v="92.983889000000005"/>
    <n v="20.901439"/>
    <x v="0"/>
    <s v="Myo "/>
    <x v="1"/>
    <n v="0"/>
    <n v="0"/>
    <n v="121"/>
    <m/>
    <s v="1. Small"/>
    <m/>
    <m/>
    <s v="None"/>
    <s v="Not Covered"/>
    <m/>
    <m/>
    <s v="Focal NGO"/>
    <n v="0"/>
    <n v="0"/>
    <s v="No"/>
    <n v="0"/>
    <n v="0"/>
    <n v="0"/>
    <n v="2"/>
    <m/>
    <n v="0"/>
    <n v="0"/>
    <n v="0"/>
    <n v="0"/>
    <n v="0"/>
    <n v="0"/>
    <n v="0"/>
    <n v="0"/>
    <s v="0-10%"/>
    <n v="0"/>
    <n v="0"/>
    <s v="yes"/>
    <n v="0.48399999999999999"/>
    <n v="0"/>
    <n v="0"/>
    <n v="0"/>
    <n v="0"/>
    <m/>
    <n v="0"/>
    <n v="0"/>
    <n v="6"/>
    <s v="Household latrines"/>
    <n v="0"/>
    <n v="0"/>
    <n v="0"/>
    <n v="0"/>
    <n v="0"/>
    <n v="0"/>
    <s v="25-50%"/>
    <n v="0"/>
    <n v="0"/>
    <s v="n/a"/>
    <s v="n/a"/>
    <s v="n/a"/>
    <s v="n/a"/>
    <s v="n/a"/>
    <s v="n/a"/>
    <s v="n/a"/>
    <s v="n/a"/>
    <s v="n/a"/>
    <s v="n/a"/>
    <s v="n/a"/>
    <s v="n/a"/>
    <s v="Need to update school database for total needs coverage"/>
    <s v="n/a"/>
    <m/>
    <m/>
    <s v="n/a"/>
    <m/>
    <m/>
    <s v="n/a"/>
    <s v="n/a"/>
    <s v="n/a"/>
    <s v="n/a"/>
    <m/>
    <m/>
    <n v="0"/>
    <n v="2"/>
    <s v="Excellent coverage"/>
    <s v="Not yet planned"/>
    <s v="n/a"/>
    <s v="Not yet planned"/>
    <s v="Not yet planned"/>
    <s v="this village is no longer targeted "/>
  </r>
  <r>
    <s v="Kyauk Taw"/>
    <m/>
    <m/>
    <s v="MMR012CMP029"/>
    <s v="Shwe Hlaing"/>
    <n v="92.987399999999994"/>
    <n v="20.78332"/>
    <x v="0"/>
    <s v="Muslim"/>
    <x v="3"/>
    <n v="144"/>
    <n v="1028"/>
    <n v="1028"/>
    <m/>
    <s v="3. Large"/>
    <s v="ERF"/>
    <s v="UNHCR"/>
    <s v="Oxfam"/>
    <s v="Covered"/>
    <d v="2016-02-28T00:00:00"/>
    <m/>
    <s v="Focal NGO"/>
    <n v="0"/>
    <n v="0"/>
    <s v="No"/>
    <n v="0"/>
    <n v="0"/>
    <n v="0"/>
    <n v="2"/>
    <m/>
    <n v="0"/>
    <n v="0"/>
    <n v="0"/>
    <n v="0"/>
    <n v="0"/>
    <n v="0"/>
    <n v="0"/>
    <n v="0"/>
    <s v="0-10%"/>
    <n v="0"/>
    <n v="0"/>
    <s v="yes"/>
    <n v="4.1120000000000001"/>
    <n v="0"/>
    <n v="0"/>
    <n v="0"/>
    <n v="0"/>
    <m/>
    <n v="0"/>
    <n v="21"/>
    <n v="6"/>
    <s v="Household latrines"/>
    <n v="0.122568093385214"/>
    <n v="126"/>
    <n v="0.122568093385214"/>
    <n v="126"/>
    <n v="0"/>
    <n v="0"/>
    <s v="25-50%"/>
    <n v="1"/>
    <n v="1028"/>
    <s v="n/a"/>
    <s v="n/a"/>
    <s v="n/a"/>
    <s v="n/a"/>
    <s v="n/a"/>
    <s v="n/a"/>
    <s v="n/a"/>
    <s v="n/a"/>
    <s v="n/a"/>
    <s v="n/a"/>
    <s v="n/a"/>
    <s v="n/a"/>
    <s v="Need to update school database for total needs coverage"/>
    <d v="2014-05-19T00:00:00"/>
    <m/>
    <m/>
    <s v="n/a"/>
    <n v="145"/>
    <n v="3"/>
    <s v="n/a"/>
    <s v="n/a"/>
    <s v="n/a"/>
    <s v="n/a"/>
    <s v="OGB December distribution"/>
    <n v="0"/>
    <n v="0"/>
    <n v="2"/>
    <s v="Good coverage"/>
    <s v="Not yet planned"/>
    <s v="n/a"/>
    <s v="Not yet planned"/>
    <s v="Not yet planned"/>
    <m/>
  </r>
  <r>
    <s v="Kyauk Taw"/>
    <m/>
    <m/>
    <n v="196869"/>
    <s v="Shwe Hlaing Rakhine"/>
    <n v="92.986599999999996"/>
    <n v="20.785699999999999"/>
    <x v="0"/>
    <s v="Rakhine"/>
    <x v="1"/>
    <n v="0"/>
    <n v="0"/>
    <n v="1"/>
    <m/>
    <s v="1. Small"/>
    <s v="ERF"/>
    <m/>
    <s v="Oxfam"/>
    <s v="Covered"/>
    <d v="2016-02-28T00:00:00"/>
    <m/>
    <s v="Focal NGO"/>
    <n v="0"/>
    <n v="0"/>
    <s v="No"/>
    <n v="0"/>
    <n v="0"/>
    <n v="0"/>
    <n v="1"/>
    <m/>
    <n v="0"/>
    <n v="0"/>
    <n v="0"/>
    <n v="0"/>
    <n v="0"/>
    <n v="0"/>
    <n v="0"/>
    <n v="0"/>
    <s v="0-10%"/>
    <n v="0"/>
    <n v="0"/>
    <s v="yes"/>
    <n v="4.0000000000000001E-3"/>
    <n v="0"/>
    <n v="0"/>
    <n v="0"/>
    <n v="0"/>
    <m/>
    <n v="0"/>
    <n v="10"/>
    <n v="6"/>
    <s v="Household latrines"/>
    <n v="1"/>
    <n v="1"/>
    <n v="1"/>
    <n v="1"/>
    <n v="0"/>
    <n v="0"/>
    <s v="n/a"/>
    <n v="1"/>
    <n v="1"/>
    <s v="n/a"/>
    <s v="n/a"/>
    <s v="n/a"/>
    <s v="n/a"/>
    <s v="n/a"/>
    <s v="n/a"/>
    <s v="n/a"/>
    <s v="n/a"/>
    <s v="n/a"/>
    <s v="n/a"/>
    <s v="n/a"/>
    <s v="n/a"/>
    <s v="Need to update school database for total needs coverage"/>
    <s v="n/a"/>
    <m/>
    <m/>
    <s v="n/a"/>
    <m/>
    <m/>
    <s v="n/a"/>
    <s v="n/a"/>
    <s v="n/a"/>
    <s v="n/a"/>
    <m/>
    <m/>
    <n v="0"/>
    <n v="2"/>
    <s v="Excellent coverage"/>
    <s v="Not yet planned"/>
    <s v="n/a"/>
    <s v="Not yet planned"/>
    <s v="Not yet planned"/>
    <m/>
  </r>
  <r>
    <s v="Kyauk Taw"/>
    <m/>
    <m/>
    <s v="MMR012CMP021"/>
    <s v="Taung Bwe"/>
    <n v="93.000815000000003"/>
    <n v="20.929649000000001"/>
    <x v="0"/>
    <s v="Muslim"/>
    <x v="3"/>
    <n v="62"/>
    <n v="414"/>
    <n v="700"/>
    <s v="Moderately affected"/>
    <s v="2. Medium"/>
    <s v="None"/>
    <s v="UNHCR"/>
    <s v="None"/>
    <s v="Not Covered"/>
    <m/>
    <m/>
    <s v="Not documented"/>
    <n v="0"/>
    <n v="0"/>
    <s v="No"/>
    <n v="0"/>
    <n v="0"/>
    <n v="0"/>
    <n v="2"/>
    <m/>
    <n v="0"/>
    <n v="0"/>
    <n v="0"/>
    <n v="0"/>
    <n v="0"/>
    <n v="0"/>
    <n v="0"/>
    <n v="0"/>
    <s v="0-10%"/>
    <n v="0"/>
    <n v="0"/>
    <s v="yes"/>
    <n v="2.8"/>
    <n v="0"/>
    <n v="0"/>
    <n v="0"/>
    <n v="0"/>
    <m/>
    <n v="4"/>
    <n v="0"/>
    <n v="6"/>
    <s v="Mixed"/>
    <n v="0"/>
    <n v="0"/>
    <n v="0"/>
    <n v="0"/>
    <n v="0"/>
    <n v="0"/>
    <s v="n/a"/>
    <n v="0"/>
    <n v="0"/>
    <s v="n/a"/>
    <s v="n/a"/>
    <s v="n/a"/>
    <s v="n/a"/>
    <s v="n/a"/>
    <s v="n/a"/>
    <s v="n/a"/>
    <s v="n/a"/>
    <s v="n/a"/>
    <s v="n/a"/>
    <s v="n/a"/>
    <s v="n/a"/>
    <s v="community latrines"/>
    <s v="n/a"/>
    <m/>
    <m/>
    <s v="n/a"/>
    <m/>
    <m/>
    <s v="n/a"/>
    <s v="n/a"/>
    <s v="n/a"/>
    <s v="n/a"/>
    <m/>
    <m/>
    <n v="0"/>
    <m/>
    <s v="No coverage"/>
    <m/>
    <m/>
    <m/>
    <m/>
    <m/>
  </r>
  <r>
    <s v="Kyauk Taw"/>
    <m/>
    <m/>
    <n v="196873"/>
    <s v="Taung Pauk"/>
    <n v="92.982200000000006"/>
    <n v="20.8064"/>
    <x v="0"/>
    <s v="Rakhine"/>
    <x v="1"/>
    <n v="0"/>
    <n v="0"/>
    <n v="968"/>
    <m/>
    <s v="2. Medium"/>
    <s v="ERF"/>
    <m/>
    <s v="Oxfam"/>
    <s v="Covered"/>
    <d v="2016-02-28T00:00:00"/>
    <m/>
    <s v="Focal NGO"/>
    <n v="0"/>
    <n v="0"/>
    <s v="No"/>
    <n v="0"/>
    <n v="0"/>
    <n v="0"/>
    <n v="1"/>
    <m/>
    <n v="0"/>
    <n v="0"/>
    <n v="0"/>
    <n v="0"/>
    <n v="0"/>
    <n v="0"/>
    <n v="0"/>
    <n v="0"/>
    <s v="0-10%"/>
    <n v="0"/>
    <n v="0"/>
    <s v="yes"/>
    <n v="3.8719999999999999"/>
    <n v="0"/>
    <n v="0"/>
    <n v="0"/>
    <n v="0"/>
    <m/>
    <n v="0"/>
    <n v="10"/>
    <n v="6"/>
    <s v="Household latrines"/>
    <n v="6.1983471074380167E-2"/>
    <n v="60"/>
    <n v="6.1983471074380167E-2"/>
    <n v="60"/>
    <n v="0"/>
    <n v="0"/>
    <s v="25-50%"/>
    <n v="1"/>
    <n v="968"/>
    <s v="n/a"/>
    <s v="n/a"/>
    <s v="n/a"/>
    <s v="n/a"/>
    <s v="n/a"/>
    <s v="n/a"/>
    <s v="n/a"/>
    <s v="n/a"/>
    <s v="n/a"/>
    <s v="n/a"/>
    <s v="n/a"/>
    <s v="n/a"/>
    <s v="Need to update school database for total needs coverage"/>
    <s v="n/a"/>
    <m/>
    <m/>
    <s v="n/a"/>
    <m/>
    <m/>
    <s v="n/a"/>
    <s v="n/a"/>
    <s v="n/a"/>
    <s v="n/a"/>
    <m/>
    <m/>
    <n v="0"/>
    <n v="2"/>
    <s v="Excellent coverage"/>
    <s v="Not yet planned"/>
    <s v="n/a"/>
    <s v="Not yet planned"/>
    <s v="Not yet planned"/>
    <m/>
  </r>
  <r>
    <s v="Kyauk Taw"/>
    <m/>
    <m/>
    <n v="196767"/>
    <s v="Tha Pon"/>
    <n v="92.980999999999995"/>
    <n v="21.006900000000002"/>
    <x v="0"/>
    <s v="Rakhine"/>
    <x v="1"/>
    <n v="0"/>
    <n v="0"/>
    <n v="776"/>
    <m/>
    <s v="2. Medium"/>
    <m/>
    <m/>
    <s v="None"/>
    <s v="Not Covered"/>
    <m/>
    <m/>
    <s v="Focal NGO"/>
    <n v="0"/>
    <n v="0"/>
    <s v="No"/>
    <n v="0"/>
    <n v="0"/>
    <n v="0"/>
    <n v="3"/>
    <m/>
    <n v="0"/>
    <n v="0"/>
    <n v="0"/>
    <n v="0"/>
    <n v="0"/>
    <n v="0"/>
    <n v="0"/>
    <n v="0"/>
    <s v="0-10%"/>
    <n v="0"/>
    <n v="0"/>
    <s v="yes"/>
    <n v="3.1040000000000001"/>
    <n v="0"/>
    <n v="0"/>
    <n v="0"/>
    <n v="0"/>
    <m/>
    <n v="0"/>
    <n v="10"/>
    <n v="6"/>
    <s v="Household latrines"/>
    <n v="7.7319587628865982E-2"/>
    <n v="60"/>
    <n v="7.7319587628865982E-2"/>
    <n v="60"/>
    <n v="0"/>
    <n v="0"/>
    <s v="25-50%"/>
    <n v="0.08"/>
    <n v="62.08"/>
    <s v="n/a"/>
    <s v="n/a"/>
    <s v="n/a"/>
    <s v="n/a"/>
    <s v="n/a"/>
    <s v="n/a"/>
    <s v="n/a"/>
    <s v="n/a"/>
    <s v="n/a"/>
    <s v="n/a"/>
    <s v="n/a"/>
    <s v="n/a"/>
    <s v="Need to update school database for total needs coverage"/>
    <s v="n/a"/>
    <m/>
    <m/>
    <s v="n/a"/>
    <m/>
    <m/>
    <s v="n/a"/>
    <s v="n/a"/>
    <s v="n/a"/>
    <s v="n/a"/>
    <m/>
    <m/>
    <n v="0"/>
    <n v="2"/>
    <s v="Excellent coverage"/>
    <s v="Not yet planned"/>
    <s v="n/a"/>
    <s v="Not yet planned"/>
    <s v="Not yet planned"/>
    <s v="this village is no longer targeted"/>
  </r>
  <r>
    <s v="Kyauk Taw"/>
    <m/>
    <m/>
    <n v="196950"/>
    <s v="U Saung Tan (lower)"/>
    <n v="92.937299999999993"/>
    <n v="20.720500000000001"/>
    <x v="0"/>
    <s v="Myo "/>
    <x v="1"/>
    <n v="0"/>
    <n v="0"/>
    <n v="442"/>
    <m/>
    <s v="1. Small"/>
    <m/>
    <m/>
    <s v="None"/>
    <s v="Not Covered"/>
    <m/>
    <m/>
    <s v="Focal NGO"/>
    <n v="0"/>
    <n v="0"/>
    <s v="No"/>
    <n v="0"/>
    <n v="0"/>
    <n v="0"/>
    <n v="4"/>
    <m/>
    <n v="0"/>
    <n v="0"/>
    <n v="0"/>
    <n v="0"/>
    <n v="0"/>
    <n v="0"/>
    <n v="0"/>
    <n v="0"/>
    <s v="0-10%"/>
    <n v="0"/>
    <n v="0"/>
    <s v="yes"/>
    <n v="1.768"/>
    <n v="0"/>
    <n v="0"/>
    <n v="0"/>
    <n v="0"/>
    <m/>
    <n v="0"/>
    <n v="2"/>
    <n v="6"/>
    <s v="Household latrines"/>
    <n v="2.7149321266968326E-2"/>
    <n v="12"/>
    <n v="2.7149321266968326E-2"/>
    <n v="12"/>
    <n v="0"/>
    <n v="0"/>
    <s v="25-50%"/>
    <n v="0.03"/>
    <n v="13.26"/>
    <s v="n/a"/>
    <s v="n/a"/>
    <s v="n/a"/>
    <s v="n/a"/>
    <s v="n/a"/>
    <s v="n/a"/>
    <s v="n/a"/>
    <s v="n/a"/>
    <s v="n/a"/>
    <s v="n/a"/>
    <s v="n/a"/>
    <s v="n/a"/>
    <s v="Need to update school database for total needs coverage"/>
    <s v="n/a"/>
    <m/>
    <m/>
    <s v="n/a"/>
    <m/>
    <m/>
    <s v="n/a"/>
    <s v="n/a"/>
    <s v="n/a"/>
    <s v="n/a"/>
    <m/>
    <m/>
    <n v="0"/>
    <n v="2"/>
    <s v="Excellent coverage"/>
    <s v="Not yet planned"/>
    <s v="n/a"/>
    <s v="Not yet planned"/>
    <s v="Not yet planned"/>
    <s v="this village is no longer targeted"/>
  </r>
  <r>
    <s v="Kyauk Taw"/>
    <m/>
    <m/>
    <s v="MMR012CMP037"/>
    <s v="Ward 6"/>
    <n v="93.857592999999994"/>
    <n v="19.088283000000001"/>
    <x v="0"/>
    <s v="Rakhine"/>
    <x v="1"/>
    <n v="0"/>
    <n v="0"/>
    <n v="1"/>
    <m/>
    <s v="1. Small"/>
    <m/>
    <m/>
    <s v="None"/>
    <s v="Not Covered"/>
    <m/>
    <m/>
    <s v="Focal NGO"/>
    <n v="0"/>
    <n v="0"/>
    <s v="No"/>
    <n v="0"/>
    <n v="0"/>
    <n v="0"/>
    <n v="1"/>
    <m/>
    <n v="0"/>
    <n v="0"/>
    <n v="0"/>
    <n v="0"/>
    <n v="0"/>
    <n v="0"/>
    <n v="0"/>
    <n v="0"/>
    <s v="0-10%"/>
    <n v="0"/>
    <n v="0"/>
    <s v="yes"/>
    <n v="4.0000000000000001E-3"/>
    <n v="0"/>
    <n v="0"/>
    <n v="0"/>
    <n v="0"/>
    <m/>
    <n v="0"/>
    <n v="0"/>
    <n v="6"/>
    <s v="Household latrines"/>
    <n v="0"/>
    <n v="0"/>
    <n v="0"/>
    <n v="0"/>
    <n v="0"/>
    <n v="0"/>
    <s v="n/a"/>
    <n v="0"/>
    <n v="0"/>
    <s v="n/a"/>
    <s v="n/a"/>
    <s v="n/a"/>
    <s v="n/a"/>
    <s v="n/a"/>
    <s v="n/a"/>
    <s v="n/a"/>
    <s v="n/a"/>
    <s v="n/a"/>
    <s v="n/a"/>
    <s v="n/a"/>
    <s v="n/a"/>
    <m/>
    <s v="n/a"/>
    <m/>
    <m/>
    <s v="n/a"/>
    <m/>
    <m/>
    <s v="n/a"/>
    <s v="n/a"/>
    <s v="n/a"/>
    <s v="n/a"/>
    <m/>
    <m/>
    <n v="0"/>
    <n v="2"/>
    <s v="Excellent coverage"/>
    <s v="Not yet planned"/>
    <s v="n/a"/>
    <s v="Not yet planned"/>
    <s v="Not yet planned"/>
    <s v="this village is no longer targeted"/>
  </r>
  <r>
    <s v="Kyauk Taw"/>
    <m/>
    <m/>
    <s v="MMR012CMP028"/>
    <s v="Yun Nyar"/>
    <n v="92.969350000000006"/>
    <n v="20.727589999999999"/>
    <x v="0"/>
    <s v="Muslim"/>
    <x v="3"/>
    <n v="112"/>
    <n v="735"/>
    <n v="735"/>
    <m/>
    <s v="2. Medium"/>
    <s v="ERF"/>
    <s v="UNHCR"/>
    <s v="Oxfam"/>
    <s v="Covered"/>
    <d v="2016-02-28T00:00:00"/>
    <m/>
    <s v="Focal NGO"/>
    <n v="0"/>
    <n v="0"/>
    <s v="No"/>
    <n v="0"/>
    <n v="0"/>
    <n v="0"/>
    <n v="2"/>
    <m/>
    <n v="0"/>
    <n v="0"/>
    <n v="0"/>
    <n v="0"/>
    <n v="0"/>
    <n v="0"/>
    <n v="0"/>
    <n v="0"/>
    <s v="0-10%"/>
    <n v="0"/>
    <n v="0"/>
    <s v="yes"/>
    <n v="2.94"/>
    <n v="0"/>
    <n v="0"/>
    <n v="0"/>
    <n v="0"/>
    <m/>
    <n v="0"/>
    <n v="40"/>
    <n v="6"/>
    <s v="Household latrines"/>
    <n v="0.32653061224489793"/>
    <n v="239.99999999999997"/>
    <n v="0.32653061224489793"/>
    <n v="239.99999999999997"/>
    <n v="0"/>
    <n v="0"/>
    <s v="n/a"/>
    <n v="0.8"/>
    <n v="588"/>
    <s v="n/a"/>
    <s v="n/a"/>
    <s v="n/a"/>
    <s v="n/a"/>
    <s v="n/a"/>
    <s v="n/a"/>
    <s v="n/a"/>
    <s v="n/a"/>
    <s v="n/a"/>
    <s v="n/a"/>
    <s v="n/a"/>
    <s v="n/a"/>
    <s v="Need to update school database for total needs coverage"/>
    <d v="2014-05-19T00:00:00"/>
    <m/>
    <m/>
    <s v="n/a"/>
    <n v="108"/>
    <n v="3"/>
    <s v="n/a"/>
    <s v="n/a"/>
    <s v="n/a"/>
    <s v="n/a"/>
    <s v="UNHCR distrib"/>
    <n v="0"/>
    <n v="0"/>
    <n v="2"/>
    <s v="Excellent coverage"/>
    <s v="Not yet planned"/>
    <s v="n/a"/>
    <s v="Not yet planned"/>
    <s v="Not yet planned"/>
    <m/>
  </r>
  <r>
    <s v="Kyauk Taw"/>
    <m/>
    <m/>
    <n v="196951"/>
    <s v="Ywar Thit Kay"/>
    <n v="92.974299999999999"/>
    <n v="20.723600000000001"/>
    <x v="0"/>
    <s v="Rakhine"/>
    <x v="1"/>
    <n v="0"/>
    <n v="0"/>
    <n v="695"/>
    <m/>
    <s v="2. Medium"/>
    <s v="ERF"/>
    <m/>
    <s v="Oxfam"/>
    <s v="Covered"/>
    <d v="2016-02-28T00:00:00"/>
    <m/>
    <s v="Focal NGO"/>
    <n v="0"/>
    <n v="0"/>
    <s v="No"/>
    <n v="0"/>
    <n v="0"/>
    <n v="0"/>
    <n v="1"/>
    <m/>
    <n v="0"/>
    <n v="0"/>
    <n v="0"/>
    <n v="0"/>
    <n v="0"/>
    <n v="0"/>
    <n v="0"/>
    <n v="0"/>
    <s v="0-10%"/>
    <n v="0"/>
    <n v="0"/>
    <s v="yes"/>
    <n v="2.78"/>
    <n v="0"/>
    <n v="0"/>
    <n v="0"/>
    <n v="0"/>
    <m/>
    <n v="0"/>
    <n v="10"/>
    <n v="6"/>
    <s v="Household latrines"/>
    <n v="8.6330935251798566E-2"/>
    <n v="60"/>
    <n v="8.6330935251798566E-2"/>
    <n v="60"/>
    <n v="0"/>
    <n v="0"/>
    <s v="25-50%"/>
    <n v="0.09"/>
    <n v="62.55"/>
    <s v="n/a"/>
    <s v="n/a"/>
    <s v="n/a"/>
    <s v="n/a"/>
    <s v="n/a"/>
    <s v="n/a"/>
    <s v="n/a"/>
    <s v="n/a"/>
    <s v="n/a"/>
    <s v="n/a"/>
    <s v="n/a"/>
    <s v="n/a"/>
    <m/>
    <s v="n/a"/>
    <m/>
    <m/>
    <s v="n/a"/>
    <m/>
    <m/>
    <s v="n/a"/>
    <s v="n/a"/>
    <s v="n/a"/>
    <s v="n/a"/>
    <m/>
    <m/>
    <n v="0"/>
    <m/>
    <s v="No coverage"/>
    <s v="Not yet planned"/>
    <s v="n/a"/>
    <s v="Not yet planned"/>
    <s v="Not yet planned"/>
    <m/>
  </r>
  <r>
    <s v="Maungdaw"/>
    <s v="MMR012009065"/>
    <s v="Pan Taw Pyin"/>
    <s v="197997"/>
    <s v="A Nauk Ywa"/>
    <m/>
    <m/>
    <x v="0"/>
    <s v="Muslim"/>
    <x v="0"/>
    <n v="0"/>
    <n v="0"/>
    <n v="750"/>
    <m/>
    <s v="2. Medium"/>
    <s v="E.U."/>
    <m/>
    <s v="CARE"/>
    <s v="Covered"/>
    <d v="2016-01-07T00:00:00"/>
    <m/>
    <s v="Focal NGO"/>
    <n v="0"/>
    <n v="0"/>
    <s v="No"/>
    <n v="4"/>
    <n v="19"/>
    <n v="0"/>
    <n v="2"/>
    <m/>
    <n v="0"/>
    <n v="0"/>
    <n v="1"/>
    <n v="750"/>
    <n v="1"/>
    <n v="750"/>
    <n v="1"/>
    <n v="750"/>
    <s v="80-100%"/>
    <n v="0"/>
    <n v="0"/>
    <s v="yes"/>
    <n v="0"/>
    <n v="0"/>
    <n v="0"/>
    <n v="1"/>
    <n v="75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Alay Mushee"/>
    <m/>
    <m/>
    <x v="0"/>
    <s v="Muslim"/>
    <x v="0"/>
    <n v="0"/>
    <n v="0"/>
    <n v="1453"/>
    <m/>
    <s v="3. Large"/>
    <s v="E.U."/>
    <m/>
    <s v="CARE"/>
    <s v="Covered"/>
    <d v="2016-01-07T00:00:00"/>
    <m/>
    <s v="Focal NGO"/>
    <n v="0"/>
    <n v="0"/>
    <s v="No"/>
    <n v="3"/>
    <n v="20"/>
    <n v="0"/>
    <n v="6"/>
    <m/>
    <n v="0"/>
    <n v="0"/>
    <n v="1"/>
    <n v="1453"/>
    <n v="1"/>
    <n v="1453"/>
    <n v="1"/>
    <n v="1453"/>
    <s v="80-100%"/>
    <n v="0"/>
    <n v="0"/>
    <s v="yes"/>
    <n v="0"/>
    <n v="0"/>
    <n v="0"/>
    <n v="1"/>
    <n v="145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5"/>
    <s v="Pan Taw Pyin"/>
    <s v="197997"/>
    <s v="ANauk Ywa"/>
    <m/>
    <m/>
    <x v="0"/>
    <s v="Muslim"/>
    <x v="0"/>
    <n v="0"/>
    <n v="0"/>
    <n v="1090"/>
    <m/>
    <s v="3. Large"/>
    <s v="E.U."/>
    <m/>
    <s v="CARE"/>
    <s v="Covered"/>
    <d v="2016-01-07T00:00:00"/>
    <m/>
    <s v="Focal NGO"/>
    <n v="0"/>
    <n v="0"/>
    <s v="No"/>
    <n v="0"/>
    <n v="5"/>
    <n v="0"/>
    <n v="2"/>
    <m/>
    <n v="0"/>
    <n v="0"/>
    <n v="1"/>
    <n v="1090"/>
    <n v="1"/>
    <n v="1090"/>
    <n v="1"/>
    <n v="1090"/>
    <s v="80-100%"/>
    <n v="0"/>
    <n v="0"/>
    <s v="yes"/>
    <n v="0"/>
    <n v="0"/>
    <n v="0"/>
    <n v="1"/>
    <n v="109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5"/>
    <s v="Pan Taw Pyin"/>
    <s v="197995"/>
    <s v="Ashit Ywa"/>
    <m/>
    <m/>
    <x v="0"/>
    <s v="Muslim"/>
    <x v="0"/>
    <n v="0"/>
    <n v="0"/>
    <n v="650"/>
    <m/>
    <s v="2. Medium"/>
    <s v="E.U."/>
    <m/>
    <s v="CARE"/>
    <s v="Covered"/>
    <d v="2016-01-07T00:00:00"/>
    <m/>
    <s v="Focal NGO"/>
    <n v="0"/>
    <n v="0"/>
    <s v="No"/>
    <n v="0"/>
    <n v="1"/>
    <n v="0"/>
    <n v="1"/>
    <m/>
    <n v="0"/>
    <n v="0"/>
    <n v="0.38461538461538464"/>
    <n v="250"/>
    <n v="0.38461538461538464"/>
    <n v="250"/>
    <n v="0.38461538461538464"/>
    <n v="250"/>
    <s v="30-45%"/>
    <n v="0"/>
    <n v="0"/>
    <s v="yes"/>
    <n v="1.6"/>
    <n v="0"/>
    <n v="0"/>
    <n v="0.9"/>
    <n v="585"/>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5"/>
    <s v="Pan Taw Pyin"/>
    <s v="197995"/>
    <s v="Ashit Ywa"/>
    <m/>
    <m/>
    <x v="0"/>
    <s v="Muslim"/>
    <x v="0"/>
    <n v="0"/>
    <n v="0"/>
    <n v="1144"/>
    <m/>
    <s v="3. Large"/>
    <s v="E.U."/>
    <m/>
    <s v="CARE"/>
    <s v="Covered"/>
    <d v="2016-01-07T00:00:00"/>
    <m/>
    <s v="Focal NGO"/>
    <n v="0"/>
    <n v="0"/>
    <s v="No"/>
    <n v="4"/>
    <n v="1"/>
    <n v="0"/>
    <n v="1"/>
    <m/>
    <n v="0"/>
    <n v="0"/>
    <n v="1"/>
    <n v="1144"/>
    <n v="1"/>
    <n v="1144"/>
    <n v="1"/>
    <n v="1144"/>
    <s v="80-100%"/>
    <n v="0"/>
    <n v="0"/>
    <s v="yes"/>
    <n v="0"/>
    <n v="0"/>
    <n v="0"/>
    <n v="1"/>
    <n v="1144"/>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Ba Gone Nar"/>
    <m/>
    <m/>
    <x v="0"/>
    <s v="Muslim"/>
    <x v="0"/>
    <n v="0"/>
    <n v="0"/>
    <n v="4000"/>
    <m/>
    <s v="3. Large"/>
    <s v="E.U."/>
    <m/>
    <s v="ACF"/>
    <s v="Covered"/>
    <d v="2016-01-07T00:00:00"/>
    <m/>
    <s v="Focal NGO"/>
    <n v="0"/>
    <n v="0"/>
    <s v="No"/>
    <n v="5"/>
    <n v="10"/>
    <n v="0"/>
    <n v="0"/>
    <m/>
    <n v="0"/>
    <n v="0"/>
    <n v="0.9375"/>
    <n v="3750"/>
    <n v="0.9375"/>
    <n v="3750"/>
    <n v="0.9375"/>
    <n v="3750"/>
    <s v="80-100%"/>
    <n v="0"/>
    <n v="0"/>
    <s v="no"/>
    <n v="1"/>
    <n v="0"/>
    <n v="0"/>
    <n v="0.94"/>
    <n v="3760"/>
    <m/>
    <n v="0"/>
    <n v="371"/>
    <n v="42"/>
    <s v="Share Household Latriens"/>
    <n v="1"/>
    <n v="4000"/>
    <n v="1"/>
    <n v="4000"/>
    <n v="0"/>
    <n v="0"/>
    <s v="n/a"/>
    <s v="n/a"/>
    <n v="0"/>
    <s v="n/a"/>
    <s v="n/a"/>
    <s v="n/a"/>
    <s v="n/a"/>
    <s v="n/a"/>
    <s v="n/a"/>
    <s v="n/a"/>
    <s v="n/a"/>
    <s v="n/a"/>
    <s v="n/a"/>
    <n v="1"/>
    <s v="n/a"/>
    <s v="Latrines at each HH"/>
    <s v="n/a"/>
    <m/>
    <m/>
    <s v="n/a"/>
    <n v="0"/>
    <n v="0"/>
    <s v="n/a"/>
    <s v="n/a"/>
    <s v="n/a"/>
    <s v="n/a"/>
    <s v="HH latrine kits to be distributed"/>
    <n v="0.5"/>
    <n v="2000"/>
    <n v="2"/>
    <s v="Low coverage"/>
    <s v="n/a"/>
    <s v="n/a"/>
    <s v="Not yet set up"/>
    <s v="Set up but low results "/>
    <m/>
  </r>
  <r>
    <s v="Maungdaw"/>
    <s v="MMR012009035"/>
    <s v="Chan Pyin"/>
    <s v="197896"/>
    <s v="Chin Pyin"/>
    <m/>
    <m/>
    <x v="0"/>
    <s v="Rakhine"/>
    <x v="0"/>
    <n v="0"/>
    <n v="0"/>
    <n v="323"/>
    <m/>
    <s v="1. Small"/>
    <s v="E.U."/>
    <m/>
    <s v="CARE"/>
    <s v="Covered"/>
    <d v="2016-01-07T00:00:00"/>
    <m/>
    <s v="Focal NGO"/>
    <n v="0"/>
    <n v="0"/>
    <s v="No"/>
    <n v="0"/>
    <n v="0"/>
    <n v="0"/>
    <n v="1"/>
    <m/>
    <n v="0"/>
    <n v="0"/>
    <n v="0"/>
    <n v="0"/>
    <n v="0"/>
    <n v="0"/>
    <n v="0"/>
    <n v="0"/>
    <s v="0-10%"/>
    <n v="0"/>
    <n v="0"/>
    <s v="yes"/>
    <n v="1.292"/>
    <n v="0"/>
    <n v="0"/>
    <n v="0.9"/>
    <n v="290.7"/>
    <s v=" 1-pond renovated"/>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8"/>
    <s v="Zaw Ma Tat"/>
    <s v="198046"/>
    <s v="Din Gar"/>
    <m/>
    <m/>
    <x v="0"/>
    <s v="Muslim"/>
    <x v="0"/>
    <n v="0"/>
    <n v="0"/>
    <n v="1982"/>
    <m/>
    <s v="3. Large"/>
    <s v="E.U."/>
    <m/>
    <s v="ACF"/>
    <s v="Covered"/>
    <d v="2016-01-07T00:00:00"/>
    <m/>
    <s v="Focal NGO"/>
    <n v="0"/>
    <n v="0"/>
    <s v="No"/>
    <n v="2"/>
    <n v="20"/>
    <n v="0"/>
    <n v="2"/>
    <m/>
    <n v="0"/>
    <n v="0"/>
    <n v="1"/>
    <n v="1982"/>
    <n v="1"/>
    <n v="1982"/>
    <n v="1"/>
    <n v="1982"/>
    <s v="80-100%"/>
    <n v="0"/>
    <n v="0"/>
    <s v="yes"/>
    <n v="0"/>
    <n v="0"/>
    <n v="0"/>
    <n v="1"/>
    <n v="1982"/>
    <m/>
    <n v="0"/>
    <n v="71"/>
    <n v="42"/>
    <s v="Share Household Latriens"/>
    <n v="1"/>
    <n v="1982"/>
    <n v="1"/>
    <n v="1982"/>
    <n v="0"/>
    <n v="0"/>
    <s v="n/a"/>
    <s v="n/a"/>
    <n v="0"/>
    <s v="n/a"/>
    <s v="n/a"/>
    <s v="n/a"/>
    <s v="n/a"/>
    <s v="n/a"/>
    <s v="n/a"/>
    <s v="n/a"/>
    <s v="n/a"/>
    <s v="n/a"/>
    <s v="n/a"/>
    <n v="1"/>
    <s v="n/a"/>
    <s v="Latrines at each HH"/>
    <s v="n/a"/>
    <m/>
    <m/>
    <s v="n/a"/>
    <n v="0"/>
    <n v="0"/>
    <s v="n/a"/>
    <s v="n/a"/>
    <s v="n/a"/>
    <s v="n/a"/>
    <s v="HH latrine kits to be distributed"/>
    <n v="0.8"/>
    <n v="1585.6000000000001"/>
    <n v="2"/>
    <s v="Low coverage"/>
    <s v="n/a"/>
    <s v="n/a"/>
    <s v="Not yet set up"/>
    <s v="Set up but low results "/>
    <m/>
  </r>
  <r>
    <s v="Maungdaw"/>
    <m/>
    <m/>
    <m/>
    <s v="DPA"/>
    <m/>
    <m/>
    <x v="0"/>
    <s v="Rakhine"/>
    <x v="0"/>
    <n v="0"/>
    <n v="0"/>
    <n v="63"/>
    <m/>
    <s v="1. Small"/>
    <s v="E.U."/>
    <m/>
    <s v="ACF"/>
    <s v="Covered"/>
    <d v="2016-01-07T00:00:00"/>
    <m/>
    <s v="Focal NGO"/>
    <n v="0"/>
    <n v="0"/>
    <s v="No"/>
    <n v="0"/>
    <n v="1"/>
    <n v="0"/>
    <n v="0"/>
    <m/>
    <n v="0"/>
    <n v="0"/>
    <n v="1"/>
    <n v="63"/>
    <n v="1"/>
    <n v="63"/>
    <n v="1"/>
    <n v="63"/>
    <s v="80-100%"/>
    <n v="0"/>
    <n v="0"/>
    <s v="no"/>
    <n v="0"/>
    <n v="0"/>
    <n v="0"/>
    <n v="1"/>
    <n v="63"/>
    <m/>
    <n v="0"/>
    <n v="3"/>
    <n v="42"/>
    <s v="Household latrines"/>
    <n v="1"/>
    <n v="63"/>
    <n v="1"/>
    <n v="63"/>
    <n v="0"/>
    <n v="0"/>
    <s v="n/a"/>
    <s v="n/a"/>
    <n v="0"/>
    <s v="n/a"/>
    <s v="n/a"/>
    <s v="n/a"/>
    <s v="n/a"/>
    <s v="n/a"/>
    <s v="n/a"/>
    <s v="n/a"/>
    <s v="n/a"/>
    <s v="n/a"/>
    <s v="n/a"/>
    <n v="1"/>
    <s v="n/a"/>
    <s v="Latrines at each HH"/>
    <s v="n/a"/>
    <m/>
    <m/>
    <s v="n/a"/>
    <n v="0"/>
    <n v="0"/>
    <s v="n/a"/>
    <s v="n/a"/>
    <s v="n/a"/>
    <s v="n/a"/>
    <s v="HH latrine kits to be distributed"/>
    <n v="0.2"/>
    <n v="12.600000000000001"/>
    <n v="2"/>
    <s v="Low coverage"/>
    <s v="n/a"/>
    <s v="n/a"/>
    <s v="Not yet set up"/>
    <s v="Set up but low results "/>
    <m/>
  </r>
  <r>
    <s v="Maungdaw"/>
    <m/>
    <m/>
    <m/>
    <s v="Fatar"/>
    <m/>
    <m/>
    <x v="0"/>
    <s v="Muslim"/>
    <x v="0"/>
    <n v="0"/>
    <n v="0"/>
    <n v="1583"/>
    <m/>
    <s v="3. Large"/>
    <s v="E.U."/>
    <m/>
    <s v="CARE"/>
    <s v="Covered"/>
    <d v="2016-01-07T00:00:00"/>
    <m/>
    <s v="Focal NGO"/>
    <n v="0"/>
    <n v="0"/>
    <s v="No"/>
    <n v="0"/>
    <m/>
    <n v="0"/>
    <m/>
    <m/>
    <n v="0"/>
    <n v="0"/>
    <n v="0"/>
    <n v="0"/>
    <n v="0"/>
    <n v="0"/>
    <n v="0"/>
    <n v="0"/>
    <s v="0-10%"/>
    <n v="0"/>
    <n v="0"/>
    <s v="no"/>
    <n v="6.3319999999999999"/>
    <n v="0"/>
    <n v="0"/>
    <n v="0.9"/>
    <n v="1424.7"/>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8"/>
    <s v="Zaw Ma Tat"/>
    <s v="198049"/>
    <s v="Hin Thar Ra"/>
    <m/>
    <m/>
    <x v="0"/>
    <s v="Muslim"/>
    <x v="0"/>
    <n v="0"/>
    <n v="0"/>
    <n v="430"/>
    <m/>
    <s v="1. Small"/>
    <s v="E.U."/>
    <m/>
    <s v="ACF"/>
    <s v="Covered"/>
    <d v="2016-01-07T00:00:00"/>
    <m/>
    <s v="Focal NGO"/>
    <n v="0"/>
    <n v="0"/>
    <s v="No"/>
    <n v="0"/>
    <n v="2"/>
    <n v="0"/>
    <n v="0"/>
    <m/>
    <n v="0"/>
    <n v="0"/>
    <n v="1"/>
    <n v="430"/>
    <n v="1"/>
    <n v="430"/>
    <n v="1"/>
    <n v="430"/>
    <s v="80-100%"/>
    <n v="0"/>
    <n v="0"/>
    <s v="no"/>
    <n v="0"/>
    <n v="0"/>
    <n v="0"/>
    <n v="1"/>
    <n v="430"/>
    <m/>
    <n v="0"/>
    <n v="14"/>
    <n v="42"/>
    <s v="Household latrines"/>
    <n v="1"/>
    <n v="430"/>
    <n v="1"/>
    <n v="430"/>
    <n v="0"/>
    <n v="0"/>
    <s v="n/a"/>
    <s v="n/a"/>
    <n v="0"/>
    <s v="n/a"/>
    <s v="n/a"/>
    <s v="n/a"/>
    <s v="n/a"/>
    <s v="n/a"/>
    <s v="n/a"/>
    <s v="n/a"/>
    <s v="n/a"/>
    <s v="n/a"/>
    <s v="n/a"/>
    <n v="1"/>
    <s v="n/a"/>
    <s v="Latrines at each HH"/>
    <s v="n/a"/>
    <m/>
    <m/>
    <s v="n/a"/>
    <n v="0"/>
    <n v="0"/>
    <s v="n/a"/>
    <s v="n/a"/>
    <s v="n/a"/>
    <s v="n/a"/>
    <s v="HH latrine kits to be distributed"/>
    <n v="0.8"/>
    <n v="344"/>
    <n v="2"/>
    <s v="Low coverage"/>
    <s v="n/a"/>
    <s v="n/a"/>
    <s v="Not yet set up"/>
    <s v="Set up but low results "/>
    <m/>
  </r>
  <r>
    <s v="Maungdaw"/>
    <m/>
    <m/>
    <m/>
    <s v="Hindu"/>
    <m/>
    <m/>
    <x v="0"/>
    <s v="Hindu"/>
    <x v="0"/>
    <n v="0"/>
    <n v="0"/>
    <n v="516"/>
    <m/>
    <s v="2. Medium"/>
    <s v="E.U."/>
    <m/>
    <s v="CARE"/>
    <s v="Covered"/>
    <d v="2016-01-07T00:00:00"/>
    <m/>
    <s v="Focal NGO"/>
    <n v="0"/>
    <n v="0"/>
    <s v="No"/>
    <n v="0"/>
    <n v="2"/>
    <n v="0"/>
    <n v="1"/>
    <m/>
    <n v="0"/>
    <n v="0"/>
    <n v="0.96899224806201545"/>
    <n v="500"/>
    <n v="0.96899224806201545"/>
    <n v="500"/>
    <n v="0.96899224806201545"/>
    <n v="500"/>
    <s v="80-100%"/>
    <n v="0"/>
    <n v="0"/>
    <s v="yes"/>
    <n v="6.4000000000000057E-2"/>
    <n v="0"/>
    <n v="0"/>
    <n v="0.9"/>
    <n v="464.4000000000000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Kaing Gyi"/>
    <m/>
    <m/>
    <x v="0"/>
    <s v="Rakhine"/>
    <x v="0"/>
    <n v="0"/>
    <n v="0"/>
    <n v="816"/>
    <m/>
    <s v="2. Medium"/>
    <s v="E.U."/>
    <m/>
    <s v="ACF"/>
    <s v="Covered"/>
    <d v="2016-01-07T00:00:00"/>
    <m/>
    <s v="Focal NGO"/>
    <n v="0"/>
    <n v="0"/>
    <s v="No"/>
    <n v="0"/>
    <n v="1"/>
    <n v="0"/>
    <n v="0"/>
    <m/>
    <n v="0"/>
    <n v="0"/>
    <n v="0.30637254901960786"/>
    <n v="250.00000000000003"/>
    <n v="0.30637254901960786"/>
    <n v="250.00000000000003"/>
    <n v="0.30637254901960786"/>
    <n v="250.00000000000003"/>
    <s v="30-45%"/>
    <n v="0"/>
    <n v="0"/>
    <s v="no"/>
    <n v="2.2639999999999998"/>
    <n v="0"/>
    <n v="0"/>
    <n v="0.31"/>
    <n v="252.96"/>
    <m/>
    <n v="0"/>
    <n v="73"/>
    <n v="42"/>
    <s v="Share Household Latriens"/>
    <n v="1"/>
    <n v="816"/>
    <n v="1"/>
    <n v="816"/>
    <n v="0"/>
    <n v="0"/>
    <s v="n/a"/>
    <s v="n/a"/>
    <n v="0"/>
    <s v="n/a"/>
    <s v="n/a"/>
    <s v="n/a"/>
    <s v="n/a"/>
    <s v="n/a"/>
    <s v="n/a"/>
    <s v="n/a"/>
    <s v="n/a"/>
    <s v="n/a"/>
    <s v="n/a"/>
    <n v="1"/>
    <s v="n/a"/>
    <s v="Latrines at each HH"/>
    <s v="n/a"/>
    <m/>
    <m/>
    <s v="n/a"/>
    <n v="0"/>
    <n v="0"/>
    <s v="n/a"/>
    <s v="n/a"/>
    <s v="n/a"/>
    <s v="n/a"/>
    <s v="HH latrine kits to be distributed"/>
    <n v="0.8"/>
    <n v="652.80000000000007"/>
    <n v="2"/>
    <s v="Low coverage"/>
    <s v="n/a"/>
    <s v="n/a"/>
    <s v="Not yet set up"/>
    <s v="Set up but low results "/>
    <m/>
  </r>
  <r>
    <s v="Maungdaw"/>
    <s v="MMR012009063"/>
    <s v="Myo Thu Gyi"/>
    <s v="197992"/>
    <s v="Kan Kyar Myauk"/>
    <m/>
    <m/>
    <x v="0"/>
    <s v="Muslim"/>
    <x v="0"/>
    <n v="0"/>
    <n v="0"/>
    <n v="1169"/>
    <s v="Not affected"/>
    <s v="3. Large"/>
    <s v="E.U."/>
    <m/>
    <s v="ACF"/>
    <s v="Covered"/>
    <d v="2016-01-07T00:00:00"/>
    <m/>
    <s v="Focal NGO"/>
    <n v="0"/>
    <n v="0"/>
    <s v="No"/>
    <n v="2"/>
    <n v="4"/>
    <n v="4"/>
    <n v="1"/>
    <m/>
    <n v="0"/>
    <n v="0"/>
    <n v="1"/>
    <n v="1169"/>
    <n v="1"/>
    <n v="1169"/>
    <n v="1"/>
    <n v="1169"/>
    <s v="80-100%"/>
    <n v="0"/>
    <n v="0"/>
    <s v="yes"/>
    <n v="0"/>
    <n v="0"/>
    <n v="0"/>
    <n v="1"/>
    <n v="1169"/>
    <m/>
    <n v="0"/>
    <n v="99"/>
    <n v="42"/>
    <s v="Share Household Latriens"/>
    <n v="1"/>
    <n v="1169"/>
    <n v="1"/>
    <n v="1169"/>
    <n v="0"/>
    <n v="0"/>
    <s v="n/a"/>
    <s v="n/a"/>
    <n v="0"/>
    <s v="n/a"/>
    <s v="n/a"/>
    <s v="n/a"/>
    <s v="n/a"/>
    <s v="n/a"/>
    <s v="n/a"/>
    <s v="n/a"/>
    <s v="n/a"/>
    <s v="n/a"/>
    <s v="n/a"/>
    <n v="1"/>
    <s v="n/a"/>
    <s v="Latrines at each HH"/>
    <s v="n/a"/>
    <m/>
    <m/>
    <s v="n/a"/>
    <n v="0"/>
    <n v="0"/>
    <s v="n/a"/>
    <s v="n/a"/>
    <s v="n/a"/>
    <s v="n/a"/>
    <s v="HH latrine kits to be distributed"/>
    <n v="1"/>
    <n v="1169"/>
    <n v="2"/>
    <s v="Low coverage"/>
    <s v="n/a"/>
    <s v="n/a"/>
    <s v="Not yet set up"/>
    <s v="Set up but low results "/>
    <m/>
  </r>
  <r>
    <s v="Maungdaw"/>
    <s v="MMR012009063"/>
    <s v="Myo Thu Gyi"/>
    <s v="197989"/>
    <s v="Kan Kyar Taung "/>
    <m/>
    <m/>
    <x v="0"/>
    <s v="Muslim"/>
    <x v="0"/>
    <n v="0"/>
    <n v="0"/>
    <n v="2466"/>
    <s v="Not affected"/>
    <s v="3. Large"/>
    <s v="E.U."/>
    <m/>
    <s v="ACF"/>
    <s v="Covered"/>
    <d v="2016-01-07T00:00:00"/>
    <m/>
    <s v="Focal NGO"/>
    <n v="0"/>
    <n v="0"/>
    <s v="No"/>
    <n v="1"/>
    <n v="1"/>
    <n v="5"/>
    <n v="2"/>
    <m/>
    <n v="0"/>
    <n v="0"/>
    <n v="0.33792917004595835"/>
    <n v="833.33333333333326"/>
    <n v="0.33792917004595835"/>
    <n v="833.33333333333326"/>
    <n v="0.33792917004595835"/>
    <n v="833.33333333333326"/>
    <s v="30-45%"/>
    <n v="0"/>
    <n v="0"/>
    <s v="yes"/>
    <n v="7.8640000000000008"/>
    <n v="0"/>
    <n v="0"/>
    <n v="0.34"/>
    <n v="838.44"/>
    <m/>
    <n v="0"/>
    <n v="292"/>
    <n v="42"/>
    <s v="Household latrines"/>
    <n v="1"/>
    <n v="2466"/>
    <n v="1"/>
    <n v="2466"/>
    <n v="0"/>
    <n v="0"/>
    <s v="n/a"/>
    <s v="n/a"/>
    <n v="0"/>
    <s v="n/a"/>
    <s v="n/a"/>
    <s v="n/a"/>
    <s v="n/a"/>
    <s v="n/a"/>
    <s v="n/a"/>
    <s v="n/a"/>
    <s v="n/a"/>
    <s v="n/a"/>
    <s v="n/a"/>
    <n v="1"/>
    <s v="n/a"/>
    <s v="Latrines at each HH"/>
    <s v="n/a"/>
    <m/>
    <m/>
    <s v="n/a"/>
    <n v="0"/>
    <n v="0"/>
    <s v="n/a"/>
    <s v="n/a"/>
    <s v="n/a"/>
    <s v="n/a"/>
    <s v="HH latrine kits to be distributed"/>
    <n v="0.3"/>
    <n v="739.8"/>
    <n v="2"/>
    <s v="Low coverage"/>
    <s v="n/a"/>
    <s v="n/a"/>
    <s v="Not yet set up"/>
    <s v="Set up but low results "/>
    <m/>
  </r>
  <r>
    <s v="Maungdaw"/>
    <s v="MMR012009066"/>
    <s v="Tat U Chaung"/>
    <s v="217894"/>
    <s v="Kan Pyi Tha Zi"/>
    <m/>
    <m/>
    <x v="0"/>
    <s v="Rakhine"/>
    <x v="0"/>
    <n v="0"/>
    <n v="0"/>
    <n v="226"/>
    <m/>
    <s v="1. Small"/>
    <s v="E.U."/>
    <m/>
    <s v="ACF"/>
    <s v="Covered"/>
    <d v="2016-01-07T00:00:00"/>
    <m/>
    <s v="Focal NGO"/>
    <n v="0"/>
    <n v="0"/>
    <s v="No"/>
    <n v="2"/>
    <n v="0"/>
    <n v="0"/>
    <n v="0"/>
    <m/>
    <n v="0"/>
    <n v="0"/>
    <n v="1"/>
    <n v="226"/>
    <n v="1"/>
    <n v="226"/>
    <n v="1"/>
    <n v="226"/>
    <s v="80-100%"/>
    <n v="0"/>
    <n v="0"/>
    <s v="no"/>
    <n v="0"/>
    <n v="0"/>
    <n v="0"/>
    <n v="1"/>
    <n v="226"/>
    <m/>
    <n v="0"/>
    <n v="12"/>
    <n v="42"/>
    <s v="Share Household Latriens"/>
    <n v="1"/>
    <n v="226"/>
    <n v="1"/>
    <n v="226"/>
    <n v="0"/>
    <n v="0"/>
    <s v="n/a"/>
    <s v="n/a"/>
    <n v="0"/>
    <s v="n/a"/>
    <s v="n/a"/>
    <s v="n/a"/>
    <s v="n/a"/>
    <s v="n/a"/>
    <s v="n/a"/>
    <s v="n/a"/>
    <s v="n/a"/>
    <s v="n/a"/>
    <s v="n/a"/>
    <n v="1"/>
    <s v="n/a"/>
    <s v="Latrines at each HH"/>
    <s v="n/a"/>
    <m/>
    <m/>
    <s v="n/a"/>
    <n v="0"/>
    <n v="0"/>
    <s v="n/a"/>
    <s v="n/a"/>
    <s v="n/a"/>
    <s v="n/a"/>
    <s v="HH latrine kits to be distributed"/>
    <n v="0.5"/>
    <n v="113"/>
    <n v="2"/>
    <s v="Low coverage"/>
    <s v="n/a"/>
    <s v="n/a"/>
    <s v="Not yet set up"/>
    <s v="Set up but low results "/>
    <m/>
  </r>
  <r>
    <s v="Maungdaw"/>
    <s v="MMR012009066"/>
    <s v="Tat U Chaung"/>
    <s v="217895"/>
    <s v="Kan Tha Ya"/>
    <m/>
    <m/>
    <x v="0"/>
    <s v="Rakhine"/>
    <x v="0"/>
    <n v="0"/>
    <n v="0"/>
    <n v="239"/>
    <m/>
    <s v="1. Small"/>
    <s v="E.U."/>
    <m/>
    <s v="ACF"/>
    <s v="Covered"/>
    <d v="2016-01-07T00:00:00"/>
    <m/>
    <s v="Focal NGO"/>
    <n v="0"/>
    <n v="0"/>
    <s v="No"/>
    <n v="0"/>
    <n v="1"/>
    <n v="0"/>
    <n v="0"/>
    <m/>
    <n v="0"/>
    <n v="0"/>
    <n v="1"/>
    <n v="239"/>
    <n v="1"/>
    <n v="239"/>
    <n v="1"/>
    <n v="239"/>
    <s v="80-100%"/>
    <n v="0"/>
    <n v="0"/>
    <s v="no"/>
    <n v="0"/>
    <n v="0"/>
    <n v="0"/>
    <n v="1"/>
    <n v="239"/>
    <m/>
    <n v="0"/>
    <n v="53"/>
    <n v="42"/>
    <s v="Share Household Latriens"/>
    <n v="1"/>
    <n v="239"/>
    <n v="1"/>
    <n v="239"/>
    <n v="0"/>
    <n v="0"/>
    <s v="n/a"/>
    <s v="n/a"/>
    <n v="0"/>
    <s v="n/a"/>
    <s v="n/a"/>
    <s v="n/a"/>
    <s v="n/a"/>
    <s v="n/a"/>
    <s v="n/a"/>
    <s v="n/a"/>
    <s v="n/a"/>
    <s v="n/a"/>
    <s v="n/a"/>
    <n v="1"/>
    <s v="n/a"/>
    <s v="Latrines at each HH"/>
    <s v="n/a"/>
    <m/>
    <m/>
    <s v="n/a"/>
    <n v="0"/>
    <n v="0"/>
    <s v="n/a"/>
    <s v="n/a"/>
    <s v="n/a"/>
    <s v="n/a"/>
    <s v="HH latrine kits to be distributed"/>
    <n v="0.5"/>
    <n v="119.5"/>
    <n v="2"/>
    <s v="Low coverage"/>
    <s v="n/a"/>
    <s v="n/a"/>
    <s v="Not yet set up"/>
    <s v="Set up but low results "/>
    <m/>
  </r>
  <r>
    <s v="Maungdaw"/>
    <m/>
    <m/>
    <m/>
    <s v="Kha Yai Myaing"/>
    <m/>
    <m/>
    <x v="0"/>
    <s v="Rakhine"/>
    <x v="0"/>
    <n v="0"/>
    <n v="0"/>
    <n v="1200"/>
    <m/>
    <s v="3. Large"/>
    <s v="E.U."/>
    <m/>
    <s v="ACF"/>
    <s v="Covered"/>
    <d v="2016-01-07T00:00:00"/>
    <m/>
    <s v="Focal NGO"/>
    <n v="0"/>
    <n v="0"/>
    <s v="No"/>
    <n v="0"/>
    <n v="3"/>
    <n v="0"/>
    <n v="0"/>
    <m/>
    <n v="0"/>
    <n v="0"/>
    <n v="0.625"/>
    <n v="750"/>
    <n v="0.625"/>
    <n v="750"/>
    <n v="0.625"/>
    <n v="750"/>
    <s v="60-80%"/>
    <n v="0"/>
    <n v="0"/>
    <s v="no"/>
    <n v="1.7999999999999998"/>
    <n v="0"/>
    <n v="0"/>
    <n v="0.63"/>
    <n v="756"/>
    <m/>
    <n v="0"/>
    <n v="196"/>
    <n v="42"/>
    <s v="Share Household Latriens"/>
    <n v="1"/>
    <n v="1200"/>
    <n v="1"/>
    <n v="1200"/>
    <n v="0"/>
    <n v="0"/>
    <s v="n/a"/>
    <s v="n/a"/>
    <n v="0"/>
    <s v="n/a"/>
    <s v="n/a"/>
    <s v="n/a"/>
    <s v="n/a"/>
    <s v="n/a"/>
    <s v="n/a"/>
    <s v="n/a"/>
    <s v="n/a"/>
    <s v="n/a"/>
    <s v="n/a"/>
    <n v="1"/>
    <s v="n/a"/>
    <s v="Latrines at each HH"/>
    <s v="n/a"/>
    <m/>
    <m/>
    <s v="n/a"/>
    <n v="0"/>
    <n v="0"/>
    <s v="n/a"/>
    <s v="n/a"/>
    <s v="n/a"/>
    <s v="n/a"/>
    <s v="HH latrine kits to be distributed"/>
    <n v="0.2"/>
    <n v="240"/>
    <n v="2"/>
    <s v="Low coverage"/>
    <s v="n/a"/>
    <s v="n/a"/>
    <s v="Not yet set up"/>
    <s v="Set up but low results "/>
    <m/>
  </r>
  <r>
    <s v="Maungdaw"/>
    <s v="MMR012009031"/>
    <s v="Kat Pa Kaung"/>
    <s v="197890"/>
    <s v="Khat Pa Kaung"/>
    <m/>
    <m/>
    <x v="0"/>
    <s v="Rakhine"/>
    <x v="0"/>
    <n v="0"/>
    <n v="0"/>
    <n v="102"/>
    <m/>
    <s v="1. Small"/>
    <s v="E.U."/>
    <m/>
    <s v="CARE"/>
    <s v="Covered"/>
    <d v="2016-01-07T00:00:00"/>
    <m/>
    <s v="Focal NGO"/>
    <n v="0"/>
    <n v="0"/>
    <s v="No"/>
    <n v="0"/>
    <n v="0"/>
    <n v="0"/>
    <n v="1"/>
    <m/>
    <n v="0"/>
    <n v="0"/>
    <n v="0"/>
    <n v="0"/>
    <n v="0"/>
    <n v="0"/>
    <n v="0"/>
    <n v="0"/>
    <s v="0-10%"/>
    <n v="0"/>
    <n v="0"/>
    <s v="yes"/>
    <n v="0.40799999999999997"/>
    <n v="0"/>
    <n v="0"/>
    <n v="0.9"/>
    <n v="91.8"/>
    <s v=" 1-pond renovated"/>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29"/>
    <s v="Ah Htet Pyue Ma"/>
    <s v="197887"/>
    <s v="Koun Tan"/>
    <m/>
    <m/>
    <x v="0"/>
    <s v="Muslim"/>
    <x v="0"/>
    <n v="0"/>
    <n v="0"/>
    <n v="1158"/>
    <m/>
    <s v="3. Large"/>
    <s v="E.U."/>
    <m/>
    <s v="CARE"/>
    <s v="Covered"/>
    <d v="2016-01-07T00:00:00"/>
    <m/>
    <s v="Focal NGO"/>
    <n v="0"/>
    <n v="0"/>
    <s v="No"/>
    <n v="6"/>
    <n v="30"/>
    <n v="0"/>
    <n v="1"/>
    <m/>
    <n v="0"/>
    <n v="0"/>
    <n v="1"/>
    <n v="1158"/>
    <n v="1"/>
    <n v="1158"/>
    <n v="1"/>
    <n v="1158"/>
    <s v="80-100%"/>
    <n v="0"/>
    <n v="0"/>
    <s v="yes"/>
    <n v="0"/>
    <n v="0"/>
    <n v="0"/>
    <n v="1"/>
    <n v="1158"/>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84"/>
    <s v="Kyauk Pan Du"/>
    <s v="198075"/>
    <s v="Kyauk Pan Du (NTL)"/>
    <m/>
    <m/>
    <x v="0"/>
    <s v="Rakhine"/>
    <x v="0"/>
    <n v="0"/>
    <n v="0"/>
    <n v="232"/>
    <m/>
    <s v="1. Small"/>
    <s v="E.U."/>
    <m/>
    <s v="ACF"/>
    <s v="Covered"/>
    <d v="2016-01-07T00:00:00"/>
    <m/>
    <s v="Focal NGO"/>
    <n v="0"/>
    <n v="0"/>
    <s v="No"/>
    <n v="1"/>
    <n v="0"/>
    <n v="0"/>
    <n v="0"/>
    <m/>
    <n v="0"/>
    <n v="0"/>
    <n v="1"/>
    <n v="232"/>
    <n v="1"/>
    <n v="232"/>
    <n v="1"/>
    <n v="232"/>
    <s v="80-100%"/>
    <n v="0"/>
    <n v="0"/>
    <s v="no"/>
    <n v="0"/>
    <n v="0"/>
    <n v="0"/>
    <n v="1"/>
    <n v="232"/>
    <m/>
    <n v="0"/>
    <n v="44"/>
    <n v="42"/>
    <s v="Share Household Latriens"/>
    <n v="1"/>
    <n v="232"/>
    <n v="1"/>
    <n v="232"/>
    <n v="0"/>
    <n v="0"/>
    <s v="n/a"/>
    <s v="n/a"/>
    <n v="0"/>
    <s v="n/a"/>
    <s v="n/a"/>
    <s v="n/a"/>
    <s v="n/a"/>
    <s v="n/a"/>
    <s v="n/a"/>
    <s v="n/a"/>
    <s v="n/a"/>
    <s v="n/a"/>
    <s v="n/a"/>
    <n v="1"/>
    <s v="n/a"/>
    <s v="Latrines at each HH"/>
    <s v="n/a"/>
    <m/>
    <m/>
    <s v="n/a"/>
    <n v="0"/>
    <n v="0"/>
    <s v="n/a"/>
    <s v="n/a"/>
    <s v="n/a"/>
    <s v="n/a"/>
    <s v="HH latrine kits to be distributed"/>
    <n v="0"/>
    <n v="0"/>
    <n v="2"/>
    <s v="Low coverage"/>
    <s v="n/a"/>
    <s v="n/a"/>
    <s v="Not yet set up"/>
    <s v="Set up but low results "/>
    <m/>
  </r>
  <r>
    <s v="Maungdaw"/>
    <s v="MMR012009081"/>
    <s v="Kyaung Taung"/>
    <s v="198058"/>
    <s v="Kyaung Taung"/>
    <m/>
    <m/>
    <x v="0"/>
    <s v="Muslim"/>
    <x v="0"/>
    <n v="0"/>
    <n v="0"/>
    <n v="2025"/>
    <m/>
    <s v="3. Large"/>
    <s v="E.U."/>
    <m/>
    <s v="CARE"/>
    <s v="Covered"/>
    <d v="2016-01-07T00:00:00"/>
    <m/>
    <s v="Focal NGO"/>
    <n v="0"/>
    <n v="0"/>
    <s v="No"/>
    <n v="5"/>
    <n v="70"/>
    <n v="0"/>
    <n v="4"/>
    <m/>
    <n v="0"/>
    <n v="0"/>
    <n v="1"/>
    <n v="2025"/>
    <n v="1"/>
    <n v="2025"/>
    <n v="1"/>
    <n v="2025"/>
    <s v="80-100%"/>
    <n v="0"/>
    <n v="0"/>
    <s v="yes"/>
    <n v="0"/>
    <n v="0"/>
    <n v="0"/>
    <n v="1"/>
    <n v="2025"/>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27"/>
    <s v="Kyet Yoe Pyin"/>
    <s v="197880"/>
    <s v="Kywe Ta Ma"/>
    <m/>
    <m/>
    <x v="0"/>
    <s v="Muslim"/>
    <x v="0"/>
    <n v="0"/>
    <n v="0"/>
    <n v="566"/>
    <m/>
    <s v="2. Medium"/>
    <s v="E.U."/>
    <m/>
    <s v="CARE"/>
    <s v="Covered"/>
    <d v="2016-01-07T00:00:00"/>
    <m/>
    <s v="Focal NGO"/>
    <n v="0"/>
    <n v="0"/>
    <s v="No"/>
    <n v="0"/>
    <n v="3"/>
    <n v="0"/>
    <n v="3"/>
    <m/>
    <n v="0"/>
    <n v="0"/>
    <n v="1"/>
    <n v="566"/>
    <n v="1"/>
    <n v="566"/>
    <n v="1"/>
    <n v="566"/>
    <s v="80-100%"/>
    <n v="0"/>
    <n v="0"/>
    <s v="yes"/>
    <n v="0"/>
    <n v="0"/>
    <n v="0"/>
    <n v="1"/>
    <n v="566"/>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8"/>
    <s v="Zaw Ma Tat"/>
    <s v="198048"/>
    <s v="Lam Bar Gone Nah"/>
    <m/>
    <m/>
    <x v="0"/>
    <s v="Muslim"/>
    <x v="0"/>
    <n v="0"/>
    <n v="0"/>
    <n v="750"/>
    <m/>
    <s v="2. Medium"/>
    <s v="E.U."/>
    <m/>
    <s v="ACF"/>
    <s v="Covered"/>
    <d v="2016-01-07T00:00:00"/>
    <m/>
    <s v="Focal NGO"/>
    <n v="0"/>
    <n v="0"/>
    <s v="No"/>
    <n v="4"/>
    <n v="50"/>
    <n v="0"/>
    <n v="0"/>
    <m/>
    <n v="0"/>
    <n v="0"/>
    <n v="1"/>
    <n v="750"/>
    <n v="1"/>
    <n v="750"/>
    <n v="1"/>
    <n v="750"/>
    <s v="80-100%"/>
    <n v="0"/>
    <n v="0"/>
    <s v="no"/>
    <n v="0"/>
    <n v="0"/>
    <n v="0"/>
    <n v="1"/>
    <n v="750"/>
    <m/>
    <n v="0"/>
    <n v="65"/>
    <n v="42"/>
    <s v="Household latrines"/>
    <n v="1"/>
    <n v="750"/>
    <n v="1"/>
    <n v="750"/>
    <n v="0"/>
    <n v="0"/>
    <s v="n/a"/>
    <s v="n/a"/>
    <n v="0"/>
    <s v="n/a"/>
    <s v="n/a"/>
    <s v="n/a"/>
    <s v="n/a"/>
    <s v="n/a"/>
    <s v="n/a"/>
    <s v="n/a"/>
    <s v="n/a"/>
    <s v="n/a"/>
    <s v="n/a"/>
    <n v="1"/>
    <s v="n/a"/>
    <s v="Latrines at each HH"/>
    <s v="n/a"/>
    <m/>
    <m/>
    <s v="n/a"/>
    <n v="0"/>
    <n v="0"/>
    <s v="n/a"/>
    <s v="n/a"/>
    <s v="n/a"/>
    <s v="n/a"/>
    <s v="HH latrine kits to be distributed"/>
    <n v="0.5"/>
    <n v="375"/>
    <n v="2"/>
    <s v="Low coverage"/>
    <s v="n/a"/>
    <s v="n/a"/>
    <s v="Not yet set up"/>
    <s v="Set up but low results "/>
    <m/>
  </r>
  <r>
    <s v="Maungdaw"/>
    <s v="MMR012009027"/>
    <s v="Kyet Yoe Pyin"/>
    <s v="197879"/>
    <s v="Lu Fan Pyin"/>
    <m/>
    <m/>
    <x v="0"/>
    <s v="Muslim"/>
    <x v="0"/>
    <n v="0"/>
    <n v="0"/>
    <n v="2701"/>
    <m/>
    <s v="3. Large"/>
    <s v="E.U."/>
    <m/>
    <s v="CARE"/>
    <s v="Covered"/>
    <d v="2016-01-07T00:00:00"/>
    <m/>
    <s v="Focal NGO"/>
    <n v="0"/>
    <n v="0"/>
    <s v="No"/>
    <n v="0"/>
    <n v="5"/>
    <n v="0"/>
    <n v="5"/>
    <m/>
    <n v="0"/>
    <n v="0"/>
    <n v="0.46279155868196964"/>
    <n v="1250"/>
    <n v="0.46279155868196964"/>
    <n v="1250"/>
    <n v="0.46279155868196964"/>
    <n v="1250"/>
    <s v="45-60%"/>
    <n v="0"/>
    <n v="0"/>
    <s v="yes"/>
    <n v="5.8040000000000003"/>
    <n v="0"/>
    <n v="0"/>
    <n v="0.9"/>
    <n v="2430.9"/>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Ma Gyi Koung"/>
    <m/>
    <m/>
    <x v="0"/>
    <s v="Rakhine"/>
    <x v="0"/>
    <n v="0"/>
    <n v="0"/>
    <n v="379"/>
    <m/>
    <s v="1. Small"/>
    <s v="E.U."/>
    <m/>
    <s v="CARE"/>
    <s v="Covered"/>
    <d v="2016-01-07T00:00:00"/>
    <m/>
    <s v="Focal NGO"/>
    <n v="0"/>
    <n v="0"/>
    <s v="No"/>
    <n v="4"/>
    <n v="0"/>
    <n v="0"/>
    <n v="0"/>
    <m/>
    <n v="0"/>
    <n v="0"/>
    <n v="1"/>
    <n v="379"/>
    <n v="1"/>
    <n v="379"/>
    <n v="1"/>
    <n v="379"/>
    <s v="80-100%"/>
    <n v="0"/>
    <n v="0"/>
    <s v="no"/>
    <n v="0"/>
    <n v="0"/>
    <n v="0"/>
    <n v="1"/>
    <n v="379"/>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6"/>
    <s v="Tat U Chaung"/>
    <s v="198001"/>
    <s v="Mardilla"/>
    <m/>
    <m/>
    <x v="0"/>
    <s v="Muslim"/>
    <x v="0"/>
    <n v="0"/>
    <n v="0"/>
    <n v="253"/>
    <m/>
    <s v="1. Small"/>
    <s v="E.U."/>
    <m/>
    <s v="ACF"/>
    <s v="Covered"/>
    <d v="2016-01-07T00:00:00"/>
    <m/>
    <s v="Focal NGO"/>
    <n v="0"/>
    <n v="0"/>
    <s v="No"/>
    <n v="1"/>
    <n v="10"/>
    <n v="0"/>
    <n v="1"/>
    <m/>
    <n v="0"/>
    <n v="0"/>
    <n v="1"/>
    <n v="253"/>
    <n v="1"/>
    <n v="253"/>
    <n v="1"/>
    <n v="253"/>
    <s v="80-100%"/>
    <n v="0"/>
    <n v="0"/>
    <s v="yes"/>
    <n v="0"/>
    <n v="0"/>
    <n v="0"/>
    <n v="1"/>
    <n v="253"/>
    <m/>
    <n v="0"/>
    <n v="35"/>
    <n v="42"/>
    <s v="Household latrines"/>
    <n v="1"/>
    <n v="253"/>
    <n v="1"/>
    <n v="253"/>
    <n v="0"/>
    <n v="0"/>
    <s v="n/a"/>
    <s v="n/a"/>
    <n v="0"/>
    <s v="n/a"/>
    <s v="n/a"/>
    <s v="n/a"/>
    <s v="n/a"/>
    <s v="n/a"/>
    <s v="n/a"/>
    <s v="n/a"/>
    <s v="n/a"/>
    <s v="n/a"/>
    <s v="n/a"/>
    <n v="1"/>
    <s v="n/a"/>
    <s v="Latrines at each HH"/>
    <s v="n/a"/>
    <m/>
    <m/>
    <s v="n/a"/>
    <n v="0"/>
    <n v="0"/>
    <s v="n/a"/>
    <s v="n/a"/>
    <s v="n/a"/>
    <s v="n/a"/>
    <s v="HH latrine kits to be distributed"/>
    <n v="0.8"/>
    <n v="202.4"/>
    <n v="2"/>
    <s v="Low coverage"/>
    <s v="n/a"/>
    <s v="n/a"/>
    <s v="Not yet set up"/>
    <s v="Set up but low results "/>
    <m/>
  </r>
  <r>
    <s v="Maungdaw"/>
    <s v="MMR012009065"/>
    <s v="Pan Taw Pyin"/>
    <s v="197996"/>
    <s v="Middle"/>
    <m/>
    <m/>
    <x v="0"/>
    <s v="Muslim"/>
    <x v="0"/>
    <n v="0"/>
    <n v="0"/>
    <n v="578"/>
    <m/>
    <s v="2. Medium"/>
    <s v="E.U."/>
    <m/>
    <s v="ACF"/>
    <s v="Covered"/>
    <d v="2016-01-07T00:00:00"/>
    <m/>
    <s v="Focal NGO"/>
    <n v="0"/>
    <n v="0"/>
    <s v="No"/>
    <n v="6"/>
    <n v="7"/>
    <n v="0"/>
    <n v="2"/>
    <m/>
    <n v="0"/>
    <n v="0"/>
    <n v="1"/>
    <n v="578"/>
    <n v="1"/>
    <n v="578"/>
    <n v="1"/>
    <n v="578"/>
    <s v="80-100%"/>
    <n v="0"/>
    <n v="0"/>
    <s v="yes"/>
    <n v="0"/>
    <n v="0"/>
    <n v="0"/>
    <n v="1"/>
    <n v="578"/>
    <m/>
    <n v="0"/>
    <n v="29"/>
    <n v="42"/>
    <s v="Household latrines"/>
    <n v="1"/>
    <n v="578"/>
    <n v="1"/>
    <n v="578"/>
    <n v="0"/>
    <n v="0"/>
    <s v="n/a"/>
    <s v="n/a"/>
    <n v="0"/>
    <s v="n/a"/>
    <s v="n/a"/>
    <s v="n/a"/>
    <s v="n/a"/>
    <s v="n/a"/>
    <s v="n/a"/>
    <s v="n/a"/>
    <s v="n/a"/>
    <s v="n/a"/>
    <s v="n/a"/>
    <n v="1"/>
    <s v="n/a"/>
    <s v="Latrines at each HH"/>
    <s v="n/a"/>
    <m/>
    <m/>
    <s v="n/a"/>
    <n v="0"/>
    <n v="0"/>
    <s v="n/a"/>
    <s v="n/a"/>
    <s v="n/a"/>
    <s v="n/a"/>
    <s v="HH latrine kits to be distributed"/>
    <n v="0.2"/>
    <n v="115.60000000000001"/>
    <n v="2"/>
    <s v="Low coverage"/>
    <s v="n/a"/>
    <s v="n/a"/>
    <s v="Not yet set up"/>
    <s v="Set up but low results "/>
    <m/>
  </r>
  <r>
    <s v="Maungdaw"/>
    <m/>
    <m/>
    <m/>
    <s v="Muslim_x000a_ (Aley Ywa)"/>
    <m/>
    <m/>
    <x v="0"/>
    <s v="Muslim"/>
    <x v="0"/>
    <n v="0"/>
    <n v="0"/>
    <n v="2936"/>
    <m/>
    <s v="3. Large"/>
    <s v="E.U."/>
    <m/>
    <s v="CARE"/>
    <s v="Covered"/>
    <d v="2016-01-07T00:00:00"/>
    <m/>
    <s v="Focal NGO"/>
    <n v="0"/>
    <n v="0"/>
    <s v="No"/>
    <n v="3"/>
    <n v="10"/>
    <n v="0"/>
    <n v="8"/>
    <m/>
    <n v="0"/>
    <n v="0"/>
    <n v="1"/>
    <n v="2936"/>
    <n v="1"/>
    <n v="2936"/>
    <n v="1"/>
    <n v="2936"/>
    <s v="80-100%"/>
    <n v="0"/>
    <n v="0"/>
    <s v="yes"/>
    <n v="0"/>
    <n v="0"/>
    <n v="0"/>
    <n v="1"/>
    <n v="2936"/>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Muslim_x000a_ (Myaunk Ywa)"/>
    <m/>
    <m/>
    <x v="0"/>
    <s v="Muslim"/>
    <x v="0"/>
    <n v="0"/>
    <n v="0"/>
    <n v="2317"/>
    <m/>
    <s v="3. Large"/>
    <s v="E.U."/>
    <m/>
    <s v="CARE"/>
    <s v="Covered"/>
    <d v="2016-01-07T00:00:00"/>
    <m/>
    <s v="Focal NGO"/>
    <n v="0"/>
    <n v="0"/>
    <s v="No"/>
    <n v="4"/>
    <n v="5"/>
    <n v="0"/>
    <n v="3"/>
    <m/>
    <n v="0"/>
    <n v="0"/>
    <n v="0.97108329736728527"/>
    <n v="2250"/>
    <n v="0.97108329736728527"/>
    <n v="2250"/>
    <n v="0.97108329736728527"/>
    <n v="2250"/>
    <s v="80-100%"/>
    <n v="0"/>
    <n v="0"/>
    <s v="yes"/>
    <n v="0.26800000000000068"/>
    <n v="0"/>
    <n v="0"/>
    <n v="0.97"/>
    <n v="2247.4899999999998"/>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Muslim_x000a_ (Taung Ywa)"/>
    <m/>
    <m/>
    <x v="0"/>
    <s v="Muslim"/>
    <x v="0"/>
    <n v="0"/>
    <n v="0"/>
    <n v="3506"/>
    <m/>
    <s v="3. Large"/>
    <s v="E.U."/>
    <m/>
    <s v="CARE"/>
    <s v="Covered"/>
    <d v="2016-01-07T00:00:00"/>
    <m/>
    <s v="Focal NGO"/>
    <n v="0"/>
    <n v="0"/>
    <s v="No"/>
    <n v="3"/>
    <n v="10"/>
    <n v="0"/>
    <n v="4"/>
    <m/>
    <n v="0"/>
    <n v="0"/>
    <n v="0.92698231602966341"/>
    <n v="3250"/>
    <n v="0.92698231602966341"/>
    <n v="3250"/>
    <n v="0.92698231602966341"/>
    <n v="3250"/>
    <s v="80-100%"/>
    <n v="0"/>
    <n v="0"/>
    <s v="yes"/>
    <n v="1.0239999999999991"/>
    <n v="0"/>
    <n v="0"/>
    <n v="0.93"/>
    <n v="3260.5800000000004"/>
    <s v=" 1-pond renovated"/>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2"/>
    <s v="U Daung"/>
    <s v="198028"/>
    <s v="Myaunk Ywa"/>
    <m/>
    <m/>
    <x v="0"/>
    <s v="Muslim"/>
    <x v="0"/>
    <n v="0"/>
    <n v="0"/>
    <n v="775"/>
    <m/>
    <s v="2. Medium"/>
    <s v="E.U."/>
    <m/>
    <s v="CARE"/>
    <s v="Covered"/>
    <d v="2016-01-07T00:00:00"/>
    <m/>
    <s v="Focal NGO"/>
    <n v="0"/>
    <n v="0"/>
    <s v="No"/>
    <n v="0"/>
    <n v="5"/>
    <n v="0"/>
    <n v="1"/>
    <m/>
    <n v="0"/>
    <n v="0"/>
    <n v="1"/>
    <n v="775"/>
    <n v="1"/>
    <n v="775"/>
    <n v="1"/>
    <n v="775"/>
    <s v="80-100%"/>
    <n v="0"/>
    <n v="0"/>
    <s v="yes"/>
    <n v="0"/>
    <n v="0"/>
    <n v="0"/>
    <n v="1"/>
    <n v="775"/>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2"/>
    <s v="U Daung"/>
    <s v="198028"/>
    <s v="Myaunk Ywa"/>
    <m/>
    <m/>
    <x v="0"/>
    <s v="Muslim"/>
    <x v="0"/>
    <n v="0"/>
    <n v="0"/>
    <n v="1496"/>
    <m/>
    <s v="3. Large"/>
    <s v="E.U."/>
    <m/>
    <s v="CARE"/>
    <s v="Covered"/>
    <d v="2016-01-07T00:00:00"/>
    <m/>
    <s v="Focal NGO"/>
    <n v="0"/>
    <n v="0"/>
    <s v="No"/>
    <n v="4"/>
    <n v="15"/>
    <n v="0"/>
    <n v="1"/>
    <m/>
    <n v="0"/>
    <n v="0"/>
    <n v="1"/>
    <n v="1496"/>
    <n v="1"/>
    <n v="1496"/>
    <n v="1"/>
    <n v="1496"/>
    <s v="80-100%"/>
    <n v="0"/>
    <n v="0"/>
    <s v="yes"/>
    <n v="0"/>
    <n v="0"/>
    <n v="0"/>
    <n v="1"/>
    <n v="1496"/>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Ngwe Taung"/>
    <m/>
    <m/>
    <x v="0"/>
    <s v="Rakhine"/>
    <x v="0"/>
    <n v="0"/>
    <n v="0"/>
    <n v="304"/>
    <m/>
    <s v="1. Small"/>
    <s v="E.U."/>
    <m/>
    <s v="CARE"/>
    <s v="Covered"/>
    <d v="2016-01-07T00:00:00"/>
    <m/>
    <s v="Focal NGO"/>
    <n v="0"/>
    <n v="0"/>
    <s v="No"/>
    <n v="2"/>
    <n v="0"/>
    <n v="0"/>
    <n v="0"/>
    <m/>
    <n v="0"/>
    <n v="0"/>
    <n v="1"/>
    <n v="304"/>
    <n v="1"/>
    <n v="304"/>
    <n v="1"/>
    <n v="304"/>
    <s v="80-100%"/>
    <n v="0"/>
    <n v="0"/>
    <s v="no"/>
    <n v="0"/>
    <n v="0"/>
    <n v="0"/>
    <n v="1"/>
    <n v="304"/>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6"/>
    <s v="Tat U Chaung"/>
    <s v="197999"/>
    <s v="Nur Ru Lar"/>
    <m/>
    <m/>
    <x v="0"/>
    <s v="Muslim"/>
    <x v="0"/>
    <n v="0"/>
    <n v="0"/>
    <n v="230"/>
    <m/>
    <s v="1. Small"/>
    <s v="E.U."/>
    <m/>
    <s v="ACF"/>
    <s v="Covered"/>
    <d v="2016-01-07T00:00:00"/>
    <m/>
    <s v="Focal NGO"/>
    <n v="0"/>
    <n v="0"/>
    <s v="No"/>
    <n v="8"/>
    <n v="30"/>
    <n v="0"/>
    <n v="3"/>
    <m/>
    <n v="0"/>
    <n v="0"/>
    <n v="1"/>
    <n v="230"/>
    <n v="1"/>
    <n v="230"/>
    <n v="1"/>
    <n v="230"/>
    <s v="80-100%"/>
    <n v="0"/>
    <n v="0"/>
    <s v="yes"/>
    <n v="0"/>
    <n v="0"/>
    <n v="0"/>
    <n v="1"/>
    <n v="230"/>
    <m/>
    <n v="0"/>
    <n v="207"/>
    <n v="42"/>
    <s v="Share Household Latriens"/>
    <n v="1"/>
    <n v="230"/>
    <n v="1"/>
    <n v="230"/>
    <n v="0"/>
    <n v="0"/>
    <s v="n/a"/>
    <s v="n/a"/>
    <n v="0"/>
    <s v="n/a"/>
    <s v="n/a"/>
    <s v="n/a"/>
    <s v="n/a"/>
    <s v="n/a"/>
    <s v="n/a"/>
    <s v="n/a"/>
    <s v="n/a"/>
    <s v="n/a"/>
    <s v="n/a"/>
    <n v="1"/>
    <s v="n/a"/>
    <s v="Latrines at each HH"/>
    <s v="n/a"/>
    <m/>
    <m/>
    <s v="n/a"/>
    <n v="0"/>
    <n v="0"/>
    <s v="n/a"/>
    <s v="n/a"/>
    <s v="n/a"/>
    <s v="n/a"/>
    <s v="HH latrine kits to be distributed"/>
    <n v="0.5"/>
    <n v="115"/>
    <n v="2"/>
    <s v="Low coverage"/>
    <s v="n/a"/>
    <s v="n/a"/>
    <s v="Not yet set up"/>
    <s v="Set up but low results "/>
    <m/>
  </r>
  <r>
    <s v="Maungdaw"/>
    <m/>
    <m/>
    <m/>
    <s v="Phas Kawri"/>
    <m/>
    <m/>
    <x v="0"/>
    <s v="Muslim"/>
    <x v="0"/>
    <n v="0"/>
    <n v="0"/>
    <n v="1196"/>
    <m/>
    <s v="3. Large"/>
    <s v="E.U."/>
    <m/>
    <s v="CARE"/>
    <s v="Covered"/>
    <d v="2016-01-07T00:00:00"/>
    <m/>
    <s v="Focal NGO"/>
    <n v="0"/>
    <n v="0"/>
    <s v="No"/>
    <n v="2"/>
    <n v="16"/>
    <n v="0"/>
    <n v="10"/>
    <m/>
    <n v="0"/>
    <n v="0"/>
    <n v="1"/>
    <n v="1196"/>
    <n v="1"/>
    <n v="1196"/>
    <n v="1"/>
    <n v="1196"/>
    <s v="80-100%"/>
    <n v="0"/>
    <n v="0"/>
    <s v="yes"/>
    <n v="0"/>
    <n v="0"/>
    <n v="0"/>
    <n v="1"/>
    <n v="1196"/>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6"/>
    <s v="Tat U Chaung"/>
    <s v="198000"/>
    <s v="Phwe Ra"/>
    <m/>
    <m/>
    <x v="0"/>
    <s v="Muslim"/>
    <x v="0"/>
    <n v="0"/>
    <n v="0"/>
    <n v="638"/>
    <m/>
    <s v="2. Medium"/>
    <s v="E.U."/>
    <m/>
    <s v="ACF"/>
    <s v="Covered"/>
    <d v="2016-01-07T00:00:00"/>
    <m/>
    <s v="Focal NGO"/>
    <n v="0"/>
    <n v="0"/>
    <s v="No"/>
    <n v="1"/>
    <n v="5"/>
    <n v="0"/>
    <n v="1"/>
    <m/>
    <n v="0"/>
    <n v="0"/>
    <n v="1"/>
    <n v="638"/>
    <n v="1"/>
    <n v="638"/>
    <n v="1"/>
    <n v="638"/>
    <s v="80-100%"/>
    <n v="0"/>
    <n v="0"/>
    <s v="yes"/>
    <n v="0"/>
    <n v="0"/>
    <n v="0"/>
    <n v="1"/>
    <n v="638"/>
    <m/>
    <n v="0"/>
    <n v="48"/>
    <n v="42"/>
    <s v="Household latrines"/>
    <n v="1"/>
    <n v="638"/>
    <n v="1"/>
    <n v="638"/>
    <n v="0"/>
    <n v="0"/>
    <s v="n/a"/>
    <s v="n/a"/>
    <n v="0"/>
    <s v="n/a"/>
    <s v="n/a"/>
    <s v="n/a"/>
    <s v="n/a"/>
    <s v="n/a"/>
    <s v="n/a"/>
    <s v="n/a"/>
    <s v="n/a"/>
    <s v="n/a"/>
    <s v="n/a"/>
    <n v="1"/>
    <s v="n/a"/>
    <s v="Latrines at each HH"/>
    <s v="n/a"/>
    <m/>
    <m/>
    <s v="n/a"/>
    <n v="0"/>
    <n v="0"/>
    <s v="n/a"/>
    <s v="n/a"/>
    <s v="n/a"/>
    <s v="n/a"/>
    <s v="HH latrine kits to be distributed"/>
    <n v="0.8"/>
    <n v="510.40000000000003"/>
    <n v="2"/>
    <s v="Low coverage"/>
    <s v="n/a"/>
    <s v="n/a"/>
    <s v="Not yet set up"/>
    <s v="Set up but low results "/>
    <m/>
  </r>
  <r>
    <s v="Maungdaw"/>
    <m/>
    <m/>
    <m/>
    <s v="Rakhine"/>
    <m/>
    <m/>
    <x v="0"/>
    <s v="Rakhine"/>
    <x v="0"/>
    <n v="0"/>
    <n v="0"/>
    <n v="370"/>
    <m/>
    <s v="1. Small"/>
    <s v="E.U."/>
    <m/>
    <s v="ACF"/>
    <s v="Covered"/>
    <d v="2016-01-07T00:00:00"/>
    <m/>
    <s v="Focal NGO"/>
    <n v="0"/>
    <n v="0"/>
    <s v="No"/>
    <n v="0"/>
    <n v="0"/>
    <n v="0"/>
    <n v="1"/>
    <m/>
    <n v="0"/>
    <n v="0"/>
    <n v="0"/>
    <n v="0"/>
    <n v="0"/>
    <n v="0"/>
    <n v="0"/>
    <n v="0"/>
    <s v="0-10%"/>
    <n v="0"/>
    <n v="0"/>
    <s v="yes"/>
    <n v="1.48"/>
    <n v="0"/>
    <n v="0"/>
    <n v="0"/>
    <n v="0"/>
    <m/>
    <n v="0"/>
    <n v="28"/>
    <n v="42"/>
    <s v="Share Household Latriens"/>
    <n v="1"/>
    <n v="370"/>
    <n v="1"/>
    <n v="370"/>
    <n v="0"/>
    <n v="0"/>
    <s v="n/a"/>
    <s v="n/a"/>
    <n v="0"/>
    <s v="n/a"/>
    <s v="n/a"/>
    <s v="n/a"/>
    <s v="n/a"/>
    <s v="n/a"/>
    <s v="n/a"/>
    <s v="n/a"/>
    <s v="n/a"/>
    <s v="n/a"/>
    <s v="n/a"/>
    <n v="1"/>
    <s v="n/a"/>
    <s v="Latrines at each HH"/>
    <s v="n/a"/>
    <m/>
    <m/>
    <s v="n/a"/>
    <n v="0"/>
    <n v="0"/>
    <s v="n/a"/>
    <s v="n/a"/>
    <s v="n/a"/>
    <s v="n/a"/>
    <s v="HH latrine kits to be distributed"/>
    <n v="0.7"/>
    <n v="259"/>
    <n v="2"/>
    <s v="Low coverage"/>
    <s v="n/a"/>
    <s v="n/a"/>
    <s v="Not yet set up"/>
    <s v="Set up but low results "/>
    <m/>
  </r>
  <r>
    <s v="Maungdaw"/>
    <m/>
    <m/>
    <m/>
    <s v="Rakhine"/>
    <m/>
    <m/>
    <x v="0"/>
    <s v="Rakhine"/>
    <x v="0"/>
    <n v="0"/>
    <n v="0"/>
    <n v="253"/>
    <m/>
    <s v="1. Small"/>
    <s v="E.U."/>
    <m/>
    <s v="CARE"/>
    <s v="Covered"/>
    <d v="2016-01-07T00:00:00"/>
    <m/>
    <s v="Focal NGO"/>
    <n v="0"/>
    <n v="0"/>
    <s v="No"/>
    <n v="1"/>
    <n v="4"/>
    <n v="0"/>
    <n v="1"/>
    <m/>
    <n v="0"/>
    <n v="0"/>
    <n v="1"/>
    <n v="253"/>
    <n v="1"/>
    <n v="253"/>
    <n v="1"/>
    <n v="253"/>
    <s v="80-100%"/>
    <n v="0"/>
    <n v="0"/>
    <s v="yes"/>
    <n v="0"/>
    <n v="0"/>
    <n v="0"/>
    <n v="1"/>
    <n v="25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Rakhine Ywa"/>
    <m/>
    <m/>
    <x v="0"/>
    <s v="Rakhine"/>
    <x v="0"/>
    <n v="0"/>
    <n v="0"/>
    <n v="547"/>
    <m/>
    <s v="2. Medium"/>
    <s v="E.U."/>
    <m/>
    <s v="CARE"/>
    <s v="Covered"/>
    <d v="2016-01-07T00:00:00"/>
    <m/>
    <s v="Focal NGO"/>
    <n v="0"/>
    <n v="0"/>
    <s v="No"/>
    <n v="2"/>
    <n v="6"/>
    <n v="0"/>
    <n v="0"/>
    <m/>
    <n v="0"/>
    <n v="0"/>
    <n v="1"/>
    <n v="547"/>
    <n v="1"/>
    <n v="547"/>
    <n v="1"/>
    <n v="547"/>
    <s v="80-100%"/>
    <n v="0"/>
    <n v="0"/>
    <s v="no"/>
    <n v="0"/>
    <n v="0"/>
    <n v="0"/>
    <n v="1"/>
    <n v="547"/>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Rakhine Ywa"/>
    <m/>
    <m/>
    <x v="0"/>
    <s v="Rakhine"/>
    <x v="0"/>
    <n v="0"/>
    <n v="0"/>
    <n v="383"/>
    <m/>
    <s v="1. Small"/>
    <s v="E.U."/>
    <m/>
    <s v="CARE"/>
    <s v="Covered"/>
    <d v="2016-01-07T00:00:00"/>
    <m/>
    <s v="Focal NGO"/>
    <n v="0"/>
    <n v="0"/>
    <s v="No"/>
    <n v="4"/>
    <n v="0"/>
    <n v="0"/>
    <n v="1"/>
    <m/>
    <n v="0"/>
    <n v="0"/>
    <n v="1"/>
    <n v="383"/>
    <n v="1"/>
    <n v="383"/>
    <n v="1"/>
    <n v="383"/>
    <s v="80-100%"/>
    <n v="0"/>
    <n v="0"/>
    <s v="yes"/>
    <n v="0"/>
    <n v="0"/>
    <n v="0"/>
    <n v="1"/>
    <n v="38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Raza Bil"/>
    <m/>
    <m/>
    <x v="0"/>
    <s v="Muslim"/>
    <x v="0"/>
    <n v="0"/>
    <n v="0"/>
    <n v="2000"/>
    <m/>
    <s v="3. Large"/>
    <s v="E.U."/>
    <m/>
    <s v="ACF"/>
    <s v="Covered"/>
    <d v="2016-01-07T00:00:00"/>
    <m/>
    <s v="Focal NGO"/>
    <n v="0"/>
    <n v="0"/>
    <s v="No"/>
    <n v="0"/>
    <n v="15"/>
    <n v="0"/>
    <n v="0"/>
    <m/>
    <n v="0"/>
    <n v="0"/>
    <n v="1"/>
    <n v="2000"/>
    <n v="1"/>
    <n v="2000"/>
    <n v="1"/>
    <n v="2000"/>
    <s v="80-100%"/>
    <n v="0"/>
    <n v="0"/>
    <s v="no"/>
    <n v="0"/>
    <n v="0"/>
    <n v="0"/>
    <n v="1"/>
    <n v="2000"/>
    <m/>
    <n v="0"/>
    <n v="184"/>
    <n v="42"/>
    <s v="Share Household Latriens"/>
    <n v="1"/>
    <n v="2000"/>
    <n v="1"/>
    <n v="2000"/>
    <n v="0"/>
    <n v="0"/>
    <s v="n/a"/>
    <s v="n/a"/>
    <n v="0"/>
    <s v="n/a"/>
    <s v="n/a"/>
    <s v="n/a"/>
    <s v="n/a"/>
    <s v="n/a"/>
    <s v="n/a"/>
    <s v="n/a"/>
    <s v="n/a"/>
    <s v="n/a"/>
    <s v="n/a"/>
    <n v="1"/>
    <s v="n/a"/>
    <s v="Latrines at each HH"/>
    <s v="n/a"/>
    <m/>
    <m/>
    <s v="n/a"/>
    <n v="0"/>
    <n v="0"/>
    <s v="n/a"/>
    <s v="n/a"/>
    <s v="n/a"/>
    <s v="n/a"/>
    <s v="HH latrine kits to be distributed"/>
    <n v="0.5"/>
    <n v="1000"/>
    <n v="2"/>
    <s v="Low coverage"/>
    <s v="n/a"/>
    <s v="n/a"/>
    <s v="Not yet set up"/>
    <s v="Set up but low results "/>
    <m/>
  </r>
  <r>
    <s v="Maungdaw"/>
    <s v="MMR012009035"/>
    <s v="Chan Pyin"/>
    <s v="197897"/>
    <s v="San Pai Pin Yin"/>
    <m/>
    <m/>
    <x v="0"/>
    <s v="Rakhine"/>
    <x v="0"/>
    <n v="0"/>
    <n v="0"/>
    <n v="105"/>
    <m/>
    <s v="1. Small"/>
    <s v="E.U."/>
    <m/>
    <s v="CARE"/>
    <s v="Covered"/>
    <d v="2016-01-07T00:00:00"/>
    <m/>
    <s v="Focal NGO"/>
    <n v="0"/>
    <n v="0"/>
    <s v="No"/>
    <n v="0"/>
    <n v="0"/>
    <n v="0"/>
    <n v="1"/>
    <m/>
    <n v="0"/>
    <n v="0"/>
    <n v="0"/>
    <n v="0"/>
    <n v="0"/>
    <n v="0"/>
    <n v="0"/>
    <n v="0"/>
    <s v="0-10%"/>
    <n v="0"/>
    <n v="0"/>
    <s v="yes"/>
    <n v="0.42"/>
    <n v="0"/>
    <n v="0"/>
    <n v="0.9"/>
    <n v="94.5"/>
    <s v=" 1-pond renovated"/>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8"/>
    <s v="Zaw Ma Tat"/>
    <s v="198047"/>
    <s v="Saw Kina Ma"/>
    <m/>
    <m/>
    <x v="0"/>
    <s v="Muslim"/>
    <x v="0"/>
    <n v="0"/>
    <n v="0"/>
    <n v="450"/>
    <m/>
    <s v="1. Small"/>
    <s v="E.U."/>
    <m/>
    <s v="ACF"/>
    <s v="Covered"/>
    <d v="2016-01-07T00:00:00"/>
    <m/>
    <s v="Focal NGO"/>
    <n v="0"/>
    <n v="0"/>
    <s v="No"/>
    <n v="0"/>
    <n v="3"/>
    <n v="0"/>
    <n v="1"/>
    <m/>
    <n v="0"/>
    <n v="0"/>
    <n v="1"/>
    <n v="450"/>
    <n v="1"/>
    <n v="450"/>
    <n v="1"/>
    <n v="450"/>
    <s v="80-100%"/>
    <n v="0"/>
    <n v="0"/>
    <s v="yes"/>
    <n v="0"/>
    <n v="0"/>
    <n v="0"/>
    <n v="1"/>
    <n v="450"/>
    <m/>
    <n v="0"/>
    <n v="26"/>
    <n v="42"/>
    <s v="Household latrines"/>
    <n v="1"/>
    <n v="450"/>
    <n v="1"/>
    <n v="450"/>
    <n v="0"/>
    <n v="0"/>
    <s v="n/a"/>
    <s v="n/a"/>
    <n v="0"/>
    <s v="n/a"/>
    <s v="n/a"/>
    <s v="n/a"/>
    <s v="n/a"/>
    <s v="n/a"/>
    <s v="n/a"/>
    <s v="n/a"/>
    <s v="n/a"/>
    <s v="n/a"/>
    <s v="n/a"/>
    <n v="1"/>
    <s v="n/a"/>
    <s v="Latrines at each HH"/>
    <s v="n/a"/>
    <m/>
    <m/>
    <s v="n/a"/>
    <n v="0"/>
    <n v="0"/>
    <s v="n/a"/>
    <s v="n/a"/>
    <s v="n/a"/>
    <s v="n/a"/>
    <s v="HH latrine kits to be distributed"/>
    <n v="1"/>
    <n v="450"/>
    <n v="2"/>
    <s v="Low coverage"/>
    <s v="n/a"/>
    <s v="n/a"/>
    <s v="Not yet set up"/>
    <s v="Set up but low results "/>
    <m/>
  </r>
  <r>
    <s v="Maungdaw"/>
    <m/>
    <m/>
    <m/>
    <s v="Shwe Yin Aye"/>
    <m/>
    <m/>
    <x v="0"/>
    <s v="Rakhine"/>
    <x v="0"/>
    <n v="0"/>
    <n v="0"/>
    <n v="841"/>
    <m/>
    <s v="2. Medium"/>
    <s v="E.U."/>
    <m/>
    <s v="ACF"/>
    <s v="Covered"/>
    <d v="2016-01-07T00:00:00"/>
    <m/>
    <s v="Focal NGO"/>
    <n v="0"/>
    <n v="0"/>
    <s v="No"/>
    <n v="1"/>
    <n v="0"/>
    <n v="0"/>
    <n v="0"/>
    <m/>
    <n v="0"/>
    <n v="0"/>
    <n v="0.29726516052318669"/>
    <n v="250"/>
    <n v="0.29726516052318669"/>
    <n v="250"/>
    <n v="0.29726516052318669"/>
    <n v="250"/>
    <s v="15-30%"/>
    <n v="0"/>
    <n v="0"/>
    <s v="no"/>
    <n v="2.3639999999999999"/>
    <n v="0"/>
    <n v="0"/>
    <n v="0.3"/>
    <n v="252.29999999999998"/>
    <m/>
    <n v="0"/>
    <n v="90"/>
    <n v="42"/>
    <s v="Share Household Latriens"/>
    <n v="1"/>
    <n v="841"/>
    <n v="1"/>
    <n v="841"/>
    <n v="0"/>
    <n v="0"/>
    <s v="n/a"/>
    <s v="n/a"/>
    <n v="0"/>
    <s v="n/a"/>
    <s v="n/a"/>
    <s v="n/a"/>
    <s v="n/a"/>
    <s v="n/a"/>
    <s v="n/a"/>
    <s v="n/a"/>
    <s v="n/a"/>
    <s v="n/a"/>
    <s v="n/a"/>
    <n v="1"/>
    <s v="n/a"/>
    <s v="Latrines at each HH"/>
    <s v="n/a"/>
    <m/>
    <m/>
    <s v="n/a"/>
    <n v="0"/>
    <n v="0"/>
    <s v="n/a"/>
    <s v="n/a"/>
    <s v="n/a"/>
    <s v="n/a"/>
    <s v="HH latrine kits to be distributed"/>
    <n v="0.3"/>
    <n v="252.29999999999998"/>
    <n v="2"/>
    <s v="Low coverage"/>
    <s v="n/a"/>
    <s v="n/a"/>
    <s v="Not yet set up"/>
    <s v="Set up but low results "/>
    <m/>
  </r>
  <r>
    <s v="Maungdaw"/>
    <s v="MMR012009066"/>
    <s v="Tat U Chaung"/>
    <s v="198002"/>
    <s v="Tat Oo Anauk"/>
    <m/>
    <m/>
    <x v="0"/>
    <s v="Muslim"/>
    <x v="0"/>
    <n v="0"/>
    <n v="0"/>
    <n v="640"/>
    <m/>
    <s v="2. Medium"/>
    <s v="E.U."/>
    <m/>
    <s v="ACF"/>
    <s v="Covered"/>
    <d v="2016-01-07T00:00:00"/>
    <m/>
    <s v="Focal NGO"/>
    <n v="0"/>
    <n v="0"/>
    <s v="No"/>
    <n v="1"/>
    <n v="0"/>
    <n v="0"/>
    <n v="0"/>
    <m/>
    <n v="0"/>
    <n v="0"/>
    <n v="0.390625"/>
    <n v="250"/>
    <n v="0.390625"/>
    <n v="250"/>
    <n v="0.390625"/>
    <n v="250"/>
    <s v="30-45%"/>
    <n v="0"/>
    <n v="0"/>
    <s v="no"/>
    <n v="1.56"/>
    <n v="0"/>
    <n v="0"/>
    <n v="0.39"/>
    <n v="249.60000000000002"/>
    <m/>
    <n v="0"/>
    <n v="35"/>
    <n v="42"/>
    <s v="Household latrines"/>
    <n v="1"/>
    <n v="640"/>
    <n v="1"/>
    <n v="640"/>
    <n v="0"/>
    <n v="0"/>
    <s v="n/a"/>
    <s v="n/a"/>
    <n v="0"/>
    <s v="n/a"/>
    <s v="n/a"/>
    <s v="n/a"/>
    <s v="n/a"/>
    <s v="n/a"/>
    <s v="n/a"/>
    <s v="n/a"/>
    <s v="n/a"/>
    <s v="n/a"/>
    <s v="n/a"/>
    <n v="1"/>
    <s v="n/a"/>
    <s v="Latrines at each HH"/>
    <s v="n/a"/>
    <m/>
    <m/>
    <s v="n/a"/>
    <n v="0"/>
    <n v="0"/>
    <s v="n/a"/>
    <s v="n/a"/>
    <s v="n/a"/>
    <s v="n/a"/>
    <s v="HH latrine kits to be distributed"/>
    <n v="0.8"/>
    <n v="512"/>
    <n v="2"/>
    <s v="Low coverage"/>
    <s v="n/a"/>
    <s v="n/a"/>
    <s v="Not yet set up"/>
    <s v="Set up but low results "/>
    <m/>
  </r>
  <r>
    <s v="Maungdaw"/>
    <s v="MMR012009063"/>
    <s v="Myo Thu Gyi"/>
    <s v="197991"/>
    <s v="Taung Pine Nyar"/>
    <m/>
    <m/>
    <x v="0"/>
    <s v="Muslim"/>
    <x v="0"/>
    <n v="0"/>
    <n v="0"/>
    <n v="2135"/>
    <m/>
    <s v="3. Large"/>
    <s v="E.U."/>
    <m/>
    <s v="ACF"/>
    <s v="Covered"/>
    <d v="2016-01-07T00:00:00"/>
    <m/>
    <s v="Focal NGO"/>
    <n v="0"/>
    <n v="0"/>
    <s v="No"/>
    <n v="7"/>
    <n v="6"/>
    <n v="0"/>
    <n v="3"/>
    <m/>
    <n v="0"/>
    <n v="0"/>
    <n v="1"/>
    <n v="2135"/>
    <n v="1"/>
    <n v="2135"/>
    <n v="1"/>
    <n v="2135"/>
    <s v="80-100%"/>
    <n v="0"/>
    <n v="0"/>
    <s v="yes"/>
    <n v="0"/>
    <n v="0"/>
    <n v="0"/>
    <n v="1"/>
    <n v="2135"/>
    <m/>
    <n v="0"/>
    <n v="151"/>
    <n v="42"/>
    <s v="Household latrines"/>
    <n v="1"/>
    <n v="2135"/>
    <n v="1"/>
    <n v="2135"/>
    <n v="0"/>
    <n v="0"/>
    <s v="n/a"/>
    <s v="n/a"/>
    <n v="0"/>
    <s v="n/a"/>
    <s v="n/a"/>
    <s v="n/a"/>
    <s v="n/a"/>
    <s v="n/a"/>
    <s v="n/a"/>
    <s v="n/a"/>
    <s v="n/a"/>
    <s v="n/a"/>
    <s v="n/a"/>
    <n v="1"/>
    <s v="n/a"/>
    <s v="Latrines at each HH"/>
    <s v="n/a"/>
    <m/>
    <m/>
    <s v="n/a"/>
    <n v="0"/>
    <n v="0"/>
    <s v="n/a"/>
    <s v="n/a"/>
    <s v="n/a"/>
    <s v="n/a"/>
    <s v="HH latrine kits to be distributed"/>
    <n v="0.3"/>
    <n v="640.5"/>
    <n v="2"/>
    <s v="Low coverage"/>
    <s v="n/a"/>
    <s v="n/a"/>
    <s v="Not yet set up"/>
    <s v="Set up but low results "/>
    <m/>
  </r>
  <r>
    <s v="Maungdaw"/>
    <m/>
    <m/>
    <m/>
    <s v="Taung Ywa"/>
    <m/>
    <m/>
    <x v="0"/>
    <s v="Muslim"/>
    <x v="0"/>
    <n v="0"/>
    <n v="0"/>
    <n v="1810"/>
    <m/>
    <s v="3. Large"/>
    <s v="E.U."/>
    <m/>
    <s v="CARE"/>
    <s v="Covered"/>
    <d v="2016-01-07T00:00:00"/>
    <m/>
    <s v="Focal NGO"/>
    <n v="0"/>
    <n v="0"/>
    <s v="No"/>
    <n v="3"/>
    <n v="90"/>
    <n v="0"/>
    <n v="3"/>
    <m/>
    <n v="0"/>
    <n v="0"/>
    <n v="1"/>
    <n v="1810"/>
    <n v="1"/>
    <n v="1810"/>
    <n v="1"/>
    <n v="1810"/>
    <s v="80-100%"/>
    <n v="0"/>
    <n v="0"/>
    <s v="yes"/>
    <n v="0"/>
    <n v="0"/>
    <n v="0"/>
    <n v="1"/>
    <n v="1810"/>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Thar Yar Koung"/>
    <m/>
    <m/>
    <x v="0"/>
    <s v="Rakhine"/>
    <x v="0"/>
    <n v="0"/>
    <n v="0"/>
    <n v="273"/>
    <m/>
    <s v="1. Small"/>
    <s v="E.U."/>
    <m/>
    <s v="CARE"/>
    <s v="Covered"/>
    <d v="2016-01-07T00:00:00"/>
    <m/>
    <s v="Focal NGO"/>
    <n v="0"/>
    <n v="0"/>
    <s v="No"/>
    <n v="1"/>
    <n v="0"/>
    <n v="0"/>
    <n v="0"/>
    <m/>
    <n v="0"/>
    <n v="0"/>
    <n v="0.91575091575091572"/>
    <n v="250"/>
    <n v="0.91575091575091572"/>
    <n v="250"/>
    <n v="0.91575091575091572"/>
    <n v="250"/>
    <s v="80-100%"/>
    <n v="0"/>
    <n v="0"/>
    <s v="no"/>
    <n v="9.2000000000000082E-2"/>
    <n v="0"/>
    <n v="0"/>
    <n v="0.92"/>
    <n v="251.16000000000003"/>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Thit Taw Ywa"/>
    <m/>
    <m/>
    <x v="0"/>
    <s v="Rakhine"/>
    <x v="0"/>
    <n v="0"/>
    <n v="0"/>
    <n v="292"/>
    <m/>
    <s v="1. Small"/>
    <s v="E.U."/>
    <m/>
    <s v="CARE"/>
    <s v="Covered"/>
    <d v="2016-01-07T00:00:00"/>
    <m/>
    <s v="Focal NGO"/>
    <n v="0"/>
    <n v="0"/>
    <s v="No"/>
    <n v="0"/>
    <n v="0"/>
    <n v="0"/>
    <n v="0"/>
    <m/>
    <n v="0"/>
    <n v="0"/>
    <n v="0"/>
    <n v="0"/>
    <n v="0"/>
    <n v="0"/>
    <n v="0"/>
    <n v="0"/>
    <s v="0-10%"/>
    <n v="0"/>
    <n v="0"/>
    <s v="no"/>
    <n v="1.1679999999999999"/>
    <n v="0"/>
    <n v="0"/>
    <n v="0.9"/>
    <n v="262.8"/>
    <s v="1- spring cash flow renovated"/>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NA"/>
    <s v="NA"/>
    <m/>
    <s v="Wai Thar Le"/>
    <m/>
    <m/>
    <x v="0"/>
    <s v="Rakhine"/>
    <x v="0"/>
    <n v="0"/>
    <n v="0"/>
    <n v="250"/>
    <m/>
    <s v="1. Small"/>
    <s v="E.U."/>
    <m/>
    <s v="ACF"/>
    <s v="Covered"/>
    <d v="2016-01-07T00:00:00"/>
    <m/>
    <s v="Focal NGO"/>
    <n v="0"/>
    <n v="0"/>
    <s v="No"/>
    <n v="1"/>
    <n v="0"/>
    <n v="0"/>
    <n v="0"/>
    <m/>
    <n v="0"/>
    <n v="0"/>
    <n v="1"/>
    <n v="250"/>
    <n v="1"/>
    <n v="250"/>
    <n v="1"/>
    <n v="250"/>
    <s v="80-100%"/>
    <n v="0"/>
    <n v="0"/>
    <s v="no"/>
    <n v="0"/>
    <n v="0"/>
    <n v="0"/>
    <n v="1"/>
    <n v="250"/>
    <m/>
    <n v="0"/>
    <n v="40"/>
    <n v="42"/>
    <s v="Share Household Latriens"/>
    <n v="1"/>
    <n v="250"/>
    <n v="1"/>
    <n v="250"/>
    <n v="0"/>
    <n v="0"/>
    <s v="n/a"/>
    <s v="n/a"/>
    <n v="0"/>
    <s v="n/a"/>
    <s v="n/a"/>
    <s v="n/a"/>
    <s v="n/a"/>
    <s v="n/a"/>
    <s v="n/a"/>
    <s v="n/a"/>
    <s v="n/a"/>
    <s v="n/a"/>
    <s v="n/a"/>
    <n v="1"/>
    <s v="n/a"/>
    <s v="Latrines at each HH"/>
    <s v="n/a"/>
    <m/>
    <m/>
    <s v="n/a"/>
    <n v="0"/>
    <n v="0"/>
    <s v="n/a"/>
    <s v="n/a"/>
    <s v="n/a"/>
    <s v="n/a"/>
    <s v="HH latrine kits to be distributed"/>
    <n v="1"/>
    <n v="250"/>
    <n v="2"/>
    <s v="Low coverage"/>
    <s v="n/a"/>
    <s v="n/a"/>
    <s v="Not yet set up"/>
    <s v="Set up but low results "/>
    <m/>
  </r>
  <r>
    <s v="Maungdaw"/>
    <s v="MMR012009065"/>
    <s v="Pan Taw Pyin"/>
    <s v="197997"/>
    <s v="West"/>
    <m/>
    <m/>
    <x v="0"/>
    <s v="Muslim"/>
    <x v="0"/>
    <n v="0"/>
    <n v="0"/>
    <n v="423"/>
    <m/>
    <s v="1. Small"/>
    <s v="E.U."/>
    <m/>
    <s v="ACF"/>
    <s v="Covered"/>
    <d v="2016-01-07T00:00:00"/>
    <m/>
    <s v="Focal NGO"/>
    <n v="0"/>
    <n v="0"/>
    <s v="No"/>
    <n v="5"/>
    <n v="4"/>
    <n v="0"/>
    <n v="1"/>
    <m/>
    <n v="0"/>
    <n v="0"/>
    <n v="1"/>
    <n v="423"/>
    <n v="1"/>
    <n v="423"/>
    <n v="1"/>
    <n v="423"/>
    <s v="80-100%"/>
    <n v="0"/>
    <n v="0"/>
    <s v="yes"/>
    <n v="0"/>
    <n v="0"/>
    <n v="0"/>
    <n v="1"/>
    <n v="423"/>
    <m/>
    <n v="0"/>
    <n v="16"/>
    <n v="42"/>
    <s v="Household latrines"/>
    <n v="1"/>
    <n v="423"/>
    <n v="1"/>
    <n v="423"/>
    <n v="0"/>
    <n v="0"/>
    <s v="n/a"/>
    <s v="n/a"/>
    <n v="0"/>
    <s v="n/a"/>
    <s v="n/a"/>
    <s v="n/a"/>
    <s v="n/a"/>
    <s v="n/a"/>
    <s v="n/a"/>
    <s v="n/a"/>
    <s v="n/a"/>
    <s v="n/a"/>
    <s v="n/a"/>
    <n v="1"/>
    <s v="n/a"/>
    <s v="Latrines at each HH"/>
    <s v="n/a"/>
    <m/>
    <m/>
    <s v="n/a"/>
    <n v="0"/>
    <n v="0"/>
    <s v="n/a"/>
    <s v="n/a"/>
    <s v="n/a"/>
    <s v="n/a"/>
    <s v="HH latrine kits to be distributed"/>
    <n v="0.8"/>
    <n v="338.40000000000003"/>
    <n v="2"/>
    <s v="Low coverage"/>
    <s v="n/a"/>
    <s v="n/a"/>
    <s v="Not yet set up"/>
    <s v="Set up but low results "/>
    <m/>
  </r>
  <r>
    <s v="Maungdaw"/>
    <s v="MMR012009024"/>
    <s v="Sa Bai Kone"/>
    <s v="197867"/>
    <s v="Yai Mya"/>
    <m/>
    <m/>
    <x v="0"/>
    <s v="Muslim"/>
    <x v="0"/>
    <n v="0"/>
    <n v="0"/>
    <n v="310"/>
    <m/>
    <s v="1. Small"/>
    <s v="E.U."/>
    <m/>
    <s v="CARE"/>
    <s v="Covered"/>
    <d v="2016-01-07T00:00:00"/>
    <m/>
    <s v="Focal NGO"/>
    <n v="0"/>
    <n v="0"/>
    <s v="No"/>
    <n v="0"/>
    <n v="0"/>
    <n v="0"/>
    <n v="1"/>
    <m/>
    <n v="0"/>
    <n v="0"/>
    <n v="0"/>
    <n v="0"/>
    <n v="0"/>
    <n v="0"/>
    <n v="0"/>
    <n v="0"/>
    <s v="0-10%"/>
    <n v="0"/>
    <n v="0"/>
    <s v="yes"/>
    <n v="1.24"/>
    <n v="0"/>
    <n v="0"/>
    <n v="0.9"/>
    <n v="279"/>
    <s v=" 1-pond renovated"/>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65"/>
    <s v="Pan Taw Pyin"/>
    <s v="197996"/>
    <s v="Ywa Gyi"/>
    <m/>
    <m/>
    <x v="0"/>
    <s v="Muslim"/>
    <x v="0"/>
    <n v="0"/>
    <n v="0"/>
    <n v="2495"/>
    <m/>
    <s v="3. Large"/>
    <s v="E.U."/>
    <m/>
    <s v="ACF"/>
    <s v="Covered"/>
    <d v="2016-01-07T00:00:00"/>
    <m/>
    <s v="Focal NGO"/>
    <n v="0"/>
    <n v="0"/>
    <s v="No"/>
    <n v="5"/>
    <n v="3"/>
    <n v="0"/>
    <n v="2"/>
    <m/>
    <n v="0"/>
    <n v="0"/>
    <n v="0.80160320641282568"/>
    <n v="2000"/>
    <n v="0.80160320641282568"/>
    <n v="2000"/>
    <n v="0.80160320641282568"/>
    <n v="2000"/>
    <s v="80-100%"/>
    <n v="0"/>
    <n v="0"/>
    <s v="yes"/>
    <n v="1.9800000000000004"/>
    <n v="0"/>
    <n v="0"/>
    <n v="0.8"/>
    <n v="1996"/>
    <m/>
    <n v="0"/>
    <n v="32"/>
    <n v="42"/>
    <s v="Household latrines"/>
    <n v="0.5386773547094188"/>
    <n v="1344"/>
    <n v="0.5386773547094188"/>
    <n v="1344"/>
    <n v="0"/>
    <n v="0"/>
    <s v="n/a"/>
    <s v="n/a"/>
    <n v="0"/>
    <s v="n/a"/>
    <s v="n/a"/>
    <s v="n/a"/>
    <s v="n/a"/>
    <s v="n/a"/>
    <s v="n/a"/>
    <s v="n/a"/>
    <s v="n/a"/>
    <s v="n/a"/>
    <s v="n/a"/>
    <n v="1"/>
    <s v="n/a"/>
    <s v="Latrines at each HH"/>
    <s v="n/a"/>
    <m/>
    <m/>
    <s v="n/a"/>
    <n v="0"/>
    <n v="0"/>
    <s v="n/a"/>
    <s v="n/a"/>
    <s v="n/a"/>
    <s v="n/a"/>
    <s v="HH latrine kits to be distributed"/>
    <n v="0.2"/>
    <n v="499"/>
    <n v="2"/>
    <s v="Low coverage"/>
    <s v="n/a"/>
    <s v="n/a"/>
    <s v="Not yet set up"/>
    <s v="Set up but low results "/>
    <m/>
  </r>
  <r>
    <s v="Maungdaw"/>
    <s v="MMR012009063"/>
    <s v="Myo Thu Gyi"/>
    <s v="197990"/>
    <s v="Ywa Haung"/>
    <m/>
    <m/>
    <x v="0"/>
    <s v="Muslim"/>
    <x v="0"/>
    <n v="0"/>
    <n v="0"/>
    <n v="3020"/>
    <m/>
    <s v="3. Large"/>
    <s v="E.U."/>
    <m/>
    <s v="ACF"/>
    <s v="Covered"/>
    <d v="2016-01-07T00:00:00"/>
    <m/>
    <s v="Focal NGO"/>
    <n v="0"/>
    <n v="0"/>
    <s v="No"/>
    <n v="1"/>
    <n v="7"/>
    <n v="0"/>
    <n v="2"/>
    <m/>
    <n v="0"/>
    <n v="0"/>
    <n v="0.66225165562913912"/>
    <n v="2000.0000000000002"/>
    <n v="0.66225165562913912"/>
    <n v="2000.0000000000002"/>
    <n v="0.66225165562913912"/>
    <n v="2000.0000000000002"/>
    <s v="60-80%"/>
    <n v="0"/>
    <n v="0"/>
    <s v="yes"/>
    <n v="4.08"/>
    <n v="0"/>
    <n v="0"/>
    <n v="0.66"/>
    <n v="1993.2"/>
    <m/>
    <n v="0"/>
    <n v="189"/>
    <n v="42"/>
    <s v="Household latrines"/>
    <n v="1"/>
    <n v="3020"/>
    <n v="1"/>
    <n v="3020"/>
    <n v="0"/>
    <n v="0"/>
    <s v="n/a"/>
    <s v="n/a"/>
    <n v="0"/>
    <s v="n/a"/>
    <s v="n/a"/>
    <s v="n/a"/>
    <s v="n/a"/>
    <s v="n/a"/>
    <s v="n/a"/>
    <s v="n/a"/>
    <s v="n/a"/>
    <s v="n/a"/>
    <s v="n/a"/>
    <n v="1"/>
    <s v="n/a"/>
    <s v="Latrines at each HH"/>
    <s v="n/a"/>
    <m/>
    <m/>
    <s v="n/a"/>
    <n v="0"/>
    <n v="0"/>
    <s v="n/a"/>
    <s v="n/a"/>
    <s v="n/a"/>
    <s v="n/a"/>
    <s v="HH latrine kits to be distributed"/>
    <n v="0.5"/>
    <n v="1510"/>
    <n v="2"/>
    <s v="Low coverage"/>
    <s v="n/a"/>
    <s v="n/a"/>
    <s v="Not yet set up"/>
    <s v="Set up but low results "/>
    <m/>
  </r>
  <r>
    <s v="Maungdaw"/>
    <s v="MMR012009063"/>
    <s v="Myo Thu Gyi"/>
    <s v="197990"/>
    <s v="Ywa Haung"/>
    <m/>
    <m/>
    <x v="0"/>
    <s v="Rakhine"/>
    <x v="0"/>
    <n v="0"/>
    <n v="0"/>
    <n v="495"/>
    <m/>
    <s v="1. Small"/>
    <s v="E.U."/>
    <m/>
    <s v="ACF"/>
    <s v="Covered"/>
    <d v="2016-01-07T00:00:00"/>
    <m/>
    <s v="Focal NGO"/>
    <n v="0"/>
    <n v="0"/>
    <s v="No"/>
    <n v="2"/>
    <n v="0"/>
    <n v="0"/>
    <n v="1"/>
    <m/>
    <n v="0"/>
    <n v="0"/>
    <n v="1"/>
    <n v="495"/>
    <n v="1"/>
    <n v="495"/>
    <n v="1"/>
    <n v="495"/>
    <s v="80-100%"/>
    <n v="0"/>
    <n v="0"/>
    <s v="yes"/>
    <n v="0"/>
    <n v="0"/>
    <n v="0"/>
    <n v="1"/>
    <n v="495"/>
    <m/>
    <n v="0"/>
    <n v="40"/>
    <n v="42"/>
    <s v="Share Household Latriens"/>
    <n v="1"/>
    <n v="495"/>
    <n v="1"/>
    <n v="495"/>
    <n v="0"/>
    <n v="0"/>
    <s v="n/a"/>
    <s v="n/a"/>
    <n v="0"/>
    <s v="n/a"/>
    <s v="n/a"/>
    <s v="n/a"/>
    <s v="n/a"/>
    <s v="n/a"/>
    <s v="n/a"/>
    <s v="n/a"/>
    <s v="n/a"/>
    <s v="n/a"/>
    <s v="n/a"/>
    <n v="1"/>
    <s v="n/a"/>
    <s v="Latrines at each HH"/>
    <s v="n/a"/>
    <m/>
    <m/>
    <s v="n/a"/>
    <n v="0"/>
    <n v="0"/>
    <s v="n/a"/>
    <s v="n/a"/>
    <s v="n/a"/>
    <s v="n/a"/>
    <s v="HH latrine kits to be distributed"/>
    <n v="0.2"/>
    <n v="99"/>
    <n v="2"/>
    <s v="Low coverage"/>
    <s v="n/a"/>
    <s v="n/a"/>
    <s v="Not yet set up"/>
    <s v="Set up but low results "/>
    <m/>
  </r>
  <r>
    <s v="Maungdaw"/>
    <m/>
    <m/>
    <m/>
    <s v="Ywa Ma"/>
    <m/>
    <m/>
    <x v="0"/>
    <s v="Muslim"/>
    <x v="0"/>
    <n v="0"/>
    <n v="0"/>
    <n v="4122"/>
    <m/>
    <s v="3. Large"/>
    <s v="E.U."/>
    <m/>
    <s v="CARE"/>
    <s v="Covered"/>
    <d v="2016-01-07T00:00:00"/>
    <m/>
    <s v="Focal NGO"/>
    <n v="0"/>
    <n v="0"/>
    <s v="No"/>
    <n v="6"/>
    <n v="40"/>
    <n v="0"/>
    <n v="3"/>
    <m/>
    <n v="0"/>
    <n v="0"/>
    <n v="1"/>
    <n v="4122"/>
    <n v="1"/>
    <n v="4122"/>
    <n v="1"/>
    <n v="4122"/>
    <s v="80-100%"/>
    <n v="0"/>
    <n v="0"/>
    <s v="yes"/>
    <n v="0"/>
    <n v="0"/>
    <n v="0"/>
    <n v="1"/>
    <n v="4122"/>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m/>
    <m/>
    <m/>
    <s v="Ywa Thar Yar"/>
    <m/>
    <m/>
    <x v="0"/>
    <s v="Rakhine"/>
    <x v="0"/>
    <n v="0"/>
    <n v="0"/>
    <n v="372"/>
    <m/>
    <s v="1. Small"/>
    <s v="E.U."/>
    <m/>
    <s v="CARE"/>
    <s v="Covered"/>
    <d v="2016-01-07T00:00:00"/>
    <m/>
    <s v="Focal NGO"/>
    <n v="0"/>
    <n v="0"/>
    <s v="No"/>
    <n v="3"/>
    <n v="0"/>
    <n v="0"/>
    <n v="0"/>
    <m/>
    <n v="0"/>
    <n v="0"/>
    <n v="1"/>
    <n v="372"/>
    <n v="1"/>
    <n v="372"/>
    <n v="1"/>
    <n v="372"/>
    <s v="80-100%"/>
    <n v="0"/>
    <n v="0"/>
    <s v="no"/>
    <n v="0"/>
    <n v="0"/>
    <n v="0"/>
    <n v="1"/>
    <n v="372"/>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aungdaw"/>
    <s v="MMR012009078"/>
    <s v="Zaw Ma Tat"/>
    <s v="198045"/>
    <s v="Zaw Ma Tat"/>
    <m/>
    <m/>
    <x v="0"/>
    <s v="Muslim"/>
    <x v="0"/>
    <n v="0"/>
    <n v="0"/>
    <n v="342"/>
    <m/>
    <s v="1. Small"/>
    <s v="E.U."/>
    <m/>
    <s v="ACF"/>
    <s v="Covered"/>
    <d v="2016-01-07T00:00:00"/>
    <m/>
    <s v="Focal NGO"/>
    <n v="0"/>
    <n v="0"/>
    <s v="No"/>
    <n v="10"/>
    <n v="30"/>
    <n v="0"/>
    <n v="0"/>
    <m/>
    <n v="0"/>
    <n v="0"/>
    <n v="1"/>
    <n v="342"/>
    <n v="1"/>
    <n v="342"/>
    <n v="1"/>
    <n v="342"/>
    <s v="80-100%"/>
    <n v="0"/>
    <n v="0"/>
    <s v="no"/>
    <n v="0"/>
    <n v="0"/>
    <n v="0"/>
    <n v="1"/>
    <n v="342"/>
    <m/>
    <n v="0"/>
    <n v="74"/>
    <n v="42"/>
    <s v="Household latrines"/>
    <n v="1"/>
    <n v="342"/>
    <n v="1"/>
    <n v="342"/>
    <n v="0"/>
    <n v="0"/>
    <s v="n/a"/>
    <s v="n/a"/>
    <n v="0"/>
    <s v="n/a"/>
    <s v="n/a"/>
    <s v="n/a"/>
    <s v="n/a"/>
    <s v="n/a"/>
    <s v="n/a"/>
    <s v="n/a"/>
    <s v="n/a"/>
    <s v="n/a"/>
    <s v="n/a"/>
    <n v="1"/>
    <s v="n/a"/>
    <s v="Latrines at each HH"/>
    <s v="n/a"/>
    <m/>
    <m/>
    <s v="n/a"/>
    <n v="0"/>
    <n v="0"/>
    <s v="n/a"/>
    <s v="n/a"/>
    <s v="n/a"/>
    <s v="n/a"/>
    <s v="HH latrine kits to be distributed"/>
    <n v="0.3"/>
    <n v="102.6"/>
    <n v="2"/>
    <s v="Low coverage"/>
    <s v="n/a"/>
    <s v="n/a"/>
    <s v="Not yet set up"/>
    <s v="Set up but low results "/>
    <m/>
  </r>
  <r>
    <s v="Maungdaw"/>
    <s v="MMR012009072"/>
    <s v="U Daung"/>
    <s v="198026"/>
    <s v="Zumar Ywa"/>
    <m/>
    <m/>
    <x v="0"/>
    <s v="Muslim"/>
    <x v="0"/>
    <n v="0"/>
    <n v="0"/>
    <n v="765"/>
    <m/>
    <s v="2. Medium"/>
    <s v="E.U."/>
    <m/>
    <s v="CARE"/>
    <s v="Covered"/>
    <d v="2016-01-07T00:00:00"/>
    <m/>
    <s v="Focal NGO"/>
    <n v="0"/>
    <n v="0"/>
    <s v="No"/>
    <n v="1"/>
    <m/>
    <n v="0"/>
    <n v="9"/>
    <m/>
    <n v="0"/>
    <n v="0"/>
    <n v="0.32679738562091504"/>
    <n v="250"/>
    <n v="0.32679738562091504"/>
    <n v="250"/>
    <n v="0.32679738562091504"/>
    <n v="250"/>
    <s v="30-45%"/>
    <n v="0"/>
    <n v="0"/>
    <s v="yes"/>
    <n v="2.06"/>
    <n v="0"/>
    <n v="0"/>
    <n v="0.9"/>
    <n v="688.5"/>
    <s v=" Planned Pond renovation with hand pump installation "/>
    <n v="0"/>
    <m/>
    <n v="42"/>
    <m/>
    <n v="0"/>
    <n v="0"/>
    <n v="0"/>
    <n v="0"/>
    <n v="0"/>
    <n v="0"/>
    <s v="n/a"/>
    <s v="n/a"/>
    <n v="0"/>
    <s v="n/a"/>
    <s v="n/a"/>
    <s v="n/a"/>
    <s v="n/a"/>
    <s v="n/a"/>
    <s v="n/a"/>
    <s v="n/a"/>
    <s v="n/a"/>
    <s v="n/a"/>
    <s v="n/a"/>
    <n v="0.7"/>
    <s v="n/a"/>
    <s v=" Required Latrines for  HHs , Public &amp; schools"/>
    <s v="n/a"/>
    <m/>
    <m/>
    <s v="n/a"/>
    <n v="0"/>
    <n v="0"/>
    <s v="n/a"/>
    <s v="n/a"/>
    <s v="n/a"/>
    <s v="n/a"/>
    <s v="Not yet, Hygiene kits to be distributed"/>
    <n v="0"/>
    <n v="0"/>
    <n v="0"/>
    <s v="Low coverage"/>
    <s v="n/a"/>
    <s v="n/a"/>
    <s v="Not yet set up"/>
    <s v="Set up but low results "/>
    <s v="75 (%) of water facilities will be manage by community themselves at end of project"/>
  </r>
  <r>
    <s v="Minbya"/>
    <m/>
    <m/>
    <s v="MMR012CMP006"/>
    <s v="Aung Taing"/>
    <n v="93.299485000000004"/>
    <n v="20.480898"/>
    <x v="0"/>
    <s v="Muslim"/>
    <x v="5"/>
    <n v="86"/>
    <n v="496"/>
    <n v="496"/>
    <s v="Moderately affected"/>
    <s v="1. Small"/>
    <s v="None"/>
    <s v="UNHCR"/>
    <s v="None"/>
    <s v="Not Covered"/>
    <m/>
    <m/>
    <s v="Not documented"/>
    <n v="0"/>
    <n v="0"/>
    <s v="No"/>
    <n v="1"/>
    <n v="3"/>
    <n v="0"/>
    <n v="8"/>
    <m/>
    <n v="0"/>
    <n v="1"/>
    <n v="1"/>
    <n v="496"/>
    <n v="1"/>
    <n v="496"/>
    <n v="1"/>
    <n v="496"/>
    <s v="80-100%"/>
    <n v="0"/>
    <n v="0"/>
    <s v="yes"/>
    <n v="0"/>
    <n v="496"/>
    <n v="0"/>
    <n v="1"/>
    <n v="496"/>
    <m/>
    <n v="0"/>
    <n v="22"/>
    <n v="6"/>
    <s v="Mixed"/>
    <n v="0.2661290322580645"/>
    <n v="132"/>
    <n v="0.2661290322580645"/>
    <n v="132"/>
    <n v="0"/>
    <n v="0"/>
    <s v="n/a"/>
    <n v="0.8"/>
    <n v="396.8"/>
    <s v="n/a"/>
    <n v="2"/>
    <s v="n/a"/>
    <s v="n/a"/>
    <s v="n/a"/>
    <s v="n/a"/>
    <s v="n/a"/>
    <s v="n/a"/>
    <s v="n/a"/>
    <s v="n/a"/>
    <s v="n/a"/>
    <s v="n/a"/>
    <m/>
    <s v="n/a"/>
    <m/>
    <m/>
    <s v="n/a"/>
    <m/>
    <m/>
    <s v="n/a"/>
    <s v="n/a"/>
    <s v="n/a"/>
    <s v="n/a"/>
    <s v="MRCS Distributed Hygiene Kits in January 2014"/>
    <m/>
    <n v="0"/>
    <m/>
    <s v="No coverage"/>
    <m/>
    <m/>
    <m/>
    <m/>
    <m/>
  </r>
  <r>
    <s v="Minbya"/>
    <m/>
    <m/>
    <n v="196994"/>
    <s v="Chait Taung"/>
    <n v="93.257272"/>
    <n v="20.392137999999999"/>
    <x v="0"/>
    <s v="Rakhine"/>
    <x v="5"/>
    <n v="3"/>
    <n v="20"/>
    <n v="20"/>
    <s v="Moderately affected"/>
    <s v="1. Small"/>
    <s v="None"/>
    <m/>
    <s v="None"/>
    <s v="Not Covered"/>
    <m/>
    <m/>
    <s v="Not documented"/>
    <n v="0"/>
    <n v="0"/>
    <s v="No"/>
    <n v="0"/>
    <n v="0"/>
    <n v="0"/>
    <n v="4"/>
    <m/>
    <n v="0"/>
    <n v="1"/>
    <n v="0"/>
    <n v="0"/>
    <n v="0"/>
    <n v="0"/>
    <n v="1"/>
    <n v="20"/>
    <s v="0-10%"/>
    <n v="0"/>
    <n v="0"/>
    <s v="yes"/>
    <n v="0.08"/>
    <n v="20"/>
    <n v="0"/>
    <n v="1"/>
    <n v="20"/>
    <m/>
    <n v="0"/>
    <n v="8"/>
    <n v="6"/>
    <s v="Mixed"/>
    <n v="1"/>
    <n v="20"/>
    <n v="1"/>
    <n v="20"/>
    <n v="0"/>
    <n v="0"/>
    <s v="n/a"/>
    <n v="1"/>
    <n v="20"/>
    <s v="n/a"/>
    <n v="0"/>
    <s v="n/a"/>
    <s v="n/a"/>
    <s v="n/a"/>
    <s v="n/a"/>
    <s v="n/a"/>
    <s v="n/a"/>
    <s v="n/a"/>
    <s v="n/a"/>
    <s v="n/a"/>
    <s v="n/a"/>
    <m/>
    <s v="n/a"/>
    <m/>
    <m/>
    <s v="n/a"/>
    <m/>
    <m/>
    <s v="n/a"/>
    <s v="n/a"/>
    <s v="n/a"/>
    <s v="n/a"/>
    <m/>
    <m/>
    <n v="0"/>
    <m/>
    <s v="No coverage"/>
    <m/>
    <m/>
    <m/>
    <m/>
    <m/>
  </r>
  <r>
    <s v="Minbya"/>
    <m/>
    <m/>
    <s v="MMR012CMP003"/>
    <s v="Chait Taung - San Htoe Tan"/>
    <n v="93.249669999999995"/>
    <n v="20.39902"/>
    <x v="1"/>
    <s v="Muslim"/>
    <x v="5"/>
    <n v="86"/>
    <n v="521"/>
    <n v="521"/>
    <s v="Moderately affected"/>
    <s v="2. Medium"/>
    <s v="None"/>
    <s v="UNHCR"/>
    <s v="None"/>
    <s v="Not Covered"/>
    <m/>
    <m/>
    <s v="UNICEF"/>
    <n v="0"/>
    <n v="0"/>
    <s v="No"/>
    <n v="0"/>
    <n v="0"/>
    <n v="0"/>
    <n v="5"/>
    <m/>
    <n v="0"/>
    <n v="1"/>
    <n v="0"/>
    <n v="0"/>
    <n v="0"/>
    <n v="0"/>
    <n v="1"/>
    <n v="521"/>
    <s v="0-10%"/>
    <n v="0"/>
    <n v="0"/>
    <s v="yes"/>
    <n v="1.3025"/>
    <n v="521"/>
    <n v="0"/>
    <n v="1"/>
    <n v="521"/>
    <m/>
    <n v="0"/>
    <n v="18"/>
    <n v="20"/>
    <s v="No Specification"/>
    <n v="0.69097888675623798"/>
    <n v="360"/>
    <n v="0.69097888675623798"/>
    <n v="360"/>
    <n v="0"/>
    <n v="0"/>
    <s v="0-25%"/>
    <n v="1"/>
    <n v="521"/>
    <n v="8.0500000000000007"/>
    <n v="3"/>
    <n v="3.2245681381957769E-2"/>
    <n v="16.799999999999997"/>
    <n v="90.035714285714292"/>
    <n v="1"/>
    <n v="514"/>
    <n v="0"/>
    <n v="0"/>
    <n v="5.21"/>
    <n v="0.23"/>
    <n v="119.83"/>
    <s v="bathing spaces are 6 per 1 facility"/>
    <m/>
    <m/>
    <m/>
    <s v="To be done"/>
    <m/>
    <m/>
    <n v="86"/>
    <n v="0"/>
    <n v="0"/>
    <n v="0"/>
    <s v="MRCS Distributed"/>
    <m/>
    <n v="0"/>
    <m/>
    <s v="No coverage"/>
    <m/>
    <m/>
    <m/>
    <m/>
    <m/>
  </r>
  <r>
    <s v="Minbya"/>
    <m/>
    <m/>
    <s v="MMR012CMP002"/>
    <s v="Chait Taung - Tha Dar"/>
    <n v="93.257272"/>
    <n v="20.392137999999999"/>
    <x v="0"/>
    <s v="Muslim"/>
    <x v="5"/>
    <n v="187"/>
    <n v="1001"/>
    <n v="1001"/>
    <s v="Moderately affected"/>
    <s v="3. Large"/>
    <s v="None"/>
    <s v="UNHCR"/>
    <s v="None"/>
    <s v="Not Covered"/>
    <m/>
    <m/>
    <s v="UNICEF"/>
    <n v="0"/>
    <n v="0"/>
    <s v="No"/>
    <n v="0"/>
    <n v="0"/>
    <n v="0"/>
    <n v="6"/>
    <m/>
    <n v="0"/>
    <n v="1"/>
    <n v="0"/>
    <n v="0"/>
    <n v="0"/>
    <n v="0"/>
    <n v="1"/>
    <n v="1001"/>
    <s v="0-10%"/>
    <n v="0"/>
    <n v="0"/>
    <s v="yes"/>
    <n v="4.0039999999999996"/>
    <n v="1001"/>
    <n v="0"/>
    <n v="1"/>
    <n v="1001"/>
    <s v="3 wells exist but are not used at all"/>
    <m/>
    <n v="41"/>
    <n v="6"/>
    <s v="Mixed"/>
    <n v="0.24575424575424576"/>
    <n v="246"/>
    <n v="0.24575424575424576"/>
    <n v="246"/>
    <n v="0"/>
    <n v="0"/>
    <s v="0-25%"/>
    <n v="1"/>
    <n v="1001"/>
    <s v="n/a"/>
    <n v="3"/>
    <s v="n/a"/>
    <s v="n/a"/>
    <s v="n/a"/>
    <n v="0.8928571428571429"/>
    <s v="n/a"/>
    <m/>
    <s v="n/a"/>
    <s v="n/a"/>
    <n v="0"/>
    <s v="n/a"/>
    <s v="bathing spaces are 6 per 1 facility"/>
    <s v="n/a"/>
    <m/>
    <m/>
    <s v="n/a"/>
    <m/>
    <m/>
    <s v="n/a"/>
    <s v="n/a"/>
    <s v="n/a"/>
    <s v="n/a"/>
    <s v="MRCS Distributed"/>
    <m/>
    <n v="0"/>
    <m/>
    <s v="No coverage"/>
    <m/>
    <m/>
    <m/>
    <m/>
    <m/>
  </r>
  <r>
    <s v="Minbya"/>
    <m/>
    <m/>
    <s v="MMR012CMP001"/>
    <s v="Paik Thay"/>
    <n v="93.271642"/>
    <n v="20.377523"/>
    <x v="0"/>
    <s v="Muslim"/>
    <x v="5"/>
    <n v="19"/>
    <n v="142"/>
    <n v="1716"/>
    <s v="Moderately affected"/>
    <s v="3. Large"/>
    <s v="None"/>
    <s v="UNHCR"/>
    <s v="None"/>
    <s v="Not Covered"/>
    <m/>
    <m/>
    <s v="UNICEF"/>
    <n v="0"/>
    <n v="0"/>
    <s v="No"/>
    <n v="0"/>
    <n v="0"/>
    <n v="0"/>
    <n v="17"/>
    <m/>
    <n v="0"/>
    <n v="8.7995337995337999E-2"/>
    <n v="0"/>
    <n v="0"/>
    <n v="0"/>
    <n v="0"/>
    <n v="8.7995337995337999E-2"/>
    <n v="151"/>
    <s v="0-10%"/>
    <n v="0"/>
    <n v="0"/>
    <s v="yes"/>
    <n v="6.8639999999999999"/>
    <n v="151"/>
    <n v="0"/>
    <n v="0.09"/>
    <n v="154.44"/>
    <s v="1 additional pond is used only for non drinking purposes"/>
    <n v="0"/>
    <n v="17"/>
    <n v="6"/>
    <s v="Share Household Latriens"/>
    <n v="5.944055944055944E-2"/>
    <n v="102"/>
    <n v="5.944055944055944E-2"/>
    <n v="102"/>
    <n v="0"/>
    <n v="0"/>
    <s v="n/a"/>
    <n v="0.8"/>
    <n v="1372.8000000000002"/>
    <s v="n/a"/>
    <n v="0"/>
    <s v="n/a"/>
    <s v="n/a"/>
    <s v="n/a"/>
    <s v="n/a"/>
    <s v="n/a"/>
    <s v="n/a"/>
    <s v="n/a"/>
    <s v="n/a"/>
    <s v="n/a"/>
    <s v="n/a"/>
    <m/>
    <s v="n/a"/>
    <m/>
    <m/>
    <s v="n/a"/>
    <m/>
    <m/>
    <s v="n/a"/>
    <s v="n/a"/>
    <s v="n/a"/>
    <s v="n/a"/>
    <s v="MRCS Distributed"/>
    <m/>
    <n v="0"/>
    <m/>
    <s v="No coverage"/>
    <m/>
    <m/>
    <m/>
    <m/>
    <m/>
  </r>
  <r>
    <s v="Minbya"/>
    <m/>
    <m/>
    <s v="MMR012CMP008"/>
    <s v="Sam Ba Le"/>
    <n v="93.313627999999994"/>
    <n v="20.407971"/>
    <x v="0"/>
    <s v="Muslim"/>
    <x v="5"/>
    <n v="225"/>
    <n v="1318"/>
    <n v="1989"/>
    <s v="Moderately affected"/>
    <s v="3. Large"/>
    <s v="None"/>
    <s v="UNHCR"/>
    <s v="None"/>
    <s v="Not Covered"/>
    <m/>
    <m/>
    <s v="UNICEF"/>
    <n v="0"/>
    <n v="0"/>
    <s v="No"/>
    <n v="0"/>
    <n v="0"/>
    <n v="0"/>
    <n v="7"/>
    <m/>
    <n v="0"/>
    <n v="0.69029663147310205"/>
    <n v="0"/>
    <n v="0"/>
    <n v="0"/>
    <n v="0"/>
    <n v="0.69029663147310205"/>
    <n v="1373"/>
    <s v="0-10%"/>
    <n v="0"/>
    <n v="0"/>
    <s v="yes"/>
    <n v="7.9560000000000004"/>
    <n v="1373"/>
    <n v="0"/>
    <n v="1"/>
    <n v="1989"/>
    <s v="1 additional pond is used only for the mosque"/>
    <n v="0"/>
    <n v="37"/>
    <n v="6"/>
    <s v="Share Household Latriens"/>
    <n v="0.11161387631975868"/>
    <n v="222"/>
    <n v="0.11161387631975868"/>
    <n v="222"/>
    <n v="0"/>
    <n v="0"/>
    <s v="n/a"/>
    <n v="1"/>
    <n v="1989"/>
    <s v="n/a"/>
    <n v="4"/>
    <s v="n/a"/>
    <s v="n/a"/>
    <s v="n/a"/>
    <s v="n/a"/>
    <s v="n/a"/>
    <s v="n/a"/>
    <s v="n/a"/>
    <s v="n/a"/>
    <s v="n/a"/>
    <s v="n/a"/>
    <s v="bathing spaces are 6 per 1 facility"/>
    <s v="n/a"/>
    <m/>
    <m/>
    <s v="n/a"/>
    <m/>
    <m/>
    <s v="n/a"/>
    <s v="n/a"/>
    <s v="n/a"/>
    <s v="n/a"/>
    <s v="MRCS Distributed"/>
    <m/>
    <n v="0"/>
    <m/>
    <s v="No coverage"/>
    <m/>
    <m/>
    <m/>
    <m/>
    <m/>
  </r>
  <r>
    <s v="Minbya"/>
    <m/>
    <m/>
    <s v="MMR012CMP104"/>
    <s v="Set Yone Maw"/>
    <n v="93.314695"/>
    <n v="20.409645000000001"/>
    <x v="1"/>
    <s v="Rakhine"/>
    <x v="5"/>
    <n v="18"/>
    <n v="72"/>
    <n v="72"/>
    <s v="Moderately affected"/>
    <s v="1. Small"/>
    <s v="None"/>
    <s v="UNHCR"/>
    <s v="None"/>
    <s v="Not Covered"/>
    <m/>
    <m/>
    <s v="UNICEF"/>
    <n v="0"/>
    <n v="0"/>
    <s v="No"/>
    <n v="0"/>
    <n v="0"/>
    <n v="0"/>
    <n v="3"/>
    <m/>
    <n v="0"/>
    <n v="1"/>
    <n v="0"/>
    <n v="0"/>
    <n v="0"/>
    <n v="0"/>
    <n v="1"/>
    <n v="72"/>
    <s v="0-10%"/>
    <n v="0"/>
    <n v="0"/>
    <s v="yes"/>
    <n v="0.18"/>
    <n v="72"/>
    <n v="0"/>
    <n v="1"/>
    <n v="72"/>
    <m/>
    <n v="0"/>
    <n v="6"/>
    <n v="20"/>
    <s v="No Specification"/>
    <n v="1"/>
    <n v="72"/>
    <n v="1"/>
    <n v="72"/>
    <n v="0"/>
    <n v="0"/>
    <s v="0-25%"/>
    <n v="1"/>
    <n v="72"/>
    <n v="0"/>
    <n v="2"/>
    <n v="0.15555555555555556"/>
    <n v="11.2"/>
    <n v="10.857142857142858"/>
    <n v="1"/>
    <n v="73"/>
    <n v="0"/>
    <n v="0"/>
    <n v="0.72"/>
    <n v="0"/>
    <n v="0"/>
    <m/>
    <m/>
    <m/>
    <m/>
    <s v="To be done"/>
    <m/>
    <m/>
    <n v="18"/>
    <n v="0"/>
    <n v="0"/>
    <n v="0"/>
    <s v="MRCS Distributed"/>
    <m/>
    <n v="0"/>
    <m/>
    <s v="No coverage"/>
    <m/>
    <m/>
    <m/>
    <m/>
    <m/>
  </r>
  <r>
    <s v="Minbya"/>
    <m/>
    <m/>
    <s v="MMR012CMP005"/>
    <s v="Tha Yet Oak"/>
    <n v="93.258573999999996"/>
    <n v="20.587142"/>
    <x v="0"/>
    <s v="Muslim"/>
    <x v="5"/>
    <n v="275"/>
    <n v="1637"/>
    <n v="1637"/>
    <s v="Hightly affected"/>
    <s v="3. Large"/>
    <s v="None"/>
    <s v="UNHCR"/>
    <s v="None"/>
    <s v="Not Covered"/>
    <m/>
    <m/>
    <s v="Not documented"/>
    <n v="0"/>
    <n v="0"/>
    <s v="No"/>
    <n v="2"/>
    <n v="1"/>
    <n v="0"/>
    <n v="2"/>
    <m/>
    <n v="0"/>
    <n v="1"/>
    <n v="0.45815516188149052"/>
    <n v="750"/>
    <n v="0.45815516188149052"/>
    <n v="750"/>
    <n v="1"/>
    <n v="1637"/>
    <s v="45-60%"/>
    <n v="0"/>
    <n v="0"/>
    <s v="yes"/>
    <n v="3.548"/>
    <n v="1637"/>
    <n v="0"/>
    <n v="1"/>
    <n v="1637"/>
    <m/>
    <n v="10"/>
    <n v="41"/>
    <n v="6"/>
    <s v="Mixed"/>
    <n v="0.15027489309712888"/>
    <n v="245.99999999999997"/>
    <n v="0.15027489309712888"/>
    <n v="245.99999999999997"/>
    <n v="0"/>
    <n v="0"/>
    <s v="n/a"/>
    <n v="1"/>
    <n v="1637"/>
    <s v="n/a"/>
    <n v="2"/>
    <s v="n/a"/>
    <s v="n/a"/>
    <s v="n/a"/>
    <s v="n/a"/>
    <s v="n/a"/>
    <s v="n/a"/>
    <s v="n/a"/>
    <s v="n/a"/>
    <s v="n/a"/>
    <s v="n/a"/>
    <m/>
    <s v="n/a"/>
    <m/>
    <m/>
    <s v="n/a"/>
    <m/>
    <m/>
    <s v="n/a"/>
    <s v="n/a"/>
    <s v="n/a"/>
    <s v="n/a"/>
    <s v="MRCS distributed  Hygiene Kits in January 2014"/>
    <m/>
    <n v="0"/>
    <m/>
    <s v="No coverage"/>
    <m/>
    <m/>
    <m/>
    <m/>
    <m/>
  </r>
  <r>
    <s v="Mrauk-U"/>
    <m/>
    <m/>
    <s v="MMR012CMP009"/>
    <s v="Pa Rein"/>
    <n v="93.245551000000006"/>
    <n v="20.576577"/>
    <x v="0"/>
    <s v="Muslim"/>
    <x v="5"/>
    <n v="204"/>
    <n v="1127"/>
    <n v="3489"/>
    <s v="Moderately affected"/>
    <s v="3. Large"/>
    <s v="None"/>
    <s v="UNHCR"/>
    <s v="None"/>
    <s v="Not Covered"/>
    <m/>
    <m/>
    <s v="Not documented"/>
    <n v="0"/>
    <n v="0"/>
    <s v="No"/>
    <n v="0"/>
    <n v="0"/>
    <n v="0"/>
    <n v="9"/>
    <m/>
    <n v="0"/>
    <n v="0.35798222986529094"/>
    <n v="0"/>
    <n v="0"/>
    <n v="0"/>
    <n v="0"/>
    <n v="0.35798222986529094"/>
    <n v="1249"/>
    <s v="0-10%"/>
    <n v="0"/>
    <n v="0"/>
    <s v="yes"/>
    <n v="13.956"/>
    <n v="1249"/>
    <n v="0"/>
    <n v="1"/>
    <n v="3489"/>
    <s v="1 additional well is used for non drinking purposes as the water is very turbid"/>
    <n v="0"/>
    <n v="30"/>
    <n v="6"/>
    <s v="Share Household Latriens"/>
    <n v="5.1590713671539126E-2"/>
    <n v="180"/>
    <n v="5.1590713671539126E-2"/>
    <n v="180"/>
    <n v="0"/>
    <n v="0"/>
    <s v="n/a"/>
    <n v="1"/>
    <n v="3489"/>
    <s v="n/a"/>
    <n v="0"/>
    <s v="n/a"/>
    <s v="n/a"/>
    <s v="n/a"/>
    <s v="n/a"/>
    <s v="n/a"/>
    <s v="n/a"/>
    <s v="n/a"/>
    <s v="n/a"/>
    <s v="n/a"/>
    <s v="n/a"/>
    <m/>
    <s v="n/a"/>
    <m/>
    <m/>
    <s v="n/a"/>
    <m/>
    <m/>
    <s v="n/a"/>
    <s v="n/a"/>
    <s v="n/a"/>
    <s v="n/a"/>
    <m/>
    <m/>
    <n v="0"/>
    <m/>
    <s v="No coverage"/>
    <m/>
    <m/>
    <m/>
    <m/>
    <m/>
  </r>
  <r>
    <s v="Mrauk-U"/>
    <m/>
    <m/>
    <n v="196429"/>
    <s v="Pu Yain Kone"/>
    <n v="93.246099999999998"/>
    <n v="20.581499999999998"/>
    <x v="0"/>
    <s v="Rakhine"/>
    <x v="1"/>
    <n v="0"/>
    <n v="0"/>
    <n v="308"/>
    <s v="Moderately affected"/>
    <s v="1. Small"/>
    <s v="None"/>
    <m/>
    <s v="None"/>
    <s v="Not Covered"/>
    <m/>
    <m/>
    <s v="Not documented"/>
    <n v="0"/>
    <n v="0"/>
    <s v="No"/>
    <n v="1"/>
    <n v="0"/>
    <n v="0"/>
    <n v="1"/>
    <m/>
    <n v="0"/>
    <n v="1"/>
    <n v="0.81168831168831168"/>
    <n v="250"/>
    <n v="0.81168831168831168"/>
    <n v="250"/>
    <n v="1"/>
    <n v="308"/>
    <s v="80-100%"/>
    <n v="0"/>
    <n v="0"/>
    <s v="yes"/>
    <n v="0.23199999999999998"/>
    <n v="308"/>
    <n v="0"/>
    <n v="1"/>
    <n v="308"/>
    <m/>
    <n v="0"/>
    <n v="4"/>
    <n v="6"/>
    <s v="Share Household Latriens"/>
    <n v="7.792207792207792E-2"/>
    <n v="24"/>
    <n v="7.792207792207792E-2"/>
    <n v="24"/>
    <n v="0"/>
    <n v="0"/>
    <s v="n/a"/>
    <n v="0.9"/>
    <n v="277.2"/>
    <s v="n/a"/>
    <n v="0"/>
    <s v="n/a"/>
    <s v="n/a"/>
    <s v="n/a"/>
    <s v="n/a"/>
    <s v="n/a"/>
    <s v="n/a"/>
    <s v="n/a"/>
    <s v="n/a"/>
    <s v="n/a"/>
    <s v="n/a"/>
    <m/>
    <s v="n/a"/>
    <m/>
    <m/>
    <s v="n/a"/>
    <m/>
    <m/>
    <s v="n/a"/>
    <s v="n/a"/>
    <s v="n/a"/>
    <s v="n/a"/>
    <m/>
    <m/>
    <n v="0"/>
    <m/>
    <s v="No coverage"/>
    <m/>
    <m/>
    <m/>
    <m/>
    <m/>
  </r>
  <r>
    <s v="Mrauk-U"/>
    <m/>
    <m/>
    <s v="MMR012CMP012"/>
    <s v="Raw Ma Ni Sin Oe"/>
    <n v="93.239519999999999"/>
    <n v="20.61692"/>
    <x v="1"/>
    <s v="Maramargyi"/>
    <x v="5"/>
    <n v="10"/>
    <n v="64"/>
    <n v="64"/>
    <s v="Hightly affected"/>
    <s v="1. Small"/>
    <s v="None"/>
    <s v="UNHCR"/>
    <s v="None"/>
    <s v="Not Covered"/>
    <m/>
    <m/>
    <s v="UNICEF"/>
    <n v="0"/>
    <n v="0"/>
    <s v="No"/>
    <n v="0"/>
    <n v="0"/>
    <n v="0"/>
    <n v="1"/>
    <m/>
    <n v="0"/>
    <n v="1"/>
    <n v="0"/>
    <n v="0"/>
    <n v="0"/>
    <n v="0"/>
    <n v="1"/>
    <n v="64"/>
    <s v="0-10%"/>
    <n v="0"/>
    <n v="0"/>
    <s v="yes"/>
    <n v="0.16"/>
    <n v="64"/>
    <n v="0"/>
    <n v="1"/>
    <n v="64"/>
    <m/>
    <n v="0"/>
    <n v="3"/>
    <n v="20"/>
    <s v="No Specification"/>
    <n v="0.9375"/>
    <n v="60"/>
    <n v="0.9375"/>
    <n v="60"/>
    <n v="0"/>
    <n v="0"/>
    <s v="0-25%"/>
    <n v="0.94"/>
    <n v="60.16"/>
    <n v="0.20000000000000018"/>
    <n v="0"/>
    <n v="0"/>
    <n v="0"/>
    <n v="11.428571428571429"/>
    <n v="0"/>
    <n v="0"/>
    <n v="0"/>
    <n v="0"/>
    <n v="0.64"/>
    <n v="0"/>
    <n v="0"/>
    <m/>
    <m/>
    <m/>
    <m/>
    <s v="To be done"/>
    <m/>
    <m/>
    <n v="10"/>
    <n v="0"/>
    <n v="0"/>
    <n v="0"/>
    <m/>
    <m/>
    <n v="0"/>
    <m/>
    <s v="No coverage"/>
    <m/>
    <m/>
    <m/>
    <m/>
    <m/>
  </r>
  <r>
    <s v="Mrauk-U"/>
    <m/>
    <m/>
    <s v="MMR012CMP010"/>
    <s v="Yai Thei"/>
    <n v="93.217039999999997"/>
    <n v="20.501757999999999"/>
    <x v="0"/>
    <s v="Muslim"/>
    <x v="5"/>
    <n v="365"/>
    <n v="2366"/>
    <n v="2366"/>
    <s v="Moderately affected"/>
    <s v="3. Large"/>
    <s v="None"/>
    <s v="UNHCR"/>
    <s v="None"/>
    <s v="Not Covered"/>
    <m/>
    <m/>
    <s v="UNICEF"/>
    <n v="0"/>
    <n v="0"/>
    <s v="No"/>
    <n v="3"/>
    <n v="5"/>
    <n v="0"/>
    <n v="5"/>
    <m/>
    <n v="0"/>
    <n v="1"/>
    <n v="0.84530853761622993"/>
    <n v="2000"/>
    <n v="0.84530853761622993"/>
    <n v="2000"/>
    <n v="1"/>
    <n v="2366"/>
    <s v="80-100%"/>
    <n v="0"/>
    <n v="0"/>
    <s v="yes"/>
    <n v="1.4640000000000004"/>
    <n v="2366"/>
    <n v="0"/>
    <n v="1"/>
    <n v="2366"/>
    <m/>
    <n v="0"/>
    <n v="30"/>
    <n v="6"/>
    <s v="Mixed"/>
    <n v="7.6077768385460695E-2"/>
    <n v="180"/>
    <n v="7.6077768385460695E-2"/>
    <n v="180"/>
    <n v="0"/>
    <n v="0"/>
    <s v="n/a"/>
    <n v="0.8"/>
    <n v="1892.8000000000002"/>
    <s v="n/a"/>
    <n v="13"/>
    <s v="n/a"/>
    <s v="n/a"/>
    <s v="n/a"/>
    <s v="n/a"/>
    <s v="n/a"/>
    <s v="n/a"/>
    <s v="n/a"/>
    <s v="n/a"/>
    <s v="n/a"/>
    <s v="n/a"/>
    <s v="bathing spaces are 6 per 1 facility"/>
    <s v="n/a"/>
    <m/>
    <m/>
    <s v="n/a"/>
    <m/>
    <m/>
    <s v="n/a"/>
    <s v="n/a"/>
    <s v="n/a"/>
    <s v="n/a"/>
    <m/>
    <m/>
    <n v="0"/>
    <m/>
    <s v="No coverage"/>
    <m/>
    <m/>
    <m/>
    <m/>
    <m/>
  </r>
  <r>
    <s v="Mrauk-U"/>
    <m/>
    <m/>
    <s v="MMR012CMP117"/>
    <s v="Yai-Thei-Thi Kyar"/>
    <n v="93.246863000000005"/>
    <n v="20.495086000000001"/>
    <x v="1"/>
    <s v="Rakhine"/>
    <x v="5"/>
    <n v="31"/>
    <n v="131"/>
    <n v="131"/>
    <s v="Hightly affected"/>
    <s v="1. Small"/>
    <s v="None"/>
    <s v="UNHCR"/>
    <s v="None"/>
    <s v="Not Covered"/>
    <m/>
    <m/>
    <s v="UNICEF"/>
    <n v="0"/>
    <n v="0"/>
    <s v="No"/>
    <n v="0"/>
    <n v="0"/>
    <n v="0"/>
    <n v="5"/>
    <m/>
    <n v="0"/>
    <n v="1"/>
    <n v="0"/>
    <n v="0"/>
    <n v="0"/>
    <n v="0"/>
    <n v="1"/>
    <n v="131"/>
    <s v="0-10%"/>
    <n v="0"/>
    <n v="0"/>
    <s v="yes"/>
    <n v="0.32750000000000001"/>
    <n v="131"/>
    <n v="0"/>
    <n v="1"/>
    <n v="131"/>
    <m/>
    <n v="0"/>
    <n v="10"/>
    <n v="20"/>
    <s v="Attributed per families"/>
    <n v="1"/>
    <n v="131"/>
    <n v="1"/>
    <n v="131"/>
    <n v="0"/>
    <n v="0"/>
    <s v="0-25%"/>
    <n v="1"/>
    <n v="131"/>
    <n v="0"/>
    <n v="0"/>
    <n v="0"/>
    <n v="0"/>
    <n v="23.392857142857146"/>
    <n v="0"/>
    <n v="0"/>
    <n v="0"/>
    <n v="0"/>
    <n v="1.31"/>
    <n v="0"/>
    <n v="0"/>
    <m/>
    <m/>
    <m/>
    <m/>
    <s v="To be done"/>
    <m/>
    <m/>
    <n v="31"/>
    <n v="0"/>
    <n v="0"/>
    <n v="0"/>
    <m/>
    <m/>
    <n v="0"/>
    <m/>
    <s v="No coverage"/>
    <m/>
    <m/>
    <m/>
    <m/>
    <m/>
  </r>
  <r>
    <s v="Myebon"/>
    <m/>
    <m/>
    <n v="197254"/>
    <s v="Ah Ngu Ywar Haung"/>
    <n v="93.367999999999995"/>
    <n v="20.0215"/>
    <x v="0"/>
    <s v="Rakhine"/>
    <x v="1"/>
    <n v="0"/>
    <n v="0"/>
    <n v="652"/>
    <s v="Not affected"/>
    <s v="2. Medium"/>
    <s v="UNICEF"/>
    <m/>
    <s v="RI"/>
    <s v="Covered"/>
    <d v="2015-11-30T00:00:00"/>
    <m/>
    <s v="Focal NGO"/>
    <n v="0"/>
    <n v="0"/>
    <s v="No"/>
    <n v="0"/>
    <n v="0"/>
    <n v="0"/>
    <n v="0"/>
    <m/>
    <n v="0"/>
    <n v="0"/>
    <n v="0"/>
    <n v="0"/>
    <n v="0"/>
    <n v="0"/>
    <n v="0"/>
    <n v="0"/>
    <s v="0-10%"/>
    <n v="0"/>
    <n v="0"/>
    <s v="no"/>
    <n v="2.6080000000000001"/>
    <n v="0"/>
    <n v="0"/>
    <n v="0"/>
    <n v="0"/>
    <s v="piping connection to pond water supply, construction of storage tank"/>
    <n v="0"/>
    <n v="0"/>
    <n v="6"/>
    <s v="Household latrines"/>
    <n v="0"/>
    <n v="0"/>
    <n v="0"/>
    <n v="0"/>
    <n v="0"/>
    <n v="0"/>
    <s v="n/a"/>
    <n v="0.36809815950920244"/>
    <n v="240"/>
    <s v="n/a"/>
    <s v="n/a"/>
    <s v="n/a"/>
    <s v="n/a"/>
    <s v="n/a"/>
    <s v="n/a"/>
    <s v="n/a"/>
    <s v="n/a"/>
    <s v="n/a"/>
    <s v="n/a"/>
    <s v="n/a"/>
    <s v="n/a"/>
    <s v="82 HH's new permanent 4 ring latrines,  participatory approach"/>
    <s v="n/a"/>
    <m/>
    <m/>
    <s v="n/a"/>
    <m/>
    <m/>
    <s v="n/a"/>
    <s v="n/a"/>
    <s v="n/a"/>
    <s v="n/a"/>
    <m/>
    <m/>
    <n v="0"/>
    <m/>
    <s v="No coverage"/>
    <s v="Not yet set up"/>
    <s v="n/a"/>
    <s v="Not yet set up"/>
    <s v="Not yet set up"/>
    <m/>
  </r>
  <r>
    <s v="Myebon"/>
    <m/>
    <m/>
    <n v="197253"/>
    <s v="Ah Ngu Ywar Thit"/>
    <n v="93.3767"/>
    <n v="20.023900000000001"/>
    <x v="0"/>
    <s v="Rakhine"/>
    <x v="1"/>
    <n v="0"/>
    <n v="0"/>
    <n v="421"/>
    <s v="Not affected"/>
    <s v="1. Small"/>
    <s v="UNICEF"/>
    <m/>
    <s v="RI"/>
    <s v="Covered"/>
    <d v="2015-11-30T00:00:00"/>
    <m/>
    <s v="Focal NGO"/>
    <n v="0"/>
    <n v="0"/>
    <s v="No"/>
    <n v="0"/>
    <n v="0"/>
    <n v="0"/>
    <n v="1"/>
    <m/>
    <n v="0"/>
    <n v="0"/>
    <n v="0"/>
    <n v="0"/>
    <n v="0"/>
    <n v="0"/>
    <n v="0"/>
    <n v="0"/>
    <s v="0-10%"/>
    <n v="0"/>
    <n v="0"/>
    <s v="yes"/>
    <n v="1.6839999999999999"/>
    <n v="0"/>
    <n v="0"/>
    <n v="0"/>
    <n v="0"/>
    <m/>
    <n v="0"/>
    <n v="0"/>
    <n v="6"/>
    <s v="Household latrines"/>
    <n v="0"/>
    <n v="0"/>
    <n v="0"/>
    <n v="0"/>
    <n v="0"/>
    <n v="0"/>
    <s v="n/a"/>
    <n v="0.71258907363420421"/>
    <n v="299.99999999999994"/>
    <s v="n/a"/>
    <s v="n/a"/>
    <s v="n/a"/>
    <s v="n/a"/>
    <s v="n/a"/>
    <s v="n/a"/>
    <s v="n/a"/>
    <s v="n/a"/>
    <s v="n/a"/>
    <s v="n/a"/>
    <s v="n/a"/>
    <s v="n/a"/>
    <s v="50 HH's new permanent 4 ring latrines,  participatory approach"/>
    <s v="n/a"/>
    <m/>
    <m/>
    <s v="n/a"/>
    <m/>
    <m/>
    <s v="n/a"/>
    <s v="n/a"/>
    <s v="n/a"/>
    <s v="n/a"/>
    <m/>
    <m/>
    <n v="0"/>
    <m/>
    <s v="No coverage"/>
    <s v="Not yet set up"/>
    <s v="n/a"/>
    <s v="Not yet set up"/>
    <s v="Not yet set up"/>
    <m/>
  </r>
  <r>
    <s v="Myebon"/>
    <m/>
    <m/>
    <n v="217974"/>
    <s v="Aung Le Byin"/>
    <n v="93.375100000000003"/>
    <n v="20.032299999999999"/>
    <x v="0"/>
    <s v="Rakhine"/>
    <x v="1"/>
    <n v="0"/>
    <n v="0"/>
    <n v="360"/>
    <s v="Not affected"/>
    <s v="1. Small"/>
    <s v="UNICEF"/>
    <m/>
    <s v="RI"/>
    <s v="Covered"/>
    <d v="2015-11-30T00:00:00"/>
    <m/>
    <s v="Focal NGO"/>
    <n v="0"/>
    <n v="0"/>
    <s v="No"/>
    <n v="0"/>
    <n v="0"/>
    <n v="0"/>
    <n v="0"/>
    <m/>
    <n v="0"/>
    <n v="0"/>
    <n v="0"/>
    <n v="0"/>
    <n v="0"/>
    <n v="0"/>
    <n v="0"/>
    <n v="0"/>
    <s v="0-10%"/>
    <n v="0"/>
    <n v="0"/>
    <s v="no"/>
    <n v="1.44"/>
    <n v="0"/>
    <n v="0"/>
    <n v="0"/>
    <n v="0"/>
    <s v="piping connection to pond water supply, construction of storage tank"/>
    <n v="0"/>
    <n v="0"/>
    <n v="6"/>
    <s v="Household latrines"/>
    <n v="0"/>
    <n v="0"/>
    <n v="0"/>
    <n v="0"/>
    <n v="0"/>
    <n v="0"/>
    <s v="n/a"/>
    <n v="1"/>
    <n v="360"/>
    <s v="n/a"/>
    <s v="n/a"/>
    <s v="n/a"/>
    <s v="n/a"/>
    <s v="n/a"/>
    <s v="n/a"/>
    <s v="n/a"/>
    <s v="n/a"/>
    <s v="n/a"/>
    <s v="n/a"/>
    <s v="n/a"/>
    <s v="n/a"/>
    <s v="22 HH's new permanent 4 ring latrines,  participatory approach"/>
    <s v="n/a"/>
    <m/>
    <m/>
    <s v="n/a"/>
    <m/>
    <m/>
    <s v="n/a"/>
    <s v="n/a"/>
    <s v="n/a"/>
    <s v="n/a"/>
    <m/>
    <m/>
    <n v="0"/>
    <m/>
    <s v="No coverage"/>
    <s v="Not yet set up"/>
    <s v="n/a"/>
    <s v="Not yet set up"/>
    <s v="Not yet set up"/>
    <m/>
  </r>
  <r>
    <s v="Myebon"/>
    <m/>
    <m/>
    <n v="197279"/>
    <s v="Dagon"/>
    <n v="93.35"/>
    <n v="20.100000000000001"/>
    <x v="0"/>
    <s v="Rakhine"/>
    <x v="0"/>
    <n v="0"/>
    <n v="0"/>
    <n v="964"/>
    <s v="Not affected"/>
    <s v="2. Medium"/>
    <s v="UNICEF"/>
    <m/>
    <s v="RI"/>
    <s v="Covered"/>
    <d v="2015-11-30T00:00:00"/>
    <m/>
    <s v="Not documented"/>
    <n v="0"/>
    <n v="0"/>
    <s v="No"/>
    <m/>
    <m/>
    <m/>
    <m/>
    <m/>
    <m/>
    <m/>
    <n v="0"/>
    <n v="0"/>
    <n v="0"/>
    <n v="0"/>
    <n v="0"/>
    <n v="0"/>
    <s v="0-10%"/>
    <n v="0"/>
    <n v="0"/>
    <s v="no"/>
    <n v="3.8559999999999999"/>
    <n v="0"/>
    <n v="0"/>
    <m/>
    <n v="0"/>
    <m/>
    <m/>
    <m/>
    <n v="6"/>
    <m/>
    <n v="0"/>
    <n v="0"/>
    <n v="0"/>
    <n v="0"/>
    <n v="0"/>
    <n v="0"/>
    <s v="n/a"/>
    <n v="0.09"/>
    <n v="86.759999999999991"/>
    <s v="n/a"/>
    <s v="n/a"/>
    <s v="n/a"/>
    <s v="n/a"/>
    <s v="n/a"/>
    <s v="n/a"/>
    <s v="n/a"/>
    <s v="n/a"/>
    <s v="n/a"/>
    <s v="n/a"/>
    <s v="n/a"/>
    <s v="n/a"/>
    <m/>
    <s v="n/a"/>
    <m/>
    <m/>
    <s v="n/a"/>
    <m/>
    <m/>
    <s v="n/a"/>
    <s v="n/a"/>
    <s v="n/a"/>
    <s v="n/a"/>
    <m/>
    <m/>
    <n v="0"/>
    <m/>
    <s v="Excellent coverage"/>
    <s v="Not yet set up"/>
    <s v="n/a"/>
    <s v="Not yet set up"/>
    <s v="Not yet set up"/>
    <m/>
  </r>
  <r>
    <s v="Myebon"/>
    <m/>
    <m/>
    <n v="197277"/>
    <s v="Gaung Hpyu"/>
    <n v="93.36"/>
    <n v="20.079999999999998"/>
    <x v="0"/>
    <s v="Rakhine"/>
    <x v="0"/>
    <n v="0"/>
    <n v="0"/>
    <n v="368"/>
    <s v="Not affected"/>
    <s v="1. Small"/>
    <s v="UNICEF"/>
    <m/>
    <s v="RI"/>
    <s v="Covered"/>
    <d v="2015-11-30T00:00:00"/>
    <m/>
    <s v="Not documented"/>
    <n v="0"/>
    <n v="0"/>
    <s v="No"/>
    <m/>
    <m/>
    <m/>
    <m/>
    <m/>
    <m/>
    <m/>
    <n v="0"/>
    <n v="0"/>
    <n v="0"/>
    <n v="0"/>
    <n v="0"/>
    <n v="0"/>
    <s v="0-10%"/>
    <n v="0"/>
    <n v="0"/>
    <s v="no"/>
    <n v="1.472"/>
    <n v="0"/>
    <n v="0"/>
    <m/>
    <n v="0"/>
    <m/>
    <m/>
    <m/>
    <n v="6"/>
    <m/>
    <n v="0"/>
    <n v="0"/>
    <n v="0"/>
    <n v="0"/>
    <n v="0"/>
    <n v="0"/>
    <s v="n/a"/>
    <n v="0"/>
    <n v="0"/>
    <s v="n/a"/>
    <s v="n/a"/>
    <s v="n/a"/>
    <s v="n/a"/>
    <s v="n/a"/>
    <s v="n/a"/>
    <s v="n/a"/>
    <s v="n/a"/>
    <s v="n/a"/>
    <s v="n/a"/>
    <s v="n/a"/>
    <s v="n/a"/>
    <m/>
    <s v="n/a"/>
    <m/>
    <m/>
    <s v="n/a"/>
    <m/>
    <m/>
    <s v="n/a"/>
    <s v="n/a"/>
    <s v="n/a"/>
    <s v="n/a"/>
    <m/>
    <m/>
    <n v="0"/>
    <m/>
    <s v="Excellent coverage"/>
    <s v="Not yet set up"/>
    <s v="n/a"/>
    <s v="Not yet set up"/>
    <s v="Not yet set up"/>
    <m/>
  </r>
  <r>
    <s v="Myebon"/>
    <m/>
    <m/>
    <s v="MMR012CMP013"/>
    <s v="Kan Thar Htwat Wa"/>
    <n v="93.373951000000005"/>
    <n v="20.041981"/>
    <x v="1"/>
    <s v="Rakhine"/>
    <x v="2"/>
    <n v="41"/>
    <n v="198"/>
    <n v="198"/>
    <s v="Not affected"/>
    <s v="1. Small"/>
    <s v="UNICEF"/>
    <s v="RI"/>
    <s v="RI"/>
    <s v="Covered"/>
    <d v="2015-11-30T00:00:00"/>
    <m/>
    <s v="Focal NGO"/>
    <n v="0"/>
    <n v="0"/>
    <s v="No"/>
    <n v="0"/>
    <n v="0"/>
    <n v="0"/>
    <n v="1"/>
    <m/>
    <n v="1"/>
    <n v="1"/>
    <n v="0"/>
    <n v="0"/>
    <n v="0"/>
    <n v="0"/>
    <n v="1"/>
    <n v="198"/>
    <s v="0-10%"/>
    <n v="0"/>
    <n v="0"/>
    <s v="yes"/>
    <n v="0.495"/>
    <n v="198"/>
    <n v="198"/>
    <n v="1"/>
    <n v="198"/>
    <s v="1 town pond untreated; gravity-fed to 2 camp taps which last through dry season (but IDPs are also free to walk to this pond)."/>
    <n v="0"/>
    <n v="14"/>
    <n v="20"/>
    <s v="Attributed per families"/>
    <n v="1"/>
    <n v="198"/>
    <n v="1"/>
    <n v="198"/>
    <n v="0"/>
    <n v="0"/>
    <s v="n/a"/>
    <n v="1"/>
    <n v="198"/>
    <n v="0"/>
    <n v="7"/>
    <n v="0.19797979797979795"/>
    <n v="39.199999999999996"/>
    <n v="28.357142857142861"/>
    <n v="1"/>
    <n v="198"/>
    <n v="2"/>
    <n v="1"/>
    <n v="0"/>
    <n v="0"/>
    <n v="0"/>
    <s v="all handwashing stations repaired"/>
    <d v="2015-09-14T00:00:00"/>
    <m/>
    <m/>
    <d v="2016-09-13T00:00:00"/>
    <n v="42"/>
    <n v="4"/>
    <n v="0"/>
    <n v="1"/>
    <n v="198"/>
    <n v="0"/>
    <m/>
    <n v="1"/>
    <n v="198"/>
    <n v="2"/>
    <s v="Excellent coverage"/>
    <s v="Set up but low results "/>
    <s v="Yes"/>
    <s v="Functional and efficient"/>
    <s v="Functional and efficient"/>
    <s v="Waste currently being incinerated 2x/week. Bins distributed in Feb. No separating pits. "/>
  </r>
  <r>
    <s v="Myebon"/>
    <m/>
    <m/>
    <s v="MMR012CMP013"/>
    <s v="Kan Thar Htwat Wa"/>
    <n v="93.373951000000005"/>
    <n v="20.041981"/>
    <x v="0"/>
    <s v="Rakhine"/>
    <x v="1"/>
    <n v="0"/>
    <n v="0"/>
    <n v="1047"/>
    <s v="Not affected"/>
    <s v="3. Large"/>
    <s v="UNICEF"/>
    <m/>
    <s v="RI"/>
    <s v="Covered"/>
    <d v="2015-11-30T00:00:00"/>
    <m/>
    <s v="Focal NGO"/>
    <n v="0"/>
    <n v="0"/>
    <s v="No"/>
    <n v="0"/>
    <n v="0"/>
    <n v="0"/>
    <n v="1"/>
    <m/>
    <n v="0"/>
    <n v="0"/>
    <n v="0"/>
    <n v="0"/>
    <n v="0"/>
    <n v="0"/>
    <n v="0"/>
    <n v="0"/>
    <s v="0-10%"/>
    <n v="0"/>
    <n v="0"/>
    <s v="yes"/>
    <n v="4.1879999999999997"/>
    <n v="0"/>
    <n v="0"/>
    <n v="0"/>
    <n v="0"/>
    <s v="Pond renovation, fencing and stairs"/>
    <n v="0"/>
    <n v="0"/>
    <n v="6"/>
    <s v="Household latrines"/>
    <n v="0"/>
    <n v="0"/>
    <n v="0"/>
    <n v="0"/>
    <n v="0"/>
    <n v="0"/>
    <s v="n/a"/>
    <n v="0"/>
    <n v="0"/>
    <s v="n/a"/>
    <s v="n/a"/>
    <s v="n/a"/>
    <s v="n/a"/>
    <s v="n/a"/>
    <s v="n/a"/>
    <s v="n/a"/>
    <s v="n/a"/>
    <s v="n/a"/>
    <s v="n/a"/>
    <s v="n/a"/>
    <s v="n/a"/>
    <m/>
    <s v="n/a"/>
    <m/>
    <m/>
    <s v="n/a"/>
    <m/>
    <m/>
    <s v="n/a"/>
    <s v="n/a"/>
    <s v="n/a"/>
    <s v="n/a"/>
    <m/>
    <n v="0"/>
    <n v="0"/>
    <n v="0"/>
    <s v="No coverage"/>
    <s v="Not yet set up"/>
    <s v="n/a"/>
    <s v="Not yet set up"/>
    <s v="Not yet set up"/>
    <m/>
  </r>
  <r>
    <s v="Myebon"/>
    <m/>
    <m/>
    <n v="197286"/>
    <s v="Kyauk Nga Nwar"/>
    <n v="93.41"/>
    <n v="20.149999999999999"/>
    <x v="0"/>
    <s v="Rakhine"/>
    <x v="0"/>
    <n v="0"/>
    <n v="0"/>
    <n v="629"/>
    <s v="Not affected"/>
    <s v="2. Medium"/>
    <s v="UNICEF"/>
    <m/>
    <s v="RI"/>
    <s v="Covered"/>
    <d v="2015-11-30T00:00:00"/>
    <m/>
    <s v="Not documented"/>
    <n v="0"/>
    <n v="0"/>
    <s v="No"/>
    <m/>
    <m/>
    <m/>
    <m/>
    <m/>
    <m/>
    <m/>
    <n v="0"/>
    <n v="0"/>
    <n v="0"/>
    <n v="0"/>
    <n v="0"/>
    <n v="0"/>
    <s v="0-10%"/>
    <n v="0"/>
    <n v="0"/>
    <s v="no"/>
    <n v="2.516"/>
    <n v="0"/>
    <n v="0"/>
    <m/>
    <n v="0"/>
    <m/>
    <m/>
    <m/>
    <n v="6"/>
    <m/>
    <n v="0"/>
    <n v="0"/>
    <n v="0"/>
    <n v="0"/>
    <n v="0"/>
    <n v="0"/>
    <s v="n/a"/>
    <n v="0"/>
    <n v="0"/>
    <s v="n/a"/>
    <s v="n/a"/>
    <s v="n/a"/>
    <s v="n/a"/>
    <s v="n/a"/>
    <s v="n/a"/>
    <s v="n/a"/>
    <s v="n/a"/>
    <s v="n/a"/>
    <s v="n/a"/>
    <s v="n/a"/>
    <s v="n/a"/>
    <m/>
    <s v="n/a"/>
    <m/>
    <m/>
    <s v="n/a"/>
    <m/>
    <m/>
    <s v="n/a"/>
    <s v="n/a"/>
    <s v="n/a"/>
    <s v="n/a"/>
    <m/>
    <m/>
    <n v="0"/>
    <m/>
    <s v="Excellent coverage"/>
    <s v="Not yet set up"/>
    <s v="n/a"/>
    <s v="Not yet set up"/>
    <s v="Not yet set up"/>
    <m/>
  </r>
  <r>
    <s v="Myebon"/>
    <m/>
    <m/>
    <n v="197309"/>
    <s v="Nga Shwe Pyin"/>
    <n v="93.42"/>
    <n v="20.010000000000002"/>
    <x v="0"/>
    <s v="Rakhine"/>
    <x v="0"/>
    <n v="0"/>
    <n v="0"/>
    <n v="415"/>
    <s v="Not affected"/>
    <s v="1. Small"/>
    <s v="UNICEF"/>
    <m/>
    <s v="RI"/>
    <s v="Covered"/>
    <d v="2015-11-30T00:00:00"/>
    <m/>
    <s v="Not documented"/>
    <n v="0"/>
    <n v="0"/>
    <s v="No"/>
    <m/>
    <m/>
    <m/>
    <m/>
    <m/>
    <m/>
    <m/>
    <n v="0"/>
    <n v="0"/>
    <n v="0"/>
    <n v="0"/>
    <n v="0"/>
    <n v="0"/>
    <s v="0-10%"/>
    <n v="0"/>
    <n v="0"/>
    <s v="no"/>
    <n v="1.66"/>
    <n v="0"/>
    <n v="0"/>
    <m/>
    <n v="0"/>
    <m/>
    <m/>
    <m/>
    <n v="6"/>
    <m/>
    <n v="0"/>
    <n v="0"/>
    <n v="0"/>
    <n v="0"/>
    <n v="0"/>
    <n v="0"/>
    <s v="n/a"/>
    <n v="0"/>
    <n v="0"/>
    <s v="n/a"/>
    <s v="n/a"/>
    <s v="n/a"/>
    <s v="n/a"/>
    <s v="n/a"/>
    <s v="n/a"/>
    <s v="n/a"/>
    <s v="n/a"/>
    <s v="n/a"/>
    <s v="n/a"/>
    <s v="n/a"/>
    <s v="n/a"/>
    <m/>
    <s v="n/a"/>
    <m/>
    <m/>
    <s v="n/a"/>
    <m/>
    <m/>
    <s v="n/a"/>
    <s v="n/a"/>
    <s v="n/a"/>
    <s v="n/a"/>
    <m/>
    <m/>
    <n v="0"/>
    <m/>
    <s v="Excellent coverage"/>
    <s v="Not yet set up"/>
    <s v="n/a"/>
    <s v="Not yet set up"/>
    <s v="Not yet set up"/>
    <m/>
  </r>
  <r>
    <s v="Myebon"/>
    <m/>
    <m/>
    <n v="197255"/>
    <s v="Ohn Taw"/>
    <n v="93.38"/>
    <n v="20.03"/>
    <x v="0"/>
    <s v="Rakhine"/>
    <x v="0"/>
    <n v="0"/>
    <n v="0"/>
    <n v="307"/>
    <s v="Not affected"/>
    <s v="1. Small"/>
    <s v="UNICEF"/>
    <m/>
    <s v="RI"/>
    <s v="Covered"/>
    <d v="2015-11-30T00:00:00"/>
    <m/>
    <s v="Not documented"/>
    <n v="0"/>
    <n v="0"/>
    <s v="No"/>
    <m/>
    <m/>
    <m/>
    <m/>
    <m/>
    <m/>
    <m/>
    <n v="0"/>
    <n v="0"/>
    <n v="0"/>
    <n v="0"/>
    <n v="0"/>
    <n v="0"/>
    <s v="0-10%"/>
    <n v="0"/>
    <n v="0"/>
    <s v="no"/>
    <n v="1.228"/>
    <n v="0"/>
    <n v="0"/>
    <m/>
    <n v="0"/>
    <m/>
    <m/>
    <m/>
    <n v="6"/>
    <m/>
    <n v="0"/>
    <n v="0"/>
    <n v="0"/>
    <n v="0"/>
    <n v="0"/>
    <n v="0"/>
    <s v="n/a"/>
    <n v="0"/>
    <n v="0"/>
    <s v="n/a"/>
    <s v="n/a"/>
    <s v="n/a"/>
    <s v="n/a"/>
    <s v="n/a"/>
    <s v="n/a"/>
    <s v="n/a"/>
    <s v="n/a"/>
    <s v="n/a"/>
    <s v="n/a"/>
    <s v="n/a"/>
    <s v="n/a"/>
    <s v="46 HH's new permanent 4 ring latrines, participatory approach"/>
    <s v="n/a"/>
    <m/>
    <m/>
    <s v="n/a"/>
    <m/>
    <m/>
    <s v="n/a"/>
    <s v="n/a"/>
    <s v="n/a"/>
    <s v="n/a"/>
    <m/>
    <m/>
    <n v="0"/>
    <m/>
    <s v="Excellent coverage"/>
    <s v="Not yet set up"/>
    <s v="n/a"/>
    <s v="Not yet set up"/>
    <s v="Not yet set up"/>
    <m/>
  </r>
  <r>
    <s v="Myebon"/>
    <m/>
    <m/>
    <n v="217973"/>
    <s v="Pyin Taw Che"/>
    <n v="93.373000000000005"/>
    <n v="20.032800000000002"/>
    <x v="0"/>
    <s v="Rakhine"/>
    <x v="1"/>
    <n v="0"/>
    <n v="0"/>
    <n v="237"/>
    <s v="Not affected"/>
    <s v="1. Small"/>
    <s v="UNICEF"/>
    <m/>
    <s v="RI"/>
    <s v="Covered"/>
    <d v="2015-11-30T00:00:00"/>
    <m/>
    <s v="Focal NGO"/>
    <n v="0"/>
    <n v="0"/>
    <s v="No"/>
    <n v="0"/>
    <n v="0"/>
    <n v="0"/>
    <n v="1"/>
    <m/>
    <n v="0"/>
    <n v="0"/>
    <n v="0"/>
    <n v="0"/>
    <n v="0"/>
    <n v="0"/>
    <n v="0"/>
    <n v="0"/>
    <s v="0-10%"/>
    <n v="0"/>
    <n v="0"/>
    <s v="yes"/>
    <n v="0.94799999999999995"/>
    <n v="0"/>
    <n v="0"/>
    <n v="0"/>
    <n v="0"/>
    <s v="piping connection to pond water supply, construction of storage tank"/>
    <n v="0"/>
    <n v="0"/>
    <n v="6"/>
    <s v="Household latrines"/>
    <n v="0"/>
    <n v="0"/>
    <n v="0"/>
    <n v="0"/>
    <n v="0"/>
    <n v="0"/>
    <s v="n/a"/>
    <n v="0"/>
    <n v="0"/>
    <s v="n/a"/>
    <s v="n/a"/>
    <s v="n/a"/>
    <s v="n/a"/>
    <s v="n/a"/>
    <s v="n/a"/>
    <s v="n/a"/>
    <s v="n/a"/>
    <s v="n/a"/>
    <s v="n/a"/>
    <s v="n/a"/>
    <s v="n/a"/>
    <s v="21 HH's new permanent 4 ring latrines,  participatory approach"/>
    <s v="n/a"/>
    <m/>
    <m/>
    <s v="n/a"/>
    <m/>
    <m/>
    <s v="n/a"/>
    <s v="n/a"/>
    <s v="n/a"/>
    <s v="n/a"/>
    <m/>
    <m/>
    <n v="0"/>
    <m/>
    <s v="No coverage"/>
    <s v="Not yet set up"/>
    <s v="n/a"/>
    <s v="Not yet set up"/>
    <s v="Not yet set up"/>
    <m/>
  </r>
  <r>
    <s v="Myebon"/>
    <m/>
    <m/>
    <s v="MMR012CMP014"/>
    <s v="Taung Paw"/>
    <n v="93.370037999999994"/>
    <n v="20.037655000000001"/>
    <x v="1"/>
    <s v="Muslim"/>
    <x v="2"/>
    <n v="668"/>
    <n v="2701"/>
    <n v="2701"/>
    <s v="Not affected"/>
    <s v="4. Big"/>
    <s v="UNICEF"/>
    <s v="RI"/>
    <s v="RI"/>
    <s v="Covered"/>
    <d v="2015-11-30T00:00:00"/>
    <m/>
    <s v="Focal NGO"/>
    <n v="0"/>
    <n v="0"/>
    <s v="No"/>
    <n v="0"/>
    <n v="0"/>
    <n v="0"/>
    <n v="5"/>
    <m/>
    <n v="0.2"/>
    <n v="1"/>
    <n v="0"/>
    <n v="0"/>
    <n v="0"/>
    <n v="0"/>
    <n v="1"/>
    <n v="2701"/>
    <s v="0-10%"/>
    <n v="0"/>
    <n v="0"/>
    <s v="yes"/>
    <n v="6.7525000000000004"/>
    <n v="2701"/>
    <n v="540.20000000000005"/>
    <n v="1"/>
    <n v="2701"/>
    <s v="5 untreated ponds, with rainwater collection at a number of community locations and also by individual households."/>
    <n v="0"/>
    <n v="172"/>
    <n v="20"/>
    <s v="No Specification"/>
    <n v="1"/>
    <n v="2701"/>
    <n v="1"/>
    <n v="2701"/>
    <n v="0"/>
    <n v="0"/>
    <s v="75-100%"/>
    <n v="1"/>
    <n v="2701"/>
    <n v="0"/>
    <n v="474.79999999999995"/>
    <n v="0.98440577563865217"/>
    <n v="2658.8799999999997"/>
    <n v="7.5214285714286575"/>
    <n v="1"/>
    <n v="2186.25"/>
    <n v="17"/>
    <n v="0.62939651980747868"/>
    <n v="10.010000000000002"/>
    <n v="1"/>
    <n v="2701"/>
    <s v="Latrines desludged June 2015. 25 latrines damaged by Cyclone Komen. An estimated 70% of HHs have homemade shower points attached to their shelter. 5 communal laundry/bathing facilities constructed can hold 3 hh's."/>
    <d v="2015-09-14T00:00:00"/>
    <m/>
    <m/>
    <d v="2016-09-13T00:00:00"/>
    <n v="722"/>
    <n v="4"/>
    <n v="0"/>
    <n v="1"/>
    <n v="2701"/>
    <n v="0"/>
    <m/>
    <n v="1"/>
    <n v="2701"/>
    <n v="8"/>
    <s v="Excellent coverage"/>
    <s v="Set up but low results "/>
    <s v="Yes"/>
    <s v="Functional and efficient"/>
    <s v="Functional and efficient"/>
    <s v="Waste currently being collected 3 times per week and incinerated. Bins distributed in Feb. No separating pits. One sanitary pad dumping area."/>
  </r>
  <r>
    <s v="Myebon"/>
    <m/>
    <m/>
    <n v="197378"/>
    <s v="Taung Pyin"/>
    <n v="93.540599999999998"/>
    <n v="20.061299999999999"/>
    <x v="0"/>
    <s v="Rakhine"/>
    <x v="1"/>
    <n v="0"/>
    <n v="0"/>
    <n v="103"/>
    <s v="Not affected"/>
    <s v="1. Small"/>
    <s v="UNICEF"/>
    <m/>
    <s v="RI"/>
    <s v="Covered"/>
    <d v="2015-11-30T00:00:00"/>
    <m/>
    <s v="Focal NGO"/>
    <n v="0"/>
    <n v="0"/>
    <s v="No"/>
    <n v="6"/>
    <n v="54"/>
    <n v="0"/>
    <n v="2"/>
    <m/>
    <n v="0"/>
    <n v="0"/>
    <n v="1"/>
    <n v="103"/>
    <n v="1"/>
    <n v="103"/>
    <n v="1"/>
    <n v="103"/>
    <s v="80-100%"/>
    <n v="0"/>
    <n v="0"/>
    <s v="yes"/>
    <n v="0"/>
    <n v="0"/>
    <n v="0"/>
    <n v="0"/>
    <n v="0"/>
    <s v="Pond renovation, fencing and stairs"/>
    <n v="0"/>
    <n v="0"/>
    <n v="6"/>
    <s v="Household latrines"/>
    <n v="0"/>
    <n v="0"/>
    <n v="0"/>
    <n v="0"/>
    <n v="0"/>
    <n v="0"/>
    <s v="n/a"/>
    <n v="0"/>
    <n v="0"/>
    <s v="n/a"/>
    <s v="n/a"/>
    <s v="n/a"/>
    <s v="n/a"/>
    <s v="n/a"/>
    <s v="n/a"/>
    <s v="n/a"/>
    <s v="n/a"/>
    <s v="n/a"/>
    <s v="n/a"/>
    <s v="n/a"/>
    <s v="n/a"/>
    <m/>
    <s v="n/a"/>
    <m/>
    <m/>
    <s v="n/a"/>
    <m/>
    <m/>
    <s v="n/a"/>
    <s v="n/a"/>
    <s v="n/a"/>
    <s v="n/a"/>
    <m/>
    <m/>
    <n v="0"/>
    <m/>
    <s v="Excellent coverage"/>
    <s v="Not yet set up"/>
    <s v="n/a"/>
    <s v="Not yet set up"/>
    <s v="Not yet set up"/>
    <m/>
  </r>
  <r>
    <s v="Myebon"/>
    <m/>
    <m/>
    <n v="197280"/>
    <s v="Wet Gaung"/>
    <n v="93.34"/>
    <n v="20.12"/>
    <x v="0"/>
    <s v="Rakhine"/>
    <x v="0"/>
    <n v="0"/>
    <n v="0"/>
    <n v="2341"/>
    <s v="Not affected"/>
    <s v="3. Large"/>
    <s v="UNICEF"/>
    <m/>
    <s v="RI"/>
    <s v="Covered"/>
    <d v="2015-11-30T00:00:00"/>
    <m/>
    <s v="Not documented"/>
    <n v="0"/>
    <n v="0"/>
    <s v="No"/>
    <m/>
    <m/>
    <m/>
    <m/>
    <m/>
    <m/>
    <m/>
    <n v="0"/>
    <n v="0"/>
    <n v="0"/>
    <n v="0"/>
    <n v="0"/>
    <n v="0"/>
    <s v="0-10%"/>
    <n v="0"/>
    <n v="0"/>
    <s v="no"/>
    <n v="9.3640000000000008"/>
    <n v="0"/>
    <n v="0"/>
    <m/>
    <n v="0"/>
    <m/>
    <m/>
    <m/>
    <n v="6"/>
    <m/>
    <n v="0"/>
    <n v="0"/>
    <n v="0"/>
    <n v="0"/>
    <n v="0"/>
    <n v="0"/>
    <s v="n/a"/>
    <n v="0"/>
    <n v="0"/>
    <s v="n/a"/>
    <s v="n/a"/>
    <s v="n/a"/>
    <s v="n/a"/>
    <s v="n/a"/>
    <s v="n/a"/>
    <s v="n/a"/>
    <s v="n/a"/>
    <s v="n/a"/>
    <s v="n/a"/>
    <s v="n/a"/>
    <s v="n/a"/>
    <m/>
    <s v="n/a"/>
    <m/>
    <m/>
    <s v="n/a"/>
    <m/>
    <m/>
    <s v="n/a"/>
    <s v="n/a"/>
    <s v="n/a"/>
    <s v="n/a"/>
    <m/>
    <m/>
    <n v="0"/>
    <m/>
    <s v="Excellent coverage"/>
    <s v="Not yet set up"/>
    <s v="n/a"/>
    <s v="Not yet set up"/>
    <s v="Not yet set up"/>
    <m/>
  </r>
  <r>
    <s v="Myebon"/>
    <m/>
    <m/>
    <n v="197366"/>
    <s v="Yet Chaung"/>
    <n v="93.483999999999995"/>
    <n v="20.084"/>
    <x v="0"/>
    <s v="Rakhine"/>
    <x v="1"/>
    <n v="0"/>
    <n v="0"/>
    <n v="2331"/>
    <s v="Not affected"/>
    <s v="3. Large"/>
    <s v="UNICEF"/>
    <m/>
    <s v="RI"/>
    <s v="Covered"/>
    <d v="2015-11-30T00:00:00"/>
    <m/>
    <s v="Focal NGO"/>
    <n v="0"/>
    <n v="0"/>
    <s v="No"/>
    <m/>
    <m/>
    <m/>
    <n v="1"/>
    <m/>
    <m/>
    <m/>
    <n v="0"/>
    <n v="0"/>
    <n v="0"/>
    <n v="0"/>
    <n v="0"/>
    <n v="0"/>
    <s v="0-10%"/>
    <n v="0"/>
    <n v="0"/>
    <s v="yes"/>
    <n v="9.3239999999999998"/>
    <n v="0"/>
    <n v="0"/>
    <n v="0"/>
    <n v="0"/>
    <s v="Pond renovation, fencing and stairs"/>
    <n v="0"/>
    <n v="0"/>
    <n v="6"/>
    <s v="Household latrines"/>
    <n v="0"/>
    <n v="0"/>
    <n v="0"/>
    <n v="0"/>
    <n v="0"/>
    <n v="0"/>
    <s v="n/a"/>
    <n v="0"/>
    <n v="0"/>
    <s v="n/a"/>
    <s v="n/a"/>
    <s v="n/a"/>
    <s v="n/a"/>
    <s v="n/a"/>
    <s v="n/a"/>
    <s v="n/a"/>
    <s v="n/a"/>
    <s v="n/a"/>
    <s v="n/a"/>
    <s v="n/a"/>
    <s v="n/a"/>
    <m/>
    <s v="n/a"/>
    <m/>
    <m/>
    <s v="n/a"/>
    <m/>
    <m/>
    <s v="n/a"/>
    <s v="n/a"/>
    <s v="n/a"/>
    <s v="n/a"/>
    <m/>
    <m/>
    <n v="0"/>
    <m/>
    <s v="Excellent coverage"/>
    <s v="Not yet set up"/>
    <s v="n/a"/>
    <s v="Not yet set up"/>
    <s v="Not yet set up"/>
    <m/>
  </r>
  <r>
    <s v="Myebon"/>
    <m/>
    <m/>
    <s v="MMR012006701509"/>
    <s v="Ywar Thit Kay"/>
    <n v="93.371667000000002"/>
    <n v="20.040333"/>
    <x v="0"/>
    <s v="Rakhine"/>
    <x v="1"/>
    <n v="0"/>
    <n v="0"/>
    <n v="1495"/>
    <s v="Not affected"/>
    <s v="3. Large"/>
    <s v="UNICEF"/>
    <m/>
    <s v="RI"/>
    <s v="Covered"/>
    <d v="2015-11-30T00:00:00"/>
    <m/>
    <s v="Focal NGO"/>
    <n v="0"/>
    <n v="0"/>
    <s v="No"/>
    <n v="0"/>
    <n v="0"/>
    <n v="0"/>
    <n v="2"/>
    <m/>
    <n v="0"/>
    <n v="0"/>
    <n v="0"/>
    <n v="0"/>
    <n v="0"/>
    <n v="0"/>
    <n v="0"/>
    <n v="0"/>
    <s v="0-10%"/>
    <n v="0"/>
    <n v="0"/>
    <s v="yes"/>
    <n v="5.98"/>
    <n v="0"/>
    <n v="0"/>
    <n v="0"/>
    <n v="0"/>
    <s v="Pond renovation, fencing and stairs"/>
    <n v="0"/>
    <n v="23"/>
    <n v="6"/>
    <s v="Share Household Latriens"/>
    <n v="9.2307692307692313E-2"/>
    <n v="138"/>
    <n v="9.2307692307692313E-2"/>
    <n v="138"/>
    <n v="0"/>
    <n v="0"/>
    <s v="n/a"/>
    <n v="0"/>
    <n v="0"/>
    <s v="n/a"/>
    <s v="n/a"/>
    <s v="n/a"/>
    <s v="n/a"/>
    <s v="n/a"/>
    <s v="n/a"/>
    <s v="n/a"/>
    <s v="n/a"/>
    <s v="n/a"/>
    <s v="n/a"/>
    <s v="n/a"/>
    <s v="n/a"/>
    <s v="25 HH's new permanent 4 ring latrines, particpatory approach"/>
    <s v="n/a"/>
    <m/>
    <m/>
    <s v="n/a"/>
    <m/>
    <m/>
    <s v="n/a"/>
    <s v="n/a"/>
    <s v="n/a"/>
    <s v="n/a"/>
    <m/>
    <n v="0"/>
    <n v="0"/>
    <m/>
    <s v="Excellent coverage"/>
    <s v="Not yet set up"/>
    <s v="n/a"/>
    <s v="Not yet set up"/>
    <s v="Not yet set up"/>
    <m/>
  </r>
  <r>
    <s v="Pauktaw"/>
    <m/>
    <m/>
    <s v="MMR012CMP016"/>
    <s v="A Nauk Ywe"/>
    <n v="92.985095000000001"/>
    <n v="20.108101999999999"/>
    <x v="1"/>
    <s v="Muslim"/>
    <x v="2"/>
    <n v="1154"/>
    <n v="4272"/>
    <n v="4272"/>
    <s v="Not affected"/>
    <s v="5. Massive"/>
    <s v="ECHO/UNICEF"/>
    <s v="LWF"/>
    <s v="SI"/>
    <s v="Covered"/>
    <d v="2016-05-31T00:00:00"/>
    <n v="0"/>
    <s v="Focal NGO"/>
    <n v="36"/>
    <n v="0"/>
    <s v="No"/>
    <n v="0"/>
    <n v="0"/>
    <n v="0"/>
    <n v="5"/>
    <m/>
    <n v="0"/>
    <n v="0"/>
    <n v="0.5617977528089888"/>
    <n v="2400"/>
    <n v="0"/>
    <n v="0"/>
    <n v="0.5617977528089888"/>
    <n v="2400"/>
    <s v="45-60%"/>
    <n v="0.5617977528089888"/>
    <n v="2400"/>
    <s v="yes"/>
    <n v="10.68"/>
    <n v="0"/>
    <n v="0"/>
    <n v="1"/>
    <n v="4272"/>
    <m/>
    <n v="0"/>
    <n v="130"/>
    <n v="20"/>
    <s v="Gender Separate, but not clearly perceived"/>
    <n v="0.60861423220973787"/>
    <n v="2600"/>
    <n v="0.60861423220973787"/>
    <n v="2600"/>
    <n v="0"/>
    <n v="0"/>
    <s v="75-100%"/>
    <n v="1"/>
    <n v="4272"/>
    <n v="83.6"/>
    <n v="0"/>
    <n v="0"/>
    <n v="0"/>
    <n v="762.85714285714289"/>
    <n v="0"/>
    <n v="0"/>
    <n v="0"/>
    <n v="0"/>
    <n v="42.72"/>
    <n v="1"/>
    <n v="4272"/>
    <m/>
    <d v="2014-08-26T00:00:00"/>
    <m/>
    <m/>
    <s v="To be done"/>
    <n v="1120"/>
    <n v="9"/>
    <n v="1154"/>
    <n v="0"/>
    <n v="0"/>
    <n v="4"/>
    <s v="HH visits and special events"/>
    <n v="9.7053726169844021E-2"/>
    <n v="414.61351819757368"/>
    <n v="7"/>
    <s v="Good coverage"/>
    <s v="Set up but low results "/>
    <s v="No"/>
    <s v="Set up but low results "/>
    <s v="Not yet planned"/>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ypology of beneficiaries">
  <location ref="B802:C807" firstHeaderRow="1" firstDataRow="1" firstDataCol="1" rowPageCount="2" colPageCount="1"/>
  <pivotFields count="111">
    <pivotField axis="axisPage" showAll="0">
      <items count="13">
        <item x="1"/>
        <item x="2"/>
        <item x="4"/>
        <item x="5"/>
        <item x="6"/>
        <item x="7"/>
        <item x="8"/>
        <item x="9"/>
        <item x="10"/>
        <item x="11"/>
        <item x="0"/>
        <item x="3"/>
        <item t="default"/>
      </items>
    </pivotField>
    <pivotField showAll="0" defaultSubtotal="0"/>
    <pivotField showAll="0" defaultSubtotal="0"/>
    <pivotField showAll="0" defaultSubtotal="0"/>
    <pivotField dataField="1" showAll="0"/>
    <pivotField showAll="0"/>
    <pivotField showAll="0"/>
    <pivotField showAll="0"/>
    <pivotField showAll="0"/>
    <pivotField axis="axisRow" showAll="0" sortType="ascending">
      <items count="10">
        <item x="2"/>
        <item h="1" m="1" x="7"/>
        <item h="1" x="5"/>
        <item h="1" m="1" x="6"/>
        <item h="1" m="1" x="8"/>
        <item x="1"/>
        <item h="1" x="0"/>
        <item x="3"/>
        <item x="4"/>
        <item t="default"/>
      </items>
    </pivotField>
    <pivotField showAll="0"/>
    <pivotField showAll="0"/>
    <pivotField numFmtId="1" showAll="0"/>
    <pivotField showAll="0" defaultSubtotal="0"/>
    <pivotField showAll="0"/>
    <pivotField showAll="0" defaultSubtota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umFmtId="9" showAll="0"/>
    <pivotField showAll="0"/>
    <pivotField numFmtId="9" showAll="0"/>
    <pivotField showAll="0"/>
    <pivotField numFmtId="9" showAll="0"/>
    <pivotField showAll="0"/>
    <pivotField showAll="0"/>
    <pivotField numFmtId="9" showAll="0"/>
    <pivotField showAll="0"/>
    <pivotField showAll="0" defaultSubtotal="0"/>
    <pivotField showAll="0"/>
    <pivotField showAll="0"/>
    <pivotField showAll="0"/>
    <pivotField showAll="0"/>
    <pivotField numFmtId="1" showAll="0"/>
    <pivotField showAll="0"/>
    <pivotField showAll="0" defaultSubtotal="0"/>
    <pivotField showAll="0" defaultSubtotal="0"/>
    <pivotField showAll="0" defaultSubtotal="0"/>
    <pivotField showAll="0" defaultSubtotal="0"/>
    <pivotField numFmtId="9" showAll="0"/>
    <pivotField numFmtId="1" showAll="0"/>
    <pivotField numFmtId="9" showAll="0"/>
    <pivotField showAll="0"/>
    <pivotField numFmtId="9"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5"/>
    </i>
    <i>
      <x v="7"/>
    </i>
    <i>
      <x v="8"/>
    </i>
    <i t="grand">
      <x/>
    </i>
  </rowItems>
  <colItems count="1">
    <i/>
  </colItems>
  <pageFields count="2">
    <pageField fld="0" hier="-1"/>
    <pageField fld="18" item="0" hier="-1"/>
  </pageFields>
  <dataFields count="1">
    <dataField name="Number of locations" fld="4" subtotal="count" baseField="7" baseItem="4"/>
  </dataFields>
  <formats count="17">
    <format dxfId="85">
      <pivotArea type="all" dataOnly="0" outline="0" fieldPosition="0"/>
    </format>
    <format dxfId="84">
      <pivotArea outline="0" collapsedLevelsAreSubtotals="1" fieldPosition="0"/>
    </format>
    <format dxfId="83">
      <pivotArea field="9" type="button" dataOnly="0" labelOnly="1" outline="0" axis="axisRow" fieldPosition="0"/>
    </format>
    <format dxfId="82">
      <pivotArea dataOnly="0" labelOnly="1" outline="0" axis="axisValues" fieldPosition="0"/>
    </format>
    <format dxfId="81">
      <pivotArea dataOnly="0" labelOnly="1" fieldPosition="0">
        <references count="1">
          <reference field="9" count="0"/>
        </references>
      </pivotArea>
    </format>
    <format dxfId="80">
      <pivotArea dataOnly="0" labelOnly="1" grandRow="1" outline="0" fieldPosition="0"/>
    </format>
    <format dxfId="79">
      <pivotArea outline="0" collapsedLevelsAreSubtotals="1" fieldPosition="0"/>
    </format>
    <format dxfId="78">
      <pivotArea type="all" dataOnly="0" outline="0" fieldPosition="0"/>
    </format>
    <format dxfId="77">
      <pivotArea outline="0" collapsedLevelsAreSubtotals="1" fieldPosition="0"/>
    </format>
    <format dxfId="76">
      <pivotArea field="9" type="button" dataOnly="0" labelOnly="1" outline="0" axis="axisRow" fieldPosition="0"/>
    </format>
    <format dxfId="75">
      <pivotArea dataOnly="0" labelOnly="1" outline="0" axis="axisValues" fieldPosition="0"/>
    </format>
    <format dxfId="74">
      <pivotArea collapsedLevelsAreSubtotals="1" fieldPosition="0">
        <references count="1">
          <reference field="9" count="0"/>
        </references>
      </pivotArea>
    </format>
    <format dxfId="73">
      <pivotArea dataOnly="0" labelOnly="1" fieldPosition="0">
        <references count="1">
          <reference field="9" count="0"/>
        </references>
      </pivotArea>
    </format>
    <format dxfId="72">
      <pivotArea grandRow="1" outline="0" collapsedLevelsAreSubtotals="1" fieldPosition="0"/>
    </format>
    <format dxfId="71">
      <pivotArea dataOnly="0" labelOnly="1" grandRow="1" outline="0" fieldPosition="0"/>
    </format>
    <format dxfId="70">
      <pivotArea outline="0" collapsedLevelsAreSubtotals="1" fieldPosition="0"/>
    </format>
    <format dxfId="69">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9" count="1" selected="0">
            <x v="0"/>
          </reference>
        </references>
      </pivotArea>
    </chartFormat>
    <chartFormat chart="8" format="2">
      <pivotArea type="data" outline="0" fieldPosition="0">
        <references count="2">
          <reference field="4294967294" count="1" selected="0">
            <x v="0"/>
          </reference>
          <reference field="9" count="1" selected="0">
            <x v="5"/>
          </reference>
        </references>
      </pivotArea>
    </chartFormat>
    <chartFormat chart="8" format="3">
      <pivotArea type="data" outline="0" fieldPosition="0">
        <references count="2">
          <reference field="4294967294" count="1" selected="0">
            <x v="0"/>
          </reference>
          <reference field="9" count="1" selected="0">
            <x v="7"/>
          </reference>
        </references>
      </pivotArea>
    </chartFormat>
    <chartFormat chart="8" format="4">
      <pivotArea type="data" outline="0" fieldPosition="0">
        <references count="2">
          <reference field="4294967294" count="1" selected="0">
            <x v="0"/>
          </reference>
          <reference field="9"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2"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43">
  <location ref="B789:D795" firstHeaderRow="1"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dataField="1"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Page" compact="0" outline="0" multipleItemSelectionAllowed="1" showAll="0" defaultSubtotal="0">
      <items count="3">
        <item x="0"/>
        <item h="1" x="1"/>
        <item h="1"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18" hier="-1"/>
  </pageFields>
  <dataFields count="2">
    <dataField name="% of pop" fld="12" showDataAs="percentOfTotal" baseField="0" baseItem="0" numFmtId="9"/>
    <dataField name="Count of Site" fld="4" subtotal="count" baseField="0" baseItem="0" numFmtId="166"/>
  </dataFields>
  <formats count="12">
    <format dxfId="196">
      <pivotArea type="all" dataOnly="0" outline="0" fieldPosition="0"/>
    </format>
    <format dxfId="195">
      <pivotArea type="all" dataOnly="0" outline="0" fieldPosition="0"/>
    </format>
    <format dxfId="194">
      <pivotArea type="all" dataOnly="0" outline="0" fieldPosition="0"/>
    </format>
    <format dxfId="193">
      <pivotArea outline="0" fieldPosition="0"/>
    </format>
    <format dxfId="192">
      <pivotArea dataOnly="0" labelOnly="1" outline="0" fieldPosition="0">
        <references count="1">
          <reference field="7" count="0"/>
        </references>
      </pivotArea>
    </format>
    <format dxfId="191">
      <pivotArea type="topRight" dataOnly="0" labelOnly="1" outline="0" fieldPosition="0"/>
    </format>
    <format dxfId="190">
      <pivotArea outline="0" collapsedLevelsAreSubtotals="1" fieldPosition="0"/>
    </format>
    <format dxfId="189">
      <pivotArea outline="0" collapsedLevelsAreSubtotals="1" fieldPosition="0"/>
    </format>
    <format dxfId="188">
      <pivotArea dataOnly="0" labelOnly="1" outline="0" fieldPosition="0">
        <references count="1">
          <reference field="18" count="0"/>
        </references>
      </pivotArea>
    </format>
    <format dxfId="187">
      <pivotArea dataOnly="0" labelOnly="1" grandCol="1" outline="0" fieldPosition="0"/>
    </format>
    <format dxfId="186">
      <pivotArea outline="0" fieldPosition="0">
        <references count="1">
          <reference field="4294967294" count="1">
            <x v="0"/>
          </reference>
        </references>
      </pivotArea>
    </format>
    <format dxfId="185">
      <pivotArea outline="0" collapsedLevelsAreSubtotals="1" fieldPosition="0">
        <references count="1">
          <reference field="4294967294" count="1" selected="0">
            <x v="0"/>
          </reference>
        </references>
      </pivotArea>
    </format>
  </formats>
  <chartFormats count="38">
    <chartFormat chart="40" format="37" series="1">
      <pivotArea type="data" outline="0" fieldPosition="0">
        <references count="2">
          <reference field="4294967294" count="1" selected="0">
            <x v="0"/>
          </reference>
          <reference field="18" count="1" selected="0">
            <x v="0"/>
          </reference>
        </references>
      </pivotArea>
    </chartFormat>
    <chartFormat chart="44" format="57" series="1">
      <pivotArea type="data" outline="0" fieldPosition="0">
        <references count="2">
          <reference field="4294967294" count="1" selected="0">
            <x v="0"/>
          </reference>
          <reference field="18" count="1" selected="0">
            <x v="0"/>
          </reference>
        </references>
      </pivotArea>
    </chartFormat>
    <chartFormat chart="60" format="1" series="1">
      <pivotArea type="data" outline="0" fieldPosition="0">
        <references count="2">
          <reference field="4294967294" count="1" selected="0">
            <x v="0"/>
          </reference>
          <reference field="18" count="1" selected="0">
            <x v="0"/>
          </reference>
        </references>
      </pivotArea>
    </chartFormat>
    <chartFormat chart="44" format="59" series="1">
      <pivotArea type="data" outline="0" fieldPosition="0">
        <references count="1">
          <reference field="4294967294" count="1" selected="0">
            <x v="0"/>
          </reference>
        </references>
      </pivotArea>
    </chartFormat>
    <chartFormat chart="82" format="1" series="1">
      <pivotArea type="data" outline="0" fieldPosition="0">
        <references count="1">
          <reference field="4294967294" count="1" selected="0">
            <x v="0"/>
          </reference>
        </references>
      </pivotArea>
    </chartFormat>
    <chartFormat chart="82" format="2" series="1">
      <pivotArea type="data" outline="0" fieldPosition="0">
        <references count="2">
          <reference field="4294967294" count="1" selected="0">
            <x v="0"/>
          </reference>
          <reference field="18" count="1" selected="0">
            <x v="0"/>
          </reference>
        </references>
      </pivotArea>
    </chartFormat>
    <chartFormat chart="82" format="3" series="1">
      <pivotArea type="data" outline="0" fieldPosition="0">
        <references count="2">
          <reference field="4294967294" count="1" selected="0">
            <x v="0"/>
          </reference>
          <reference field="18" count="1" selected="0">
            <x v="1"/>
          </reference>
        </references>
      </pivotArea>
    </chartFormat>
    <chartFormat chart="44" format="60" series="1">
      <pivotArea type="data" outline="0" fieldPosition="0">
        <references count="2">
          <reference field="4294967294" count="1" selected="0">
            <x v="0"/>
          </reference>
          <reference field="18" count="1" selected="0">
            <x v="1"/>
          </reference>
        </references>
      </pivotArea>
    </chartFormat>
    <chartFormat chart="44" format="63" series="1">
      <pivotArea type="data" outline="0" fieldPosition="0">
        <references count="2">
          <reference field="4294967294" count="1" selected="0">
            <x v="0"/>
          </reference>
          <reference field="9" count="1" selected="0">
            <x v="5"/>
          </reference>
        </references>
      </pivotArea>
    </chartFormat>
    <chartFormat chart="44" format="64" series="1">
      <pivotArea type="data" outline="0" fieldPosition="0">
        <references count="2">
          <reference field="4294967294" count="1" selected="0">
            <x v="0"/>
          </reference>
          <reference field="9" count="1" selected="0">
            <x v="7"/>
          </reference>
        </references>
      </pivotArea>
    </chartFormat>
    <chartFormat chart="44" format="65" series="1">
      <pivotArea type="data" outline="0" fieldPosition="0">
        <references count="2">
          <reference field="4294967294" count="1" selected="0">
            <x v="0"/>
          </reference>
          <reference field="9" count="1" selected="0">
            <x v="0"/>
          </reference>
        </references>
      </pivotArea>
    </chartFormat>
    <chartFormat chart="44" format="66" series="1">
      <pivotArea type="data" outline="0" fieldPosition="0">
        <references count="2">
          <reference field="4294967294" count="1" selected="0">
            <x v="0"/>
          </reference>
          <reference field="9" count="1" selected="0">
            <x v="8"/>
          </reference>
        </references>
      </pivotArea>
    </chartFormat>
    <chartFormat chart="117" format="0" series="1">
      <pivotArea type="data" outline="0" fieldPosition="0">
        <references count="1">
          <reference field="4294967294" count="1" selected="0">
            <x v="0"/>
          </reference>
        </references>
      </pivotArea>
    </chartFormat>
    <chartFormat chart="122" format="0" series="1">
      <pivotArea type="data" outline="0" fieldPosition="0">
        <references count="1">
          <reference field="4294967294" count="1" selected="0">
            <x v="0"/>
          </reference>
        </references>
      </pivotArea>
    </chartFormat>
    <chartFormat chart="122" format="1" series="1">
      <pivotArea type="data" outline="0" fieldPosition="0">
        <references count="1">
          <reference field="4294967294" count="1" selected="0">
            <x v="1"/>
          </reference>
        </references>
      </pivotArea>
    </chartFormat>
    <chartFormat chart="121" format="11" series="1">
      <pivotArea type="data" outline="0" fieldPosition="0">
        <references count="1">
          <reference field="4294967294" count="1" selected="0">
            <x v="1"/>
          </reference>
        </references>
      </pivotArea>
    </chartFormat>
    <chartFormat chart="121" format="12" series="1">
      <pivotArea type="data" outline="0" fieldPosition="0">
        <references count="1">
          <reference field="4294967294" count="1" selected="0">
            <x v="0"/>
          </reference>
        </references>
      </pivotArea>
    </chartFormat>
    <chartFormat chart="120" format="6" series="1">
      <pivotArea type="data" outline="0" fieldPosition="0">
        <references count="1">
          <reference field="4294967294" count="1" selected="0">
            <x v="1"/>
          </reference>
        </references>
      </pivotArea>
    </chartFormat>
    <chartFormat chart="120" format="7" series="1">
      <pivotArea type="data" outline="0" fieldPosition="0">
        <references count="1">
          <reference field="4294967294" count="1" selected="0">
            <x v="0"/>
          </reference>
        </references>
      </pivotArea>
    </chartFormat>
    <chartFormat chart="44" format="67" series="1">
      <pivotArea type="data" outline="0" fieldPosition="0">
        <references count="1">
          <reference field="4294967294" count="1" selected="0">
            <x v="1"/>
          </reference>
        </references>
      </pivotArea>
    </chartFormat>
    <chartFormat chart="134" format="0" series="1">
      <pivotArea type="data" outline="0" fieldPosition="0">
        <references count="1">
          <reference field="4294967294" count="1" selected="0">
            <x v="0"/>
          </reference>
        </references>
      </pivotArea>
    </chartFormat>
    <chartFormat chart="134" format="1" series="1">
      <pivotArea type="data" outline="0" fieldPosition="0">
        <references count="1">
          <reference field="4294967294" count="1" selected="0">
            <x v="1"/>
          </reference>
        </references>
      </pivotArea>
    </chartFormat>
    <chartFormat chart="134" format="2">
      <pivotArea type="data" outline="0" fieldPosition="0">
        <references count="2">
          <reference field="4294967294" count="1" selected="0">
            <x v="0"/>
          </reference>
          <reference field="9" count="1" selected="0">
            <x v="0"/>
          </reference>
        </references>
      </pivotArea>
    </chartFormat>
    <chartFormat chart="134" format="3">
      <pivotArea type="data" outline="0" fieldPosition="0">
        <references count="2">
          <reference field="4294967294" count="1" selected="0">
            <x v="0"/>
          </reference>
          <reference field="9" count="1" selected="0">
            <x v="5"/>
          </reference>
        </references>
      </pivotArea>
    </chartFormat>
    <chartFormat chart="134" format="4">
      <pivotArea type="data" outline="0" fieldPosition="0">
        <references count="2">
          <reference field="4294967294" count="1" selected="0">
            <x v="0"/>
          </reference>
          <reference field="9" count="1" selected="0">
            <x v="7"/>
          </reference>
        </references>
      </pivotArea>
    </chartFormat>
    <chartFormat chart="134" format="5">
      <pivotArea type="data" outline="0" fieldPosition="0">
        <references count="2">
          <reference field="4294967294" count="1" selected="0">
            <x v="0"/>
          </reference>
          <reference field="9" count="1" selected="0">
            <x v="8"/>
          </reference>
        </references>
      </pivotArea>
    </chartFormat>
    <chartFormat chart="134" format="6">
      <pivotArea type="data" outline="0" fieldPosition="0">
        <references count="2">
          <reference field="4294967294" count="1" selected="0">
            <x v="1"/>
          </reference>
          <reference field="9" count="1" selected="0">
            <x v="0"/>
          </reference>
        </references>
      </pivotArea>
    </chartFormat>
    <chartFormat chart="134" format="7">
      <pivotArea type="data" outline="0" fieldPosition="0">
        <references count="2">
          <reference field="4294967294" count="1" selected="0">
            <x v="1"/>
          </reference>
          <reference field="9" count="1" selected="0">
            <x v="5"/>
          </reference>
        </references>
      </pivotArea>
    </chartFormat>
    <chartFormat chart="134" format="8">
      <pivotArea type="data" outline="0" fieldPosition="0">
        <references count="2">
          <reference field="4294967294" count="1" selected="0">
            <x v="1"/>
          </reference>
          <reference field="9" count="1" selected="0">
            <x v="7"/>
          </reference>
        </references>
      </pivotArea>
    </chartFormat>
    <chartFormat chart="134" format="9">
      <pivotArea type="data" outline="0" fieldPosition="0">
        <references count="2">
          <reference field="4294967294" count="1" selected="0">
            <x v="1"/>
          </reference>
          <reference field="9" count="1" selected="0">
            <x v="8"/>
          </reference>
        </references>
      </pivotArea>
    </chartFormat>
    <chartFormat chart="44" format="68">
      <pivotArea type="data" outline="0" fieldPosition="0">
        <references count="2">
          <reference field="4294967294" count="1" selected="0">
            <x v="0"/>
          </reference>
          <reference field="9" count="1" selected="0">
            <x v="0"/>
          </reference>
        </references>
      </pivotArea>
    </chartFormat>
    <chartFormat chart="44" format="69">
      <pivotArea type="data" outline="0" fieldPosition="0">
        <references count="2">
          <reference field="4294967294" count="1" selected="0">
            <x v="0"/>
          </reference>
          <reference field="9" count="1" selected="0">
            <x v="5"/>
          </reference>
        </references>
      </pivotArea>
    </chartFormat>
    <chartFormat chart="44" format="70">
      <pivotArea type="data" outline="0" fieldPosition="0">
        <references count="2">
          <reference field="4294967294" count="1" selected="0">
            <x v="0"/>
          </reference>
          <reference field="9" count="1" selected="0">
            <x v="7"/>
          </reference>
        </references>
      </pivotArea>
    </chartFormat>
    <chartFormat chart="44" format="71">
      <pivotArea type="data" outline="0" fieldPosition="0">
        <references count="2">
          <reference field="4294967294" count="1" selected="0">
            <x v="0"/>
          </reference>
          <reference field="9" count="1" selected="0">
            <x v="8"/>
          </reference>
        </references>
      </pivotArea>
    </chartFormat>
    <chartFormat chart="44" format="72">
      <pivotArea type="data" outline="0" fieldPosition="0">
        <references count="2">
          <reference field="4294967294" count="1" selected="0">
            <x v="1"/>
          </reference>
          <reference field="9" count="1" selected="0">
            <x v="0"/>
          </reference>
        </references>
      </pivotArea>
    </chartFormat>
    <chartFormat chart="44" format="73">
      <pivotArea type="data" outline="0" fieldPosition="0">
        <references count="2">
          <reference field="4294967294" count="1" selected="0">
            <x v="1"/>
          </reference>
          <reference field="9" count="1" selected="0">
            <x v="5"/>
          </reference>
        </references>
      </pivotArea>
    </chartFormat>
    <chartFormat chart="44" format="74">
      <pivotArea type="data" outline="0" fieldPosition="0">
        <references count="2">
          <reference field="4294967294" count="1" selected="0">
            <x v="1"/>
          </reference>
          <reference field="9" count="1" selected="0">
            <x v="7"/>
          </reference>
        </references>
      </pivotArea>
    </chartFormat>
    <chartFormat chart="44" format="75">
      <pivotArea type="data" outline="0" fieldPosition="0">
        <references count="2">
          <reference field="4294967294" count="1" selected="0">
            <x v="1"/>
          </reference>
          <reference field="9" count="1" selected="0">
            <x v="8"/>
          </reference>
        </references>
      </pivotArea>
    </chartFormat>
  </chartFormats>
  <pivotTableStyleInfo name="PivotStyleLight22" showRowHeaders="1" showColHeaders="1" showRowStripes="0" showColStripes="0" showLastColumn="1"/>
</pivotTableDefinition>
</file>

<file path=xl/pivotTables/pivotTable11.xml><?xml version="1.0" encoding="utf-8"?>
<pivotTableDefinition xmlns="http://schemas.openxmlformats.org/spreadsheetml/2006/main" name="PivotTable20" cacheId="0"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6">
  <location ref="B703:D712" firstHeaderRow="1" firstDataRow="2" firstDataCol="1" rowPageCount="3" colPageCount="1"/>
  <pivotFields count="111">
    <pivotField axis="axisRow" compact="0" numFmtId="166" outline="0" subtotalTop="0"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Col" compact="0" numFmtId="166" outline="0" subtotalTop="0" multipleItemSelectionAllowed="1" showAll="0" includeNewItemsInFilter="1">
      <items count="3">
        <item x="1"/>
        <item x="0"/>
        <item t="default"/>
      </items>
    </pivotField>
    <pivotField axis="axisPage" compact="0" numFmtId="166" outline="0" subtotalTop="0" showAll="0" includeNewItemsInFilter="1">
      <items count="9">
        <item x="7"/>
        <item x="0"/>
        <item x="5"/>
        <item x="2"/>
        <item x="3"/>
        <item x="4"/>
        <item x="1"/>
        <item x="6"/>
        <item t="default"/>
      </items>
    </pivotField>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Page" dataField="1" compact="0" outline="0" multipleItemSelectionAllowed="1" showAll="0" defaultSubtotal="0">
      <items count="3">
        <item x="0"/>
        <item h="1" x="1"/>
        <item h="1"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8">
    <i>
      <x/>
    </i>
    <i>
      <x v="1"/>
    </i>
    <i>
      <x v="4"/>
    </i>
    <i>
      <x v="5"/>
    </i>
    <i>
      <x v="6"/>
    </i>
    <i>
      <x v="7"/>
    </i>
    <i>
      <x v="8"/>
    </i>
    <i t="grand">
      <x/>
    </i>
  </rowItems>
  <colFields count="1">
    <field x="7"/>
  </colFields>
  <colItems count="2">
    <i>
      <x/>
    </i>
    <i>
      <x v="1"/>
    </i>
  </colItems>
  <pageFields count="3">
    <pageField fld="9" hier="-1"/>
    <pageField fld="8" hier="-1"/>
    <pageField fld="18" hier="-1"/>
  </pageFields>
  <dataFields count="1">
    <dataField name="Count of Location Coverage" fld="18" subtotal="count" baseField="0" baseItem="0" numFmtId="1"/>
  </dataFields>
  <formats count="8">
    <format dxfId="204">
      <pivotArea type="all" dataOnly="0" outline="0" fieldPosition="0"/>
    </format>
    <format dxfId="203">
      <pivotArea type="all" dataOnly="0" outline="0" fieldPosition="0"/>
    </format>
    <format dxfId="202">
      <pivotArea type="all" dataOnly="0" outline="0" fieldPosition="0"/>
    </format>
    <format dxfId="201">
      <pivotArea outline="0" fieldPosition="0"/>
    </format>
    <format dxfId="200">
      <pivotArea type="topRight" dataOnly="0" labelOnly="1" outline="0" fieldPosition="0"/>
    </format>
    <format dxfId="199">
      <pivotArea outline="0" collapsedLevelsAreSubtotals="1" fieldPosition="0"/>
    </format>
    <format dxfId="198">
      <pivotArea outline="0" collapsedLevelsAreSubtotals="1" fieldPosition="0"/>
    </format>
    <format dxfId="197">
      <pivotArea dataOnly="0" labelOnly="1" grandCol="1" outline="0" fieldPosition="0"/>
    </format>
  </formats>
  <chartFormats count="3">
    <chartFormat chart="36" format="2" series="1">
      <pivotArea type="data" outline="0" fieldPosition="0">
        <references count="1">
          <reference field="4294967294" count="1" selected="0">
            <x v="0"/>
          </reference>
        </references>
      </pivotArea>
    </chartFormat>
    <chartFormat chart="36" format="5" series="1">
      <pivotArea type="data" outline="0" fieldPosition="0">
        <references count="2">
          <reference field="4294967294" count="1" selected="0">
            <x v="0"/>
          </reference>
          <reference field="7" count="1" selected="0">
            <x v="1"/>
          </reference>
        </references>
      </pivotArea>
    </chartFormat>
    <chartFormat chart="36" format="6" series="1">
      <pivotArea type="data" outline="0" fieldPosition="0">
        <references count="2">
          <reference field="4294967294" count="1" selected="0">
            <x v="0"/>
          </reference>
          <reference field="7" count="1" selected="0">
            <x v="0"/>
          </reference>
        </references>
      </pivotArea>
    </chartFormat>
  </chartFormats>
  <pivotTableStyleInfo name="PivotStyleLight22" showRowHeaders="1" showColHeaders="1" showRowStripes="0" showColStripes="0" showLastColumn="1"/>
</pivotTableDefinition>
</file>

<file path=xl/pivotTables/pivotTable12.xml><?xml version="1.0" encoding="utf-8"?>
<pivotTableDefinition xmlns="http://schemas.openxmlformats.org/spreadsheetml/2006/main" name="PivotTable5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12" rowHeaderCaption="Population Type">
  <location ref="B77:E84" firstHeaderRow="1" firstDataRow="2" firstDataCol="1" rowPageCount="2" colPageCount="1"/>
  <pivotFields count="111">
    <pivotField axis="axisPage" numFmtId="166" multipleItemSelectionAllowed="1" showAll="0">
      <items count="13">
        <item x="1"/>
        <item x="2"/>
        <item x="4"/>
        <item x="5"/>
        <item x="6"/>
        <item x="7"/>
        <item x="9"/>
        <item x="10"/>
        <item x="11"/>
        <item h="1" x="8"/>
        <item h="1" x="0"/>
        <item h="1"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h="1" x="0"/>
        <item t="default"/>
      </items>
    </pivotField>
    <pivotField numFmtId="166" showAll="0">
      <items count="9">
        <item x="0"/>
        <item x="2"/>
        <item x="7"/>
        <item x="5"/>
        <item x="3"/>
        <item x="4"/>
        <item x="1"/>
        <item x="6"/>
        <item t="default"/>
      </items>
    </pivotField>
    <pivotField numFmtId="166" multipleItemSelectionAllowed="1" showAll="0" defaultSubtotal="0"/>
    <pivotField numFmtId="1" showAll="0" defaultSubtotal="0"/>
    <pivotField numFmtId="166" showAll="0" defaultSubtotal="0"/>
    <pivotField numFmtId="166" showAll="0"/>
    <pivotField showAll="0" defaultSubtotal="0"/>
    <pivotField axis="axisRow" numFmtId="166" showAll="0" defaultSubtotal="0">
      <items count="5">
        <item x="0"/>
        <item x="2"/>
        <item x="1"/>
        <item x="3"/>
        <item x="4"/>
      </items>
    </pivotField>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
  </rowFields>
  <rowItems count="6">
    <i>
      <x/>
    </i>
    <i>
      <x v="1"/>
    </i>
    <i>
      <x v="2"/>
    </i>
    <i>
      <x v="3"/>
    </i>
    <i>
      <x v="4"/>
    </i>
    <i t="grand">
      <x/>
    </i>
  </rowItems>
  <colFields count="1">
    <field x="-2"/>
  </colFields>
  <colItems count="3">
    <i>
      <x/>
    </i>
    <i i="1">
      <x v="1"/>
    </i>
    <i i="2">
      <x v="2"/>
    </i>
  </colItems>
  <pageFields count="2">
    <pageField fld="0" hier="-1"/>
    <pageField fld="7" hier="-1"/>
  </pageFields>
  <dataFields count="3">
    <dataField name="Water coverage %" fld="95" baseField="11" baseItem="0" numFmtId="9"/>
    <dataField name="Latrines coverage %" fld="94" baseField="0" baseItem="0" numFmtId="166"/>
    <dataField name="Bathroom coverage %" fld="96" baseField="0" baseItem="0" numFmtId="9"/>
  </dataFields>
  <formats count="28">
    <format dxfId="232">
      <pivotArea grandRow="1" outline="0" fieldPosition="0"/>
    </format>
    <format dxfId="231">
      <pivotArea outline="0" collapsedLevelsAreSubtotals="1" fieldPosition="0"/>
    </format>
    <format dxfId="230">
      <pivotArea type="all" dataOnly="0" outline="0" fieldPosition="0"/>
    </format>
    <format dxfId="229">
      <pivotArea outline="0" collapsedLevelsAreSubtotals="1" fieldPosition="0"/>
    </format>
    <format dxfId="228">
      <pivotArea dataOnly="0" labelOnly="1" grandRow="1" outline="0" fieldPosition="0"/>
    </format>
    <format dxfId="227">
      <pivotArea outline="0" collapsedLevelsAreSubtotals="1" fieldPosition="0"/>
    </format>
    <format dxfId="226">
      <pivotArea field="8" type="button" dataOnly="0" labelOnly="1" outline="0"/>
    </format>
    <format dxfId="225">
      <pivotArea dataOnly="0" labelOnly="1" grandRow="1" outline="0" fieldPosition="0"/>
    </format>
    <format dxfId="224">
      <pivotArea field="8" type="button" dataOnly="0" labelOnly="1" outline="0"/>
    </format>
    <format dxfId="223">
      <pivotArea dataOnly="0" labelOnly="1" grandRow="1" outline="0" fieldPosition="0"/>
    </format>
    <format dxfId="222">
      <pivotArea outline="0" collapsedLevelsAreSubtotals="1" fieldPosition="0"/>
    </format>
    <format dxfId="221">
      <pivotArea field="8" grandRow="1" outline="0" collapsedLevelsAreSubtotals="1">
        <references count="1">
          <reference field="4294967294" count="1" selected="0">
            <x v="1"/>
          </reference>
        </references>
      </pivotArea>
    </format>
    <format dxfId="220">
      <pivotArea outline="0" collapsedLevelsAreSubtotals="1" fieldPosition="0">
        <references count="1">
          <reference field="4294967294" count="1" selected="0">
            <x v="0"/>
          </reference>
        </references>
      </pivotArea>
    </format>
    <format dxfId="219">
      <pivotArea outline="0" fieldPosition="0">
        <references count="1">
          <reference field="4294967294" count="1">
            <x v="2"/>
          </reference>
        </references>
      </pivotArea>
    </format>
    <format dxfId="218">
      <pivotArea field="8" type="button" dataOnly="0" labelOnly="1" outline="0"/>
    </format>
    <format dxfId="217">
      <pivotArea dataOnly="0" labelOnly="1" outline="0" fieldPosition="0">
        <references count="1">
          <reference field="4294967294" count="3">
            <x v="0"/>
            <x v="1"/>
            <x v="2"/>
          </reference>
        </references>
      </pivotArea>
    </format>
    <format dxfId="216">
      <pivotArea outline="0" collapsedLevelsAreSubtotals="1" fieldPosition="0"/>
    </format>
    <format dxfId="215">
      <pivotArea dataOnly="0" labelOnly="1" outline="0" fieldPosition="0">
        <references count="1">
          <reference field="4294967294" count="3">
            <x v="0"/>
            <x v="1"/>
            <x v="2"/>
          </reference>
        </references>
      </pivotArea>
    </format>
    <format dxfId="214">
      <pivotArea field="8" type="button" dataOnly="0" labelOnly="1" outline="0"/>
    </format>
    <format dxfId="213">
      <pivotArea dataOnly="0" labelOnly="1" grandRow="1" outline="0" fieldPosition="0"/>
    </format>
    <format dxfId="212">
      <pivotArea outline="0" collapsedLevelsAreSubtotals="1" fieldPosition="0">
        <references count="1">
          <reference field="4294967294" count="1" selected="0">
            <x v="2"/>
          </reference>
        </references>
      </pivotArea>
    </format>
    <format dxfId="211">
      <pivotArea type="all" dataOnly="0" outline="0" fieldPosition="0"/>
    </format>
    <format dxfId="210">
      <pivotArea outline="0" collapsedLevelsAreSubtotals="1" fieldPosition="0"/>
    </format>
    <format dxfId="209">
      <pivotArea dataOnly="0" labelOnly="1" fieldPosition="0">
        <references count="1">
          <reference field="14" count="0"/>
        </references>
      </pivotArea>
    </format>
    <format dxfId="208">
      <pivotArea dataOnly="0" labelOnly="1" grandRow="1" outline="0" fieldPosition="0"/>
    </format>
    <format dxfId="207">
      <pivotArea dataOnly="0" labelOnly="1" outline="0" fieldPosition="0">
        <references count="1">
          <reference field="4294967294" count="3">
            <x v="0"/>
            <x v="1"/>
            <x v="2"/>
          </reference>
        </references>
      </pivotArea>
    </format>
    <format dxfId="206">
      <pivotArea field="14" type="button" dataOnly="0" labelOnly="1" outline="0" axis="axisRow" fieldPosition="0"/>
    </format>
    <format dxfId="205">
      <pivotArea collapsedLevelsAreSubtotals="1" fieldPosition="0">
        <references count="2">
          <reference field="4294967294" count="1" selected="0">
            <x v="1"/>
          </reference>
          <reference field="14" count="0"/>
        </references>
      </pivotArea>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3.xml><?xml version="1.0" encoding="utf-8"?>
<pivotTableDefinition xmlns="http://schemas.openxmlformats.org/spreadsheetml/2006/main" name="PivotTable12"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597:H646" firstHeaderRow="1" firstDataRow="2" firstDataCol="3" rowPageCount="1" colPageCount="1"/>
  <pivotFields count="111">
    <pivotField axis="axisRow" compact="0" numFmtId="166" outline="0" subtotalTop="0" showAll="0" includeNewItemsInFilter="1" sortType="ascending">
      <items count="13">
        <item x="0"/>
        <item x="1"/>
        <item x="2"/>
        <item x="3"/>
        <item x="4"/>
        <item x="5"/>
        <item x="6"/>
        <item x="7"/>
        <item x="8"/>
        <item x="9"/>
        <item x="10"/>
        <item x="11"/>
        <item t="default"/>
      </items>
    </pivotField>
    <pivotField compact="0" outline="0" showAll="0" defaultSubtotal="0"/>
    <pivotField compact="0" outline="0" showAll="0" defaultSubtotal="0"/>
    <pivotField compact="0" outline="0" showAll="0" defaultSubtotal="0"/>
    <pivotField dataField="1" compact="0" numFmtId="166" outline="0" subtotalTop="0" showAll="0" includeNewItemsInFilter="1"/>
    <pivotField compact="0" numFmtId="166" outline="0" showAll="0" defaultSubtotal="0"/>
    <pivotField compact="0" numFmtId="166" outline="0" showAll="0" defaultSubtotal="0"/>
    <pivotField axis="axisRow" compact="0" numFmtId="166" outline="0" subtotalTop="0" multipleItemSelectionAllowed="1" showAll="0" includeNewItemsInFilter="1">
      <items count="3">
        <item x="1"/>
        <item x="0"/>
        <item t="default"/>
      </items>
    </pivotField>
    <pivotField compact="0" numFmtId="166" outline="0" subtotalTop="0" multipleItemSelectionAllowed="1" showAll="0" includeNewItemsInFilter="1"/>
    <pivotField axis="axisPage" compact="0" numFmtId="166" outline="0" multipleItemSelectionAllowed="1" showAll="0" defaultSubtotal="0">
      <items count="9">
        <item h="1" m="1" x="7"/>
        <item m="1" x="6"/>
        <item h="1"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axis="axisRow" compact="0" outline="0" showAll="0" defaultSubtotal="0">
      <items count="10">
        <item x="9"/>
        <item x="6"/>
        <item x="8"/>
        <item x="2"/>
        <item x="4"/>
        <item x="7"/>
        <item x="5"/>
        <item x="1"/>
        <item x="3"/>
        <item x="0"/>
      </items>
    </pivotField>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17"/>
    <field x="7"/>
    <field x="0"/>
  </rowFields>
  <rowItems count="48">
    <i>
      <x/>
      <x/>
      <x v="11"/>
    </i>
    <i t="default" r="1">
      <x/>
    </i>
    <i>
      <x v="1"/>
      <x/>
      <x v="7"/>
    </i>
    <i r="2">
      <x v="11"/>
    </i>
    <i t="default" r="1">
      <x/>
    </i>
    <i r="1">
      <x v="1"/>
      <x v="7"/>
    </i>
    <i r="2">
      <x v="11"/>
    </i>
    <i t="default" r="1">
      <x v="1"/>
    </i>
    <i>
      <x v="2"/>
      <x/>
      <x v="10"/>
    </i>
    <i t="default" r="1">
      <x/>
    </i>
    <i r="1">
      <x v="1"/>
      <x v="10"/>
    </i>
    <i t="default" r="1">
      <x v="1"/>
    </i>
    <i>
      <x v="3"/>
      <x/>
      <x v="1"/>
    </i>
    <i r="2">
      <x v="9"/>
    </i>
    <i r="2">
      <x v="11"/>
    </i>
    <i t="default" r="1">
      <x/>
    </i>
    <i r="1">
      <x v="1"/>
      <x v="1"/>
    </i>
    <i r="2">
      <x v="2"/>
    </i>
    <i r="2">
      <x v="9"/>
    </i>
    <i r="2">
      <x v="11"/>
    </i>
    <i t="default" r="1">
      <x v="1"/>
    </i>
    <i>
      <x v="4"/>
      <x/>
      <x v="6"/>
    </i>
    <i t="default" r="1">
      <x/>
    </i>
    <i r="1">
      <x v="1"/>
      <x v="6"/>
    </i>
    <i t="default" r="1">
      <x v="1"/>
    </i>
    <i>
      <x v="5"/>
      <x/>
      <x v="7"/>
    </i>
    <i r="2">
      <x v="11"/>
    </i>
    <i t="default" r="1">
      <x/>
    </i>
    <i r="1">
      <x v="1"/>
      <x v="7"/>
    </i>
    <i r="2">
      <x v="11"/>
    </i>
    <i t="default" r="1">
      <x v="1"/>
    </i>
    <i>
      <x v="6"/>
      <x/>
      <x v="7"/>
    </i>
    <i r="2">
      <x v="10"/>
    </i>
    <i r="2">
      <x v="11"/>
    </i>
    <i t="default" r="1">
      <x/>
    </i>
    <i r="1">
      <x v="1"/>
      <x v="7"/>
    </i>
    <i r="2">
      <x v="11"/>
    </i>
    <i t="default" r="1">
      <x v="1"/>
    </i>
    <i>
      <x v="7"/>
      <x v="1"/>
      <x v="11"/>
    </i>
    <i t="default" r="1">
      <x v="1"/>
    </i>
    <i>
      <x v="8"/>
      <x/>
      <x v="7"/>
    </i>
    <i t="default" r="1">
      <x/>
    </i>
    <i r="1">
      <x v="1"/>
      <x v="2"/>
    </i>
    <i r="2">
      <x v="5"/>
    </i>
    <i r="2">
      <x v="10"/>
    </i>
    <i r="2">
      <x v="11"/>
    </i>
    <i t="default" r="1">
      <x v="1"/>
    </i>
    <i t="grand">
      <x/>
    </i>
  </rowItems>
  <colFields count="1">
    <field x="-2"/>
  </colFields>
  <colItems count="4">
    <i>
      <x/>
    </i>
    <i i="1">
      <x v="1"/>
    </i>
    <i i="2">
      <x v="2"/>
    </i>
    <i i="3">
      <x v="3"/>
    </i>
  </colItems>
  <pageFields count="1">
    <pageField fld="9" hier="-1"/>
  </pageFields>
  <dataFields count="4">
    <dataField name="Count of Site" fld="4" subtotal="count" baseField="0" baseItem="0" numFmtId="166"/>
    <dataField name="Population Targetted" fld="12" baseField="0" baseItem="0" numFmtId="166"/>
    <dataField name="% Water needs covered (including HHWT)" fld="103" baseField="0" baseItem="0" numFmtId="9"/>
    <dataField name="% Actual Latrine coverage" fld="105" baseField="0" baseItem="0" numFmtId="9"/>
  </dataFields>
  <formats count="17">
    <format dxfId="249">
      <pivotArea type="all" dataOnly="0" outline="0" fieldPosition="0"/>
    </format>
    <format dxfId="248">
      <pivotArea outline="0" fieldPosition="0"/>
    </format>
    <format dxfId="247">
      <pivotArea type="all" dataOnly="0" outline="0" fieldPosition="0"/>
    </format>
    <format dxfId="246">
      <pivotArea type="all" dataOnly="0" outline="0" fieldPosition="0"/>
    </format>
    <format dxfId="245">
      <pivotArea type="all" dataOnly="0" outline="0" fieldPosition="0"/>
    </format>
    <format dxfId="244">
      <pivotArea outline="0" fieldPosition="0"/>
    </format>
    <format dxfId="243">
      <pivotArea dataOnly="0" labelOnly="1" outline="0" fieldPosition="0">
        <references count="1">
          <reference field="0" count="0"/>
        </references>
      </pivotArea>
    </format>
    <format dxfId="242">
      <pivotArea field="-2" type="button" dataOnly="0" labelOnly="1" outline="0" axis="axisCol" fieldPosition="0"/>
    </format>
    <format dxfId="241">
      <pivotArea type="topRight" dataOnly="0" labelOnly="1" outline="0" fieldPosition="0"/>
    </format>
    <format dxfId="240">
      <pivotArea outline="0" collapsedLevelsAreSubtotals="1" fieldPosition="0"/>
    </format>
    <format dxfId="239">
      <pivotArea dataOnly="0" labelOnly="1" outline="0" fieldPosition="0">
        <references count="1">
          <reference field="0" count="0"/>
        </references>
      </pivotArea>
    </format>
    <format dxfId="238">
      <pivotArea outline="0" collapsedLevelsAreSubtotals="1" fieldPosition="0"/>
    </format>
    <format dxfId="237">
      <pivotArea dataOnly="0" labelOnly="1" outline="0" fieldPosition="0">
        <references count="1">
          <reference field="17" count="0"/>
        </references>
      </pivotArea>
    </format>
    <format dxfId="236">
      <pivotArea dataOnly="0" labelOnly="1" grandCol="1" outline="0" fieldPosition="0"/>
    </format>
    <format dxfId="235">
      <pivotArea outline="0" collapsedLevelsAreSubtotals="1" fieldPosition="0">
        <references count="1">
          <reference field="4294967294" count="1" selected="0">
            <x v="2"/>
          </reference>
        </references>
      </pivotArea>
    </format>
    <format dxfId="234">
      <pivotArea outline="0" collapsedLevelsAreSubtotals="1" fieldPosition="0">
        <references count="1">
          <reference field="4294967294" count="1" selected="0">
            <x v="3"/>
          </reference>
        </references>
      </pivotArea>
    </format>
    <format dxfId="233">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3" rowHeaderCaption="Population Type">
  <location ref="B129:E139" firstHeaderRow="1" firstDataRow="2" firstDataCol="1" rowPageCount="2" colPageCount="1"/>
  <pivotFields count="111">
    <pivotField axis="axisRow"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x="7"/>
        <item x="5"/>
        <item x="3"/>
        <item x="4"/>
        <item x="1"/>
        <item x="6"/>
        <item t="default"/>
      </items>
    </pivotField>
    <pivotField axis="axisPage" numFmtId="166" multipleItemSelectionAllowed="1" showAll="0" defaultSubtotal="0">
      <items count="9">
        <item m="1" x="7"/>
        <item m="1" x="6"/>
        <item m="1" x="8"/>
        <item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9">
    <i>
      <x/>
    </i>
    <i>
      <x v="1"/>
    </i>
    <i>
      <x v="3"/>
    </i>
    <i>
      <x v="4"/>
    </i>
    <i>
      <x v="5"/>
    </i>
    <i>
      <x v="6"/>
    </i>
    <i>
      <x v="7"/>
    </i>
    <i>
      <x v="8"/>
    </i>
    <i t="grand">
      <x/>
    </i>
  </rowItems>
  <colFields count="1">
    <field x="-2"/>
  </colFields>
  <colItems count="3">
    <i>
      <x/>
    </i>
    <i i="1">
      <x v="1"/>
    </i>
    <i i="2">
      <x v="2"/>
    </i>
  </colItems>
  <pageFields count="2">
    <pageField fld="9" hier="-1"/>
    <pageField fld="7" hier="-1"/>
  </pageFields>
  <dataFields count="3">
    <dataField name=" % Permanent Facility" fld="97" baseField="0" baseItem="0" numFmtId="9"/>
    <dataField name="% Emregency Facilities" fld="98" baseField="0" baseItem="0" numFmtId="166"/>
    <dataField name="% HHWT Direct coverage" fld="99" baseField="0" baseItem="0" numFmtId="166"/>
  </dataFields>
  <formats count="20">
    <format dxfId="269">
      <pivotArea grandRow="1" outline="0" fieldPosition="0"/>
    </format>
    <format dxfId="268">
      <pivotArea outline="0" collapsedLevelsAreSubtotals="1" fieldPosition="0"/>
    </format>
    <format dxfId="267">
      <pivotArea type="all" dataOnly="0" outline="0" fieldPosition="0"/>
    </format>
    <format dxfId="266">
      <pivotArea outline="0" collapsedLevelsAreSubtotals="1" fieldPosition="0"/>
    </format>
    <format dxfId="265">
      <pivotArea dataOnly="0" labelOnly="1" grandRow="1" outline="0" fieldPosition="0"/>
    </format>
    <format dxfId="264">
      <pivotArea outline="0" collapsedLevelsAreSubtotals="1" fieldPosition="0"/>
    </format>
    <format dxfId="263">
      <pivotArea field="8" type="button" dataOnly="0" labelOnly="1" outline="0"/>
    </format>
    <format dxfId="262">
      <pivotArea dataOnly="0" labelOnly="1" grandRow="1" outline="0" fieldPosition="0"/>
    </format>
    <format dxfId="261">
      <pivotArea field="8" type="button" dataOnly="0" labelOnly="1" outline="0"/>
    </format>
    <format dxfId="260">
      <pivotArea dataOnly="0" labelOnly="1" grandRow="1" outline="0" fieldPosition="0"/>
    </format>
    <format dxfId="259">
      <pivotArea outline="0" collapsedLevelsAreSubtotals="1" fieldPosition="0"/>
    </format>
    <format dxfId="258">
      <pivotArea field="8" type="button" dataOnly="0" labelOnly="1" outline="0"/>
    </format>
    <format dxfId="257">
      <pivotArea outline="0" collapsedLevelsAreSubtotals="1" fieldPosition="0"/>
    </format>
    <format dxfId="256">
      <pivotArea field="8" type="button" dataOnly="0" labelOnly="1" outline="0"/>
    </format>
    <format dxfId="255">
      <pivotArea dataOnly="0" labelOnly="1" grandRow="1" outline="0" fieldPosition="0"/>
    </format>
    <format dxfId="254">
      <pivotArea outline="0" collapsedLevelsAreSubtotals="1" fieldPosition="0"/>
    </format>
    <format dxfId="253">
      <pivotArea field="0" type="button" dataOnly="0" labelOnly="1" outline="0" axis="axisRow" fieldPosition="0"/>
    </format>
    <format dxfId="252">
      <pivotArea dataOnly="0" labelOnly="1" outline="0" fieldPosition="0">
        <references count="1">
          <reference field="4294967294" count="3">
            <x v="0"/>
            <x v="1"/>
            <x v="2"/>
          </reference>
        </references>
      </pivotArea>
    </format>
    <format dxfId="251">
      <pivotArea field="0" type="button" dataOnly="0" labelOnly="1" outline="0" axis="axisRow" fieldPosition="0"/>
    </format>
    <format dxfId="250">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6" format="6" series="1">
      <pivotArea type="data" outline="0" fieldPosition="0">
        <references count="1">
          <reference field="4294967294" count="1" selected="0">
            <x v="0"/>
          </reference>
        </references>
      </pivotArea>
    </chartFormat>
    <chartFormat chart="16" format="7" series="1">
      <pivotArea type="data" outline="0" fieldPosition="0">
        <references count="1">
          <reference field="4294967294" count="1" selected="0">
            <x v="1"/>
          </reference>
        </references>
      </pivotArea>
    </chartFormat>
    <chartFormat chart="16"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5.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7" rowHeaderCaption="Population Type">
  <location ref="B236:D244" firstHeaderRow="1" firstDataRow="2" firstDataCol="1" rowPageCount="2" colPageCount="1"/>
  <pivotFields count="111">
    <pivotField axis="axisRow"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x="7"/>
        <item x="5"/>
        <item x="3"/>
        <item x="4"/>
        <item x="1"/>
        <item x="6"/>
        <item t="default"/>
      </items>
    </pivotField>
    <pivotField axis="axisPage" numFmtId="166" multipleItemSelectionAllowed="1" showAll="0" defaultSubtotal="0">
      <items count="9">
        <item m="1" x="7"/>
        <item m="1" x="6"/>
        <item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7">
    <i>
      <x/>
    </i>
    <i>
      <x v="4"/>
    </i>
    <i>
      <x v="5"/>
    </i>
    <i>
      <x v="6"/>
    </i>
    <i>
      <x v="7"/>
    </i>
    <i>
      <x v="8"/>
    </i>
    <i t="grand">
      <x/>
    </i>
  </rowItems>
  <colFields count="1">
    <field x="-2"/>
  </colFields>
  <colItems count="2">
    <i>
      <x/>
    </i>
    <i i="1">
      <x v="1"/>
    </i>
  </colItems>
  <pageFields count="2">
    <pageField fld="7" hier="-1"/>
    <pageField fld="9" hier="-1"/>
  </pageFields>
  <dataFields count="2">
    <dataField name="% Semi-permanent latrine" fld="109" baseField="0" baseItem="0" numFmtId="166"/>
    <dataField name="% Emergency Latrine" fld="100" baseField="0" baseItem="0" numFmtId="166"/>
  </dataFields>
  <formats count="25">
    <format dxfId="294">
      <pivotArea grandRow="1" outline="0" fieldPosition="0"/>
    </format>
    <format dxfId="293">
      <pivotArea outline="0" collapsedLevelsAreSubtotals="1" fieldPosition="0"/>
    </format>
    <format dxfId="292">
      <pivotArea type="all" dataOnly="0" outline="0" fieldPosition="0"/>
    </format>
    <format dxfId="291">
      <pivotArea outline="0" collapsedLevelsAreSubtotals="1" fieldPosition="0"/>
    </format>
    <format dxfId="290">
      <pivotArea dataOnly="0" labelOnly="1" grandRow="1" outline="0" fieldPosition="0"/>
    </format>
    <format dxfId="289">
      <pivotArea outline="0" collapsedLevelsAreSubtotals="1" fieldPosition="0"/>
    </format>
    <format dxfId="288">
      <pivotArea field="8" type="button" dataOnly="0" labelOnly="1" outline="0"/>
    </format>
    <format dxfId="287">
      <pivotArea dataOnly="0" labelOnly="1" grandRow="1" outline="0" fieldPosition="0"/>
    </format>
    <format dxfId="286">
      <pivotArea field="8" type="button" dataOnly="0" labelOnly="1" outline="0"/>
    </format>
    <format dxfId="285">
      <pivotArea dataOnly="0" labelOnly="1" grandRow="1" outline="0" fieldPosition="0"/>
    </format>
    <format dxfId="284">
      <pivotArea outline="0" collapsedLevelsAreSubtotals="1" fieldPosition="0"/>
    </format>
    <format dxfId="283">
      <pivotArea field="8" type="button" dataOnly="0" labelOnly="1" outline="0"/>
    </format>
    <format dxfId="282">
      <pivotArea outline="0" collapsedLevelsAreSubtotals="1" fieldPosition="0"/>
    </format>
    <format dxfId="281">
      <pivotArea field="8" type="button" dataOnly="0" labelOnly="1" outline="0"/>
    </format>
    <format dxfId="280">
      <pivotArea dataOnly="0" labelOnly="1" grandRow="1" outline="0" fieldPosition="0"/>
    </format>
    <format dxfId="279">
      <pivotArea outline="0" collapsedLevelsAreSubtotals="1" fieldPosition="0"/>
    </format>
    <format dxfId="278">
      <pivotArea field="0" type="button" dataOnly="0" labelOnly="1" outline="0" axis="axisRow" fieldPosition="0"/>
    </format>
    <format dxfId="277">
      <pivotArea dataOnly="0" labelOnly="1" outline="0" fieldPosition="0">
        <references count="1">
          <reference field="4294967294" count="2">
            <x v="0"/>
            <x v="1"/>
          </reference>
        </references>
      </pivotArea>
    </format>
    <format dxfId="276">
      <pivotArea field="0" type="button" dataOnly="0" labelOnly="1" outline="0" axis="axisRow" fieldPosition="0"/>
    </format>
    <format dxfId="275">
      <pivotArea type="all" dataOnly="0" outline="0" fieldPosition="0"/>
    </format>
    <format dxfId="274">
      <pivotArea outline="0" collapsedLevelsAreSubtotals="1" fieldPosition="0"/>
    </format>
    <format dxfId="273">
      <pivotArea dataOnly="0" labelOnly="1" fieldPosition="0">
        <references count="1">
          <reference field="0" count="0"/>
        </references>
      </pivotArea>
    </format>
    <format dxfId="272">
      <pivotArea dataOnly="0" labelOnly="1" grandRow="1" outline="0" fieldPosition="0"/>
    </format>
    <format dxfId="271">
      <pivotArea dataOnly="0" labelOnly="1" outline="0" fieldPosition="0">
        <references count="1">
          <reference field="4294967294" count="2">
            <x v="0"/>
            <x v="1"/>
          </reference>
        </references>
      </pivotArea>
    </format>
    <format dxfId="270">
      <pivotArea dataOnly="0" labelOnly="1" outline="0" fieldPosition="0">
        <references count="1">
          <reference field="4294967294" count="2">
            <x v="0"/>
            <x v="1"/>
          </reference>
        </references>
      </pivotArea>
    </format>
  </formats>
  <chartFormats count="6">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8" format="4" series="1">
      <pivotArea type="data" outline="0" fieldPosition="0">
        <references count="1">
          <reference field="4294967294" count="1" selected="0">
            <x v="1"/>
          </reference>
        </references>
      </pivotArea>
    </chartFormat>
    <chartFormat chart="19" format="5" series="1">
      <pivotArea type="data" outline="0" fieldPosition="0">
        <references count="1">
          <reference field="4294967294" count="1" selected="0">
            <x v="0"/>
          </reference>
        </references>
      </pivotArea>
    </chartFormat>
    <chartFormat chart="19" format="6"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16.xml><?xml version="1.0" encoding="utf-8"?>
<pivotTableDefinition xmlns="http://schemas.openxmlformats.org/spreadsheetml/2006/main" name="PivotTable2"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3">
  <location ref="B312:E320" firstHeaderRow="1" firstDataRow="2" firstDataCol="1" rowPageCount="2" colPageCount="1"/>
  <pivotFields count="111">
    <pivotField axis="axisRow" compact="0" numFmtId="166" outline="0" subtotalTop="0" showAll="0" includeNewItemsInFilter="1">
      <items count="13">
        <item x="1"/>
        <item x="2"/>
        <item x="4"/>
        <item x="5"/>
        <item x="6"/>
        <item x="7"/>
        <item h="1" x="8"/>
        <item x="9"/>
        <item x="10"/>
        <item x="11"/>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x="0"/>
        <item x="3"/>
        <item x="2"/>
        <item x="4"/>
        <item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axis="axisCol" compact="0" outline="0" showAll="0" defaultSubtotal="0">
      <items count="6">
        <item h="1" x="0"/>
        <item x="1"/>
        <item x="3"/>
        <item h="1" x="2"/>
        <item h="1" x="4"/>
        <item h="1" x="5"/>
      </items>
    </pivotField>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7">
    <i>
      <x/>
    </i>
    <i>
      <x v="4"/>
    </i>
    <i>
      <x v="5"/>
    </i>
    <i>
      <x v="7"/>
    </i>
    <i>
      <x v="8"/>
    </i>
    <i>
      <x v="9"/>
    </i>
    <i t="grand">
      <x/>
    </i>
  </rowItems>
  <colFields count="1">
    <field x="90"/>
  </colFields>
  <colItems count="3">
    <i>
      <x v="1"/>
    </i>
    <i>
      <x v="2"/>
    </i>
    <i t="grand">
      <x/>
    </i>
  </colItems>
  <pageFields count="2">
    <pageField fld="9" hier="-1"/>
    <pageField fld="7" item="0" hier="0"/>
  </pageFields>
  <dataFields count="1">
    <dataField name="Sum of Total PoP" fld="12" showDataAs="percentOfRow" baseField="0" baseItem="4" numFmtId="9"/>
  </dataFields>
  <formats count="8">
    <format dxfId="302">
      <pivotArea type="all" dataOnly="0" outline="0" fieldPosition="0"/>
    </format>
    <format dxfId="301">
      <pivotArea type="all" dataOnly="0" outline="0" fieldPosition="0"/>
    </format>
    <format dxfId="300">
      <pivotArea type="all" dataOnly="0" outline="0" fieldPosition="0"/>
    </format>
    <format dxfId="299">
      <pivotArea outline="0" fieldPosition="0"/>
    </format>
    <format dxfId="298">
      <pivotArea dataOnly="0" labelOnly="1" outline="0" fieldPosition="0">
        <references count="1">
          <reference field="7" count="0"/>
        </references>
      </pivotArea>
    </format>
    <format dxfId="297">
      <pivotArea type="topRight" dataOnly="0" labelOnly="1" outline="0" fieldPosition="0"/>
    </format>
    <format dxfId="296">
      <pivotArea outline="0" fieldPosition="0">
        <references count="1">
          <reference field="4294967294" count="1">
            <x v="0"/>
          </reference>
        </references>
      </pivotArea>
    </format>
    <format dxfId="295">
      <pivotArea outline="0" collapsedLevelsAreSubtotals="1" fieldPosition="0"/>
    </format>
  </formats>
  <chartFormats count="34">
    <chartFormat chart="21" format="13" series="1">
      <pivotArea type="data" outline="0" fieldPosition="0"/>
    </chartFormat>
    <chartFormat chart="21" format="34" series="1">
      <pivotArea type="data" outline="0" fieldPosition="0">
        <references count="1">
          <reference field="90" count="1" selected="0">
            <x v="1"/>
          </reference>
        </references>
      </pivotArea>
    </chartFormat>
    <chartFormat chart="21" format="35" series="1">
      <pivotArea type="data" outline="0" fieldPosition="0">
        <references count="1">
          <reference field="90" count="1" selected="0">
            <x v="2"/>
          </reference>
        </references>
      </pivotArea>
    </chartFormat>
    <chartFormat chart="21" format="36" series="1">
      <pivotArea type="data" outline="0" fieldPosition="0">
        <references count="1">
          <reference field="90" count="1" selected="0">
            <x v="0"/>
          </reference>
        </references>
      </pivotArea>
    </chartFormat>
    <chartFormat chart="21" format="37" series="1">
      <pivotArea type="data" outline="0" fieldPosition="0">
        <references count="2">
          <reference field="4294967294" count="1" selected="0">
            <x v="0"/>
          </reference>
          <reference field="90" count="1" selected="0">
            <x v="1"/>
          </reference>
        </references>
      </pivotArea>
    </chartFormat>
    <chartFormat chart="21" format="38" series="1">
      <pivotArea type="data" outline="0" fieldPosition="0">
        <references count="2">
          <reference field="4294967294" count="1" selected="0">
            <x v="0"/>
          </reference>
          <reference field="90" count="1" selected="0">
            <x v="2"/>
          </reference>
        </references>
      </pivotArea>
    </chartFormat>
    <chartFormat chart="117" format="1" series="1">
      <pivotArea type="data" outline="0" fieldPosition="0">
        <references count="2">
          <reference field="4294967294" count="1" selected="0">
            <x v="0"/>
          </reference>
          <reference field="90" count="1" selected="0">
            <x v="2"/>
          </reference>
        </references>
      </pivotArea>
    </chartFormat>
    <chartFormat chart="117" format="2" series="1">
      <pivotArea type="data" outline="0" fieldPosition="0">
        <references count="2">
          <reference field="4294967294" count="1" selected="0">
            <x v="0"/>
          </reference>
          <reference field="90" count="1" selected="0">
            <x v="1"/>
          </reference>
        </references>
      </pivotArea>
    </chartFormat>
    <chartFormat chart="122" format="2" series="1">
      <pivotArea type="data" outline="0" fieldPosition="0">
        <references count="2">
          <reference field="4294967294" count="1" selected="0">
            <x v="0"/>
          </reference>
          <reference field="90" count="1" selected="0">
            <x v="1"/>
          </reference>
        </references>
      </pivotArea>
    </chartFormat>
    <chartFormat chart="122" format="3" series="1">
      <pivotArea type="data" outline="0" fieldPosition="0">
        <references count="2">
          <reference field="4294967294" count="1" selected="0">
            <x v="0"/>
          </reference>
          <reference field="90" count="1" selected="0">
            <x v="2"/>
          </reference>
        </references>
      </pivotArea>
    </chartFormat>
    <chartFormat chart="0" format="14" series="1">
      <pivotArea type="data" outline="0" fieldPosition="0">
        <references count="2">
          <reference field="4294967294" count="1" selected="0">
            <x v="0"/>
          </reference>
          <reference field="90" count="1" selected="0">
            <x v="2"/>
          </reference>
        </references>
      </pivotArea>
    </chartFormat>
    <chartFormat chart="0" format="15" series="1">
      <pivotArea type="data" outline="0" fieldPosition="0">
        <references count="2">
          <reference field="4294967294" count="1" selected="0">
            <x v="0"/>
          </reference>
          <reference field="90" count="1" selected="0">
            <x v="1"/>
          </reference>
        </references>
      </pivotArea>
    </chartFormat>
    <chartFormat chart="5" format="1" series="1">
      <pivotArea type="data" outline="0" fieldPosition="0">
        <references count="2">
          <reference field="4294967294" count="1" selected="0">
            <x v="0"/>
          </reference>
          <reference field="90" count="1" selected="0">
            <x v="2"/>
          </reference>
        </references>
      </pivotArea>
    </chartFormat>
    <chartFormat chart="5" format="2" series="1">
      <pivotArea type="data" outline="0" fieldPosition="0">
        <references count="2">
          <reference field="4294967294" count="1" selected="0">
            <x v="0"/>
          </reference>
          <reference field="90" count="1" selected="0">
            <x v="1"/>
          </reference>
        </references>
      </pivotArea>
    </chartFormat>
    <chartFormat chart="5" format="3" series="1">
      <pivotArea type="data" outline="0" fieldPosition="0">
        <references count="2">
          <reference field="4294967294" count="1" selected="0">
            <x v="0"/>
          </reference>
          <reference field="0" count="1" selected="0">
            <x v="3"/>
          </reference>
        </references>
      </pivotArea>
    </chartFormat>
    <chartFormat chart="5" format="4" series="1">
      <pivotArea type="data" outline="0" fieldPosition="0">
        <references count="2">
          <reference field="4294967294" count="1" selected="0">
            <x v="0"/>
          </reference>
          <reference field="0" count="1" selected="0">
            <x v="4"/>
          </reference>
        </references>
      </pivotArea>
    </chartFormat>
    <chartFormat chart="5" format="5" series="1">
      <pivotArea type="data" outline="0" fieldPosition="0">
        <references count="2">
          <reference field="4294967294" count="1" selected="0">
            <x v="0"/>
          </reference>
          <reference field="0" count="1" selected="0">
            <x v="5"/>
          </reference>
        </references>
      </pivotArea>
    </chartFormat>
    <chartFormat chart="5" format="6" series="1">
      <pivotArea type="data" outline="0" fieldPosition="0">
        <references count="2">
          <reference field="4294967294" count="1" selected="0">
            <x v="0"/>
          </reference>
          <reference field="0" count="1" selected="0">
            <x v="7"/>
          </reference>
        </references>
      </pivotArea>
    </chartFormat>
    <chartFormat chart="5" format="7" series="1">
      <pivotArea type="data" outline="0" fieldPosition="0">
        <references count="2">
          <reference field="4294967294" count="1" selected="0">
            <x v="0"/>
          </reference>
          <reference field="0" count="1" selected="0">
            <x v="8"/>
          </reference>
        </references>
      </pivotArea>
    </chartFormat>
    <chartFormat chart="5" format="8" series="1">
      <pivotArea type="data" outline="0" fieldPosition="0">
        <references count="2">
          <reference field="4294967294" count="1" selected="0">
            <x v="0"/>
          </reference>
          <reference field="0" count="1" selected="0">
            <x v="9"/>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2"/>
          </reference>
        </references>
      </pivotArea>
    </chartFormat>
    <chartFormat chart="0" format="16" series="1">
      <pivotArea type="data" outline="0" fieldPosition="0">
        <references count="2">
          <reference field="4294967294" count="1" selected="0">
            <x v="0"/>
          </reference>
          <reference field="0" count="1" selected="0">
            <x v="3"/>
          </reference>
        </references>
      </pivotArea>
    </chartFormat>
    <chartFormat chart="0" format="17" series="1">
      <pivotArea type="data" outline="0" fieldPosition="0">
        <references count="2">
          <reference field="4294967294" count="1" selected="0">
            <x v="0"/>
          </reference>
          <reference field="0" count="1" selected="0">
            <x v="4"/>
          </reference>
        </references>
      </pivotArea>
    </chartFormat>
    <chartFormat chart="0" format="18" series="1">
      <pivotArea type="data" outline="0" fieldPosition="0">
        <references count="2">
          <reference field="4294967294" count="1" selected="0">
            <x v="0"/>
          </reference>
          <reference field="0" count="1" selected="0">
            <x v="5"/>
          </reference>
        </references>
      </pivotArea>
    </chartFormat>
    <chartFormat chart="0" format="19" series="1">
      <pivotArea type="data" outline="0" fieldPosition="0">
        <references count="2">
          <reference field="4294967294" count="1" selected="0">
            <x v="0"/>
          </reference>
          <reference field="0" count="1" selected="0">
            <x v="7"/>
          </reference>
        </references>
      </pivotArea>
    </chartFormat>
    <chartFormat chart="0" format="20" series="1">
      <pivotArea type="data" outline="0" fieldPosition="0">
        <references count="2">
          <reference field="4294967294" count="1" selected="0">
            <x v="0"/>
          </reference>
          <reference field="0" count="1" selected="0">
            <x v="8"/>
          </reference>
        </references>
      </pivotArea>
    </chartFormat>
    <chartFormat chart="0" format="21" series="1">
      <pivotArea type="data" outline="0" fieldPosition="0">
        <references count="2">
          <reference field="4294967294" count="1" selected="0">
            <x v="0"/>
          </reference>
          <reference field="0" count="1" selected="0">
            <x v="9"/>
          </reference>
        </references>
      </pivotArea>
    </chartFormat>
    <chartFormat chart="0" format="22" series="1">
      <pivotArea type="data" outline="0" fieldPosition="0">
        <references count="2">
          <reference field="4294967294" count="1" selected="0">
            <x v="0"/>
          </reference>
          <reference field="0" count="1" selected="0">
            <x v="0"/>
          </reference>
        </references>
      </pivotArea>
    </chartFormat>
    <chartFormat chart="0" format="23" series="1">
      <pivotArea type="data" outline="0" fieldPosition="0">
        <references count="2">
          <reference field="4294967294" count="1" selected="0">
            <x v="0"/>
          </reference>
          <reference field="0" count="1" selected="0">
            <x v="2"/>
          </reference>
        </references>
      </pivotArea>
    </chartFormat>
    <chartFormat chart="21" format="39" series="1">
      <pivotArea type="data" outline="0" fieldPosition="0">
        <references count="2">
          <reference field="4294967294" count="1" selected="0">
            <x v="0"/>
          </reference>
          <reference field="90" count="1" selected="0">
            <x v="0"/>
          </reference>
        </references>
      </pivotArea>
    </chartFormat>
    <chartFormat chart="72" format="2" series="1">
      <pivotArea type="data" outline="0" fieldPosition="0">
        <references count="2">
          <reference field="4294967294" count="1" selected="0">
            <x v="0"/>
          </reference>
          <reference field="90" count="1" selected="0">
            <x v="0"/>
          </reference>
        </references>
      </pivotArea>
    </chartFormat>
    <chartFormat chart="72" format="3" series="1">
      <pivotArea type="data" outline="0" fieldPosition="0">
        <references count="2">
          <reference field="4294967294" count="1" selected="0">
            <x v="0"/>
          </reference>
          <reference field="90" count="1" selected="0">
            <x v="1"/>
          </reference>
        </references>
      </pivotArea>
    </chartFormat>
    <chartFormat chart="72" format="4" series="1">
      <pivotArea type="data" outline="0" fieldPosition="0">
        <references count="2">
          <reference field="4294967294" count="1" selected="0">
            <x v="0"/>
          </reference>
          <reference field="90" count="1" selected="0">
            <x v="2"/>
          </reference>
        </references>
      </pivotArea>
    </chartFormat>
  </chartFormats>
  <pivotTableStyleInfo name="PivotStyleLight22" showRowHeaders="1" showColHeaders="1" showRowStripes="0" showColStripes="0" showLastColumn="1"/>
</pivotTableDefinition>
</file>

<file path=xl/pivotTables/pivotTable17.xml><?xml version="1.0" encoding="utf-8"?>
<pivotTableDefinition xmlns="http://schemas.openxmlformats.org/spreadsheetml/2006/main" name="PivotTable10"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659:G675" firstHeaderRow="1" firstDataRow="2" firstDataCol="2" rowPageCount="2" colPageCount="1"/>
  <pivotFields count="111">
    <pivotField axis="axisPage" compact="0" numFmtId="166" outline="0" subtotalTop="0" multipleItemSelectionAllowed="1" showAll="0" includeNewItemsInFilter="1" sortType="ascending">
      <items count="13">
        <item x="0"/>
        <item x="1"/>
        <item x="2"/>
        <item x="3"/>
        <item x="4"/>
        <item x="5"/>
        <item x="6"/>
        <item x="7"/>
        <item x="8"/>
        <item x="9"/>
        <item x="10"/>
        <item x="11"/>
        <item t="default"/>
      </items>
    </pivotField>
    <pivotField compact="0" outline="0" showAll="0" defaultSubtotal="0"/>
    <pivotField compact="0" outline="0" showAll="0" defaultSubtotal="0"/>
    <pivotField compact="0" outline="0" showAll="0" defaultSubtotal="0"/>
    <pivotField dataField="1" compact="0" numFmtId="166" outline="0" subtotalTop="0" showAll="0" includeNewItemsInFilter="1"/>
    <pivotField compact="0" numFmtId="166" outline="0" showAll="0" defaultSubtotal="0"/>
    <pivotField compact="0" numFmtId="166" outline="0" showAll="0" defaultSubtotal="0"/>
    <pivotField axis="axisRow" compact="0" numFmtId="166" outline="0" subtotalTop="0" multipleItemSelectionAllowed="1" showAll="0" includeNewItemsInFilter="1">
      <items count="3">
        <item x="1"/>
        <item x="0"/>
        <item t="default"/>
      </items>
    </pivotField>
    <pivotField compact="0" numFmtId="166" outline="0" subtotalTop="0" multipleItemSelectionAllowed="1" showAll="0" includeNewItemsInFilter="1"/>
    <pivotField axis="axisPage" compact="0" numFmtId="166" outline="0" multipleItemSelectionAllowed="1" showAll="0" defaultSubtotal="0">
      <items count="9">
        <item h="1" m="1" x="7"/>
        <item m="1" x="6"/>
        <item h="1"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axis="axisRow" compact="0" outline="0" showAll="0" defaultSubtotal="0">
      <items count="11">
        <item x="7"/>
        <item x="9"/>
        <item x="6"/>
        <item x="5"/>
        <item x="3"/>
        <item x="2"/>
        <item x="8"/>
        <item x="1"/>
        <item m="1" x="10"/>
        <item x="4"/>
        <item x="0"/>
      </items>
    </pivotField>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5"/>
    <field x="7"/>
  </rowFields>
  <rowItems count="15">
    <i>
      <x/>
      <x/>
    </i>
    <i r="1">
      <x v="1"/>
    </i>
    <i>
      <x v="1"/>
      <x/>
    </i>
    <i r="1">
      <x v="1"/>
    </i>
    <i>
      <x v="2"/>
      <x/>
    </i>
    <i r="1">
      <x v="1"/>
    </i>
    <i>
      <x v="3"/>
      <x/>
    </i>
    <i>
      <x v="4"/>
      <x v="1"/>
    </i>
    <i>
      <x v="5"/>
      <x/>
    </i>
    <i r="1">
      <x v="1"/>
    </i>
    <i>
      <x v="6"/>
      <x/>
    </i>
    <i>
      <x v="7"/>
      <x/>
    </i>
    <i r="1">
      <x v="1"/>
    </i>
    <i>
      <x v="9"/>
      <x v="1"/>
    </i>
    <i t="grand">
      <x/>
    </i>
  </rowItems>
  <colFields count="1">
    <field x="-2"/>
  </colFields>
  <colItems count="4">
    <i>
      <x/>
    </i>
    <i i="1">
      <x v="1"/>
    </i>
    <i i="2">
      <x v="2"/>
    </i>
    <i i="3">
      <x v="3"/>
    </i>
  </colItems>
  <pageFields count="2">
    <pageField fld="9" hier="-1"/>
    <pageField fld="0" hier="-1"/>
  </pageFields>
  <dataFields count="4">
    <dataField name="Count of Site" fld="4" subtotal="count" baseField="0" baseItem="0" numFmtId="166"/>
    <dataField name="Population Targetted" fld="12" baseField="0" baseItem="0" numFmtId="166"/>
    <dataField name="% Water needs covered (including HHWT)" fld="103" baseField="0" baseItem="0" numFmtId="9"/>
    <dataField name="% Actual Latrine coverage" fld="105" baseField="0" baseItem="0" numFmtId="9"/>
  </dataFields>
  <formats count="16">
    <format dxfId="318">
      <pivotArea type="all" dataOnly="0" outline="0" fieldPosition="0"/>
    </format>
    <format dxfId="317">
      <pivotArea outline="0" fieldPosition="0"/>
    </format>
    <format dxfId="316">
      <pivotArea type="all" dataOnly="0" outline="0" fieldPosition="0"/>
    </format>
    <format dxfId="315">
      <pivotArea type="all" dataOnly="0" outline="0" fieldPosition="0"/>
    </format>
    <format dxfId="314">
      <pivotArea type="all" dataOnly="0" outline="0" fieldPosition="0"/>
    </format>
    <format dxfId="313">
      <pivotArea outline="0" fieldPosition="0"/>
    </format>
    <format dxfId="312">
      <pivotArea dataOnly="0" labelOnly="1" outline="0" fieldPosition="0">
        <references count="1">
          <reference field="0" count="0"/>
        </references>
      </pivotArea>
    </format>
    <format dxfId="311">
      <pivotArea field="-2" type="button" dataOnly="0" labelOnly="1" outline="0" axis="axisCol" fieldPosition="0"/>
    </format>
    <format dxfId="310">
      <pivotArea type="topRight" dataOnly="0" labelOnly="1" outline="0" fieldPosition="0"/>
    </format>
    <format dxfId="309">
      <pivotArea outline="0" collapsedLevelsAreSubtotals="1" fieldPosition="0"/>
    </format>
    <format dxfId="308">
      <pivotArea dataOnly="0" labelOnly="1" outline="0" fieldPosition="0">
        <references count="1">
          <reference field="0" count="0"/>
        </references>
      </pivotArea>
    </format>
    <format dxfId="307">
      <pivotArea outline="0" collapsedLevelsAreSubtotals="1" fieldPosition="0"/>
    </format>
    <format dxfId="306">
      <pivotArea dataOnly="0" labelOnly="1" grandCol="1" outline="0" fieldPosition="0"/>
    </format>
    <format dxfId="305">
      <pivotArea outline="0" collapsedLevelsAreSubtotals="1" fieldPosition="0">
        <references count="1">
          <reference field="4294967294" count="1" selected="0">
            <x v="2"/>
          </reference>
        </references>
      </pivotArea>
    </format>
    <format dxfId="304">
      <pivotArea outline="0" collapsedLevelsAreSubtotals="1" fieldPosition="0">
        <references count="1">
          <reference field="4294967294" count="1" selected="0">
            <x v="3"/>
          </reference>
        </references>
      </pivotArea>
    </format>
    <format dxfId="303">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18"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8">
  <location ref="B284:D290" firstHeaderRow="1" firstDataRow="2" firstDataCol="1" rowPageCount="2" colPageCount="1"/>
  <pivotFields count="111">
    <pivotField axis="axisPage" compact="0" numFmtId="166" outline="0" subtotalTop="0"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0" hier="-1"/>
  </pageFields>
  <dataFields count="2">
    <dataField name="% Bathing space need coverage" fld="107" baseField="0" baseItem="0" numFmtId="166"/>
    <dataField name="% Bathing space coverage increase projection" fld="108" baseField="0" baseItem="0" numFmtId="166"/>
  </dataFields>
  <formats count="7">
    <format dxfId="325">
      <pivotArea type="all" dataOnly="0" outline="0" fieldPosition="0"/>
    </format>
    <format dxfId="324">
      <pivotArea type="all" dataOnly="0" outline="0" fieldPosition="0"/>
    </format>
    <format dxfId="323">
      <pivotArea type="all" dataOnly="0" outline="0" fieldPosition="0"/>
    </format>
    <format dxfId="322">
      <pivotArea outline="0" fieldPosition="0"/>
    </format>
    <format dxfId="321">
      <pivotArea dataOnly="0" labelOnly="1" outline="0" fieldPosition="0">
        <references count="1">
          <reference field="7" count="0"/>
        </references>
      </pivotArea>
    </format>
    <format dxfId="320">
      <pivotArea type="topRight" dataOnly="0" labelOnly="1" outline="0" fieldPosition="0"/>
    </format>
    <format dxfId="319">
      <pivotArea outline="0" collapsedLevelsAreSubtotals="1" fieldPosition="0"/>
    </format>
  </formats>
  <chartFormats count="4">
    <chartFormat chart="24" format="12" series="1">
      <pivotArea type="data" outline="0" fieldPosition="0">
        <references count="1">
          <reference field="4294967294" count="1" selected="0">
            <x v="0"/>
          </reference>
        </references>
      </pivotArea>
    </chartFormat>
    <chartFormat chart="24" format="13" series="1">
      <pivotArea type="data" outline="0" fieldPosition="0">
        <references count="1">
          <reference field="4294967294" count="1" selected="0">
            <x v="1"/>
          </reference>
        </references>
      </pivotArea>
    </chartFormat>
    <chartFormat chart="26" format="14" series="1">
      <pivotArea type="data" outline="0" fieldPosition="0">
        <references count="1">
          <reference field="4294967294" count="1" selected="0">
            <x v="0"/>
          </reference>
        </references>
      </pivotArea>
    </chartFormat>
    <chartFormat chart="26" format="15" series="1">
      <pivotArea type="data" outline="0" fieldPosition="0">
        <references count="1">
          <reference field="4294967294" count="1" selected="0">
            <x v="1"/>
          </reference>
        </references>
      </pivotArea>
    </chartFormat>
  </chart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13" cacheId="0"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5">
  <location ref="B406:C416" firstHeaderRow="2" firstDataRow="2" firstDataCol="1" rowPageCount="2" colPageCount="1"/>
  <pivotFields count="111">
    <pivotField axis="axisRow" compact="0" numFmtId="166" outline="0" subtotalTop="0" multipleItemSelectionAllowed="1" showAll="0" includeNewItemsInFilter="1">
      <items count="13">
        <item x="1"/>
        <item x="2"/>
        <item x="4"/>
        <item x="5"/>
        <item x="6"/>
        <item x="7"/>
        <item x="8"/>
        <item x="9"/>
        <item x="10"/>
        <item x="11"/>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showAll="0" includeNewItemsInFilter="1">
      <items count="3">
        <item x="1"/>
        <item x="0"/>
        <item t="default"/>
      </items>
    </pivotField>
    <pivotField compact="0" numFmtId="166" outline="0" subtotalTop="0" multipleItemSelectionAllowed="1" showAll="0" includeNewItemsInFilter="1"/>
    <pivotField axis="axisPage"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7"/>
    </i>
    <i>
      <x v="8"/>
    </i>
    <i>
      <x v="9"/>
    </i>
    <i t="grand">
      <x/>
    </i>
  </rowItems>
  <colItems count="1">
    <i/>
  </colItems>
  <pageFields count="2">
    <pageField fld="7" hier="-1"/>
    <pageField fld="9" hier="-1"/>
  </pageFields>
  <dataFields count="1">
    <dataField name="Sum of HH receiving monthly HP visit %" fld="102" baseField="0" baseItem="0" numFmtId="9"/>
  </dataFields>
  <formats count="8">
    <format dxfId="333">
      <pivotArea type="all" dataOnly="0" outline="0" fieldPosition="0"/>
    </format>
    <format dxfId="332">
      <pivotArea outline="0" fieldPosition="0"/>
    </format>
    <format dxfId="331">
      <pivotArea type="all" dataOnly="0" outline="0" fieldPosition="0"/>
    </format>
    <format dxfId="330">
      <pivotArea type="all" dataOnly="0" outline="0" fieldPosition="0"/>
    </format>
    <format dxfId="329">
      <pivotArea type="all" dataOnly="0" outline="0" fieldPosition="0"/>
    </format>
    <format dxfId="328">
      <pivotArea outline="0" fieldPosition="0"/>
    </format>
    <format dxfId="327">
      <pivotArea type="topRight" dataOnly="0" labelOnly="1" outline="0" fieldPosition="0"/>
    </format>
    <format dxfId="326">
      <pivotArea outline="0" collapsedLevelsAreSubtotals="1" fieldPosition="0"/>
    </format>
  </formats>
  <chartFormats count="4">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0">
  <location ref="B391:C397" firstHeaderRow="2" firstDataRow="2" firstDataCol="1" rowPageCount="2" colPageCount="1"/>
  <pivotFields count="111">
    <pivotField compact="0" numFmtId="166" outline="0" subtotalTop="0" multipleItemSelectionAllowed="1"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compact="0" numFmtId="166" outline="0" subtotalTop="0" showAll="0" includeNewItemsInFilter="1"/>
    <pivotField axis="axisPage" compact="0" numFmtId="166" outline="0" subtotalTop="0" multipleItemSelectionAllowed="1" showAll="0" includeNewItemsInFilter="1">
      <items count="9">
        <item x="2"/>
        <item x="0"/>
        <item x="7"/>
        <item x="5"/>
        <item x="3"/>
        <item x="4"/>
        <item x="1"/>
        <item x="6"/>
        <item t="default"/>
      </items>
    </pivotField>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axis="axisPage" compact="0" numFmtId="166" outline="0" multipleItemSelectionAllowed="1" showAll="0" defaultSubtotal="0">
      <items count="4">
        <item x="0"/>
        <item m="1" x="3"/>
        <item x="1"/>
        <item x="2"/>
      </items>
    </pivotField>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Items count="1">
    <i/>
  </colItems>
  <pageFields count="2">
    <pageField fld="8" hier="0"/>
    <pageField fld="21" hier="-1"/>
  </pageFields>
  <dataFields count="1">
    <dataField name="Sum of HH receiving monthly HP visit %" fld="102" baseField="0" baseItem="0" numFmtId="9"/>
  </dataFields>
  <formats count="9">
    <format dxfId="94">
      <pivotArea type="all" dataOnly="0" outline="0" fieldPosition="0"/>
    </format>
    <format dxfId="93">
      <pivotArea outline="0" fieldPosition="0"/>
    </format>
    <format dxfId="92">
      <pivotArea type="all" dataOnly="0" outline="0" fieldPosition="0"/>
    </format>
    <format dxfId="91">
      <pivotArea type="all" dataOnly="0" outline="0" fieldPosition="0"/>
    </format>
    <format dxfId="90">
      <pivotArea type="all" dataOnly="0" outline="0" fieldPosition="0"/>
    </format>
    <format dxfId="89">
      <pivotArea outline="0" fieldPosition="0"/>
    </format>
    <format dxfId="88">
      <pivotArea dataOnly="0" labelOnly="1" outline="0" fieldPosition="0">
        <references count="1">
          <reference field="8" count="0"/>
        </references>
      </pivotArea>
    </format>
    <format dxfId="87">
      <pivotArea type="topRight" dataOnly="0" labelOnly="1" outline="0" fieldPosition="0"/>
    </format>
    <format dxfId="86">
      <pivotArea outline="0" collapsedLevelsAreSubtotals="1" fieldPosition="0"/>
    </format>
  </formats>
  <chartFormats count="3">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0.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4" rowHeaderCaption="Population Type">
  <location ref="B371:C378" firstHeaderRow="1" firstDataRow="1" firstDataCol="1" rowPageCount="2" colPageCount="1"/>
  <pivotFields count="111">
    <pivotField axis="axisRow"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x="7"/>
        <item x="5"/>
        <item x="3"/>
        <item x="4"/>
        <item x="1"/>
        <item x="6"/>
        <item t="default"/>
      </items>
    </pivotField>
    <pivotField axis="axisPage" numFmtId="166" multipleItemSelectionAllowed="1" showAll="0" defaultSubtotal="0">
      <items count="9">
        <item h="1" m="1" x="7"/>
        <item m="1" x="6"/>
        <item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7">
    <i>
      <x/>
    </i>
    <i>
      <x v="4"/>
    </i>
    <i>
      <x v="5"/>
    </i>
    <i>
      <x v="6"/>
    </i>
    <i>
      <x v="7"/>
    </i>
    <i>
      <x v="8"/>
    </i>
    <i t="grand">
      <x/>
    </i>
  </rowItems>
  <colItems count="1">
    <i/>
  </colItems>
  <pageFields count="2">
    <pageField fld="7" hier="-1"/>
    <pageField fld="9" hier="-1"/>
  </pageFields>
  <dataFields count="1">
    <dataField name="% Coverage of full HK" fld="101" baseField="0" baseItem="0" numFmtId="166"/>
  </dataFields>
  <formats count="18">
    <format dxfId="351">
      <pivotArea grandRow="1" outline="0" fieldPosition="0"/>
    </format>
    <format dxfId="350">
      <pivotArea outline="0" collapsedLevelsAreSubtotals="1" fieldPosition="0"/>
    </format>
    <format dxfId="349">
      <pivotArea type="all" dataOnly="0" outline="0" fieldPosition="0"/>
    </format>
    <format dxfId="348">
      <pivotArea outline="0" collapsedLevelsAreSubtotals="1" fieldPosition="0"/>
    </format>
    <format dxfId="347">
      <pivotArea dataOnly="0" labelOnly="1" grandRow="1" outline="0" fieldPosition="0"/>
    </format>
    <format dxfId="346">
      <pivotArea outline="0" collapsedLevelsAreSubtotals="1" fieldPosition="0"/>
    </format>
    <format dxfId="345">
      <pivotArea field="8" type="button" dataOnly="0" labelOnly="1" outline="0"/>
    </format>
    <format dxfId="344">
      <pivotArea dataOnly="0" labelOnly="1" grandRow="1" outline="0" fieldPosition="0"/>
    </format>
    <format dxfId="343">
      <pivotArea field="8" type="button" dataOnly="0" labelOnly="1" outline="0"/>
    </format>
    <format dxfId="342">
      <pivotArea dataOnly="0" labelOnly="1" grandRow="1" outline="0" fieldPosition="0"/>
    </format>
    <format dxfId="341">
      <pivotArea outline="0" collapsedLevelsAreSubtotals="1" fieldPosition="0"/>
    </format>
    <format dxfId="340">
      <pivotArea field="8" type="button" dataOnly="0" labelOnly="1" outline="0"/>
    </format>
    <format dxfId="339">
      <pivotArea outline="0" collapsedLevelsAreSubtotals="1" fieldPosition="0"/>
    </format>
    <format dxfId="338">
      <pivotArea field="8" type="button" dataOnly="0" labelOnly="1" outline="0"/>
    </format>
    <format dxfId="337">
      <pivotArea dataOnly="0" labelOnly="1" grandRow="1" outline="0" fieldPosition="0"/>
    </format>
    <format dxfId="336">
      <pivotArea outline="0" collapsedLevelsAreSubtotals="1" fieldPosition="0"/>
    </format>
    <format dxfId="335">
      <pivotArea field="0" type="button" dataOnly="0" labelOnly="1" outline="0" axis="axisRow" fieldPosition="0"/>
    </format>
    <format dxfId="334">
      <pivotArea field="0" type="button" dataOnly="0" labelOnly="1" outline="0" axis="axisRow"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1.xml><?xml version="1.0" encoding="utf-8"?>
<pivotTableDefinition xmlns="http://schemas.openxmlformats.org/spreadsheetml/2006/main" name="PivotTable24"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1" rowHeaderCaption="Population Type">
  <location ref="B256:D262" firstHeaderRow="1" firstDataRow="2" firstDataCol="1" rowPageCount="2" colPageCount="1"/>
  <pivotFields count="111">
    <pivotField axis="axisPage" numFmtId="166" multipleItemSelectionAllowed="1" showAll="0">
      <items count="13">
        <item x="1"/>
        <item x="2"/>
        <item x="4"/>
        <item x="5"/>
        <item x="6"/>
        <item x="7"/>
        <item x="9"/>
        <item x="10"/>
        <item x="11"/>
        <item h="1" x="8"/>
        <item h="1" x="0"/>
        <item h="1"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x="7"/>
        <item x="5"/>
        <item x="3"/>
        <item x="4"/>
        <item x="1"/>
        <item x="6"/>
        <item t="default"/>
      </items>
    </pivotField>
    <pivotField axis="axisRow" numFmtId="166" multipleItemSelectionAllowed="1" showAll="0" sortType="ascending" defaultSubtotal="0">
      <items count="9">
        <item x="2"/>
        <item h="1" m="1" x="7"/>
        <item h="1" x="5"/>
        <item h="1" m="1" x="6"/>
        <item h="1" m="1" x="8"/>
        <item x="1"/>
        <item h="1" x="0"/>
        <item x="3"/>
        <item x="4"/>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1"/>
    <pageField fld="0" hier="-1"/>
  </pageFields>
  <dataFields count="2">
    <dataField name="% Semi-permanent latrine coverage" fld="109" baseField="0" baseItem="0" numFmtId="166"/>
    <dataField name="% Emergency Latrine" fld="100" baseField="0" baseItem="0" numFmtId="166"/>
  </dataFields>
  <formats count="25">
    <format dxfId="376">
      <pivotArea grandRow="1" outline="0" fieldPosition="0"/>
    </format>
    <format dxfId="375">
      <pivotArea outline="0" collapsedLevelsAreSubtotals="1" fieldPosition="0"/>
    </format>
    <format dxfId="374">
      <pivotArea type="all" dataOnly="0" outline="0" fieldPosition="0"/>
    </format>
    <format dxfId="373">
      <pivotArea outline="0" collapsedLevelsAreSubtotals="1" fieldPosition="0"/>
    </format>
    <format dxfId="372">
      <pivotArea dataOnly="0" labelOnly="1" grandRow="1" outline="0" fieldPosition="0"/>
    </format>
    <format dxfId="371">
      <pivotArea outline="0" collapsedLevelsAreSubtotals="1" fieldPosition="0"/>
    </format>
    <format dxfId="370">
      <pivotArea field="8" type="button" dataOnly="0" labelOnly="1" outline="0"/>
    </format>
    <format dxfId="369">
      <pivotArea dataOnly="0" labelOnly="1" grandRow="1" outline="0" fieldPosition="0"/>
    </format>
    <format dxfId="368">
      <pivotArea field="8" type="button" dataOnly="0" labelOnly="1" outline="0"/>
    </format>
    <format dxfId="367">
      <pivotArea dataOnly="0" labelOnly="1" grandRow="1" outline="0" fieldPosition="0"/>
    </format>
    <format dxfId="366">
      <pivotArea outline="0" collapsedLevelsAreSubtotals="1" fieldPosition="0"/>
    </format>
    <format dxfId="365">
      <pivotArea field="8" type="button" dataOnly="0" labelOnly="1" outline="0"/>
    </format>
    <format dxfId="364">
      <pivotArea outline="0" collapsedLevelsAreSubtotals="1" fieldPosition="0"/>
    </format>
    <format dxfId="363">
      <pivotArea field="8" type="button" dataOnly="0" labelOnly="1" outline="0"/>
    </format>
    <format dxfId="362">
      <pivotArea dataOnly="0" labelOnly="1" grandRow="1" outline="0" fieldPosition="0"/>
    </format>
    <format dxfId="361">
      <pivotArea outline="0" collapsedLevelsAreSubtotals="1" fieldPosition="0"/>
    </format>
    <format dxfId="360">
      <pivotArea field="0" type="button" dataOnly="0" labelOnly="1" outline="0" axis="axisPage" fieldPosition="1"/>
    </format>
    <format dxfId="359">
      <pivotArea dataOnly="0" labelOnly="1" outline="0" fieldPosition="0">
        <references count="1">
          <reference field="4294967294" count="2">
            <x v="0"/>
            <x v="1"/>
          </reference>
        </references>
      </pivotArea>
    </format>
    <format dxfId="358">
      <pivotArea type="all" dataOnly="0" outline="0" fieldPosition="0"/>
    </format>
    <format dxfId="357">
      <pivotArea outline="0" collapsedLevelsAreSubtotals="1" fieldPosition="0"/>
    </format>
    <format dxfId="356">
      <pivotArea dataOnly="0" labelOnly="1" fieldPosition="0">
        <references count="1">
          <reference field="9" count="0"/>
        </references>
      </pivotArea>
    </format>
    <format dxfId="355">
      <pivotArea dataOnly="0" labelOnly="1" grandRow="1" outline="0" fieldPosition="0"/>
    </format>
    <format dxfId="354">
      <pivotArea dataOnly="0" labelOnly="1" outline="0" fieldPosition="0">
        <references count="1">
          <reference field="4294967294" count="2">
            <x v="0"/>
            <x v="1"/>
          </reference>
        </references>
      </pivotArea>
    </format>
    <format dxfId="353">
      <pivotArea dataOnly="0" labelOnly="1" outline="0" fieldPosition="0">
        <references count="1">
          <reference field="4294967294" count="2">
            <x v="0"/>
            <x v="1"/>
          </reference>
        </references>
      </pivotArea>
    </format>
    <format dxfId="352">
      <pivotArea field="9" type="button" dataOnly="0" labelOnly="1" outline="0" axis="axisRow" fieldPosition="0"/>
    </format>
  </formats>
  <chartFormats count="15">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1"/>
          </reference>
        </references>
      </pivotArea>
    </chartFormat>
    <chartFormat chart="19" format="1" series="1">
      <pivotArea type="data" outline="0" fieldPosition="0">
        <references count="1">
          <reference field="4294967294" count="1" selected="0">
            <x v="0"/>
          </reference>
        </references>
      </pivotArea>
    </chartFormat>
    <chartFormat chart="19" format="2">
      <pivotArea type="data" outline="0" fieldPosition="0">
        <references count="2">
          <reference field="4294967294" count="1" selected="0">
            <x v="1"/>
          </reference>
          <reference field="9" count="1" selected="0">
            <x v="3"/>
          </reference>
        </references>
      </pivotArea>
    </chartFormat>
    <chartFormat chart="19" format="3">
      <pivotArea type="data" outline="0" fieldPosition="0">
        <references count="2">
          <reference field="4294967294" count="1" selected="0">
            <x v="0"/>
          </reference>
          <reference field="9" count="1" selected="0">
            <x v="3"/>
          </reference>
        </references>
      </pivotArea>
    </chartFormat>
    <chartFormat chart="19" format="4">
      <pivotArea type="data" outline="0" fieldPosition="0">
        <references count="2">
          <reference field="4294967294" count="1" selected="0">
            <x v="1"/>
          </reference>
          <reference field="9" count="1" selected="0">
            <x v="1"/>
          </reference>
        </references>
      </pivotArea>
    </chartFormat>
    <chartFormat chart="19" format="5">
      <pivotArea type="data" outline="0" fieldPosition="0">
        <references count="2">
          <reference field="4294967294" count="1" selected="0">
            <x v="0"/>
          </reference>
          <reference field="9" count="1" selected="0">
            <x v="1"/>
          </reference>
        </references>
      </pivotArea>
    </chartFormat>
    <chartFormat chart="19" format="6">
      <pivotArea type="data" outline="0" fieldPosition="0">
        <references count="2">
          <reference field="4294967294" count="1" selected="0">
            <x v="1"/>
          </reference>
          <reference field="9" count="1" selected="0">
            <x v="4"/>
          </reference>
        </references>
      </pivotArea>
    </chartFormat>
    <chartFormat chart="19" format="7">
      <pivotArea type="data" outline="0" fieldPosition="0">
        <references count="2">
          <reference field="4294967294" count="1" selected="0">
            <x v="0"/>
          </reference>
          <reference field="9" count="1" selected="0">
            <x v="4"/>
          </reference>
        </references>
      </pivotArea>
    </chartFormat>
    <chartFormat chart="19" format="8">
      <pivotArea type="data" outline="0" fieldPosition="0">
        <references count="2">
          <reference field="4294967294" count="1" selected="0">
            <x v="1"/>
          </reference>
          <reference field="9" count="1" selected="0">
            <x v="5"/>
          </reference>
        </references>
      </pivotArea>
    </chartFormat>
    <chartFormat chart="19" format="9">
      <pivotArea type="data" outline="0" fieldPosition="0">
        <references count="2">
          <reference field="4294967294" count="1" selected="0">
            <x v="0"/>
          </reference>
          <reference field="9" count="1" selected="0">
            <x v="5"/>
          </reference>
        </references>
      </pivotArea>
    </chartFormat>
    <chartFormat chart="29" format="10" series="1">
      <pivotArea type="data" outline="0" fieldPosition="0">
        <references count="1">
          <reference field="4294967294" count="1" selected="0">
            <x v="0"/>
          </reference>
        </references>
      </pivotArea>
    </chartFormat>
    <chartFormat chart="29" format="11">
      <pivotArea type="data" outline="0" fieldPosition="0">
        <references count="2">
          <reference field="4294967294" count="1" selected="0">
            <x v="0"/>
          </reference>
          <reference field="9" count="1" selected="0">
            <x v="5"/>
          </reference>
        </references>
      </pivotArea>
    </chartFormat>
    <chartFormat chart="29" format="12"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22.xml><?xml version="1.0" encoding="utf-8"?>
<pivotTableDefinition xmlns="http://schemas.openxmlformats.org/spreadsheetml/2006/main" name="PivotTable52"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4" rowHeaderCaption="Population Type">
  <location ref="B95:E102" firstHeaderRow="1" firstDataRow="2" firstDataCol="1" rowPageCount="1" colPageCount="1"/>
  <pivotFields count="111">
    <pivotField axis="axisPage" numFmtId="166" multipleItemSelectionAllowed="1" showAll="0">
      <items count="13">
        <item x="1"/>
        <item x="2"/>
        <item x="4"/>
        <item x="5"/>
        <item x="6"/>
        <item x="7"/>
        <item x="9"/>
        <item x="10"/>
        <item x="11"/>
        <item h="1" x="8"/>
        <item h="1" x="0"/>
        <item h="1" x="3"/>
        <item t="default"/>
      </items>
    </pivotField>
    <pivotField showAll="0" defaultSubtotal="0"/>
    <pivotField showAll="0" defaultSubtotal="0"/>
    <pivotField showAll="0" defaultSubtotal="0"/>
    <pivotField numFmtId="166" showAll="0"/>
    <pivotField numFmtId="166" showAll="0"/>
    <pivotField numFmtId="166" showAll="0"/>
    <pivotField numFmtId="166" multipleItemSelectionAllowed="1" showAll="0"/>
    <pivotField numFmtId="166" showAll="0">
      <items count="9">
        <item x="0"/>
        <item x="2"/>
        <item x="7"/>
        <item x="5"/>
        <item x="3"/>
        <item x="4"/>
        <item x="1"/>
        <item x="6"/>
        <item t="default"/>
      </items>
    </pivotField>
    <pivotField axis="axisRow" numFmtId="166" multipleItemSelectionAllowed="1" showAll="0" sortType="ascending" defaultSubtotal="0">
      <items count="9">
        <item x="2"/>
        <item h="1" m="1" x="7"/>
        <item h="1" x="5"/>
        <item h="1" m="1" x="6"/>
        <item h="1" m="1" x="8"/>
        <item x="1"/>
        <item x="0"/>
        <item x="3"/>
        <item x="4"/>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6">
    <i>
      <x/>
    </i>
    <i>
      <x v="5"/>
    </i>
    <i>
      <x v="6"/>
    </i>
    <i>
      <x v="7"/>
    </i>
    <i>
      <x v="8"/>
    </i>
    <i t="grand">
      <x/>
    </i>
  </rowItems>
  <colFields count="1">
    <field x="-2"/>
  </colFields>
  <colItems count="3">
    <i>
      <x/>
    </i>
    <i i="1">
      <x v="1"/>
    </i>
    <i i="2">
      <x v="2"/>
    </i>
  </colItems>
  <pageFields count="1">
    <pageField fld="0" hier="-1"/>
  </pageFields>
  <dataFields count="3">
    <dataField name="% Water coverage" fld="95" baseField="11" baseItem="0" numFmtId="9"/>
    <dataField name="% Latrine coverage" fld="94" baseField="0" baseItem="0" numFmtId="166"/>
    <dataField name="% Bathroom coverage" fld="96" baseField="0" baseItem="0" numFmtId="9"/>
  </dataFields>
  <formats count="29">
    <format dxfId="405">
      <pivotArea grandRow="1" outline="0" fieldPosition="0"/>
    </format>
    <format dxfId="404">
      <pivotArea outline="0" collapsedLevelsAreSubtotals="1" fieldPosition="0"/>
    </format>
    <format dxfId="403">
      <pivotArea type="all" dataOnly="0" outline="0" fieldPosition="0"/>
    </format>
    <format dxfId="402">
      <pivotArea outline="0" collapsedLevelsAreSubtotals="1" fieldPosition="0"/>
    </format>
    <format dxfId="401">
      <pivotArea dataOnly="0" labelOnly="1" grandRow="1" outline="0" fieldPosition="0"/>
    </format>
    <format dxfId="400">
      <pivotArea outline="0" collapsedLevelsAreSubtotals="1" fieldPosition="0"/>
    </format>
    <format dxfId="399">
      <pivotArea field="8" type="button" dataOnly="0" labelOnly="1" outline="0"/>
    </format>
    <format dxfId="398">
      <pivotArea dataOnly="0" labelOnly="1" grandRow="1" outline="0" fieldPosition="0"/>
    </format>
    <format dxfId="397">
      <pivotArea field="8" type="button" dataOnly="0" labelOnly="1" outline="0"/>
    </format>
    <format dxfId="396">
      <pivotArea dataOnly="0" labelOnly="1" grandRow="1" outline="0" fieldPosition="0"/>
    </format>
    <format dxfId="395">
      <pivotArea outline="0" collapsedLevelsAreSubtotals="1" fieldPosition="0"/>
    </format>
    <format dxfId="394">
      <pivotArea field="8" grandRow="1" outline="0" collapsedLevelsAreSubtotals="1">
        <references count="1">
          <reference field="4294967294" count="1" selected="0">
            <x v="1"/>
          </reference>
        </references>
      </pivotArea>
    </format>
    <format dxfId="393">
      <pivotArea outline="0" collapsedLevelsAreSubtotals="1" fieldPosition="0">
        <references count="1">
          <reference field="4294967294" count="1" selected="0">
            <x v="0"/>
          </reference>
        </references>
      </pivotArea>
    </format>
    <format dxfId="392">
      <pivotArea outline="0" fieldPosition="0">
        <references count="1">
          <reference field="4294967294" count="1">
            <x v="2"/>
          </reference>
        </references>
      </pivotArea>
    </format>
    <format dxfId="391">
      <pivotArea field="8" type="button" dataOnly="0" labelOnly="1" outline="0"/>
    </format>
    <format dxfId="390">
      <pivotArea dataOnly="0" labelOnly="1" outline="0" fieldPosition="0">
        <references count="1">
          <reference field="4294967294" count="3">
            <x v="0"/>
            <x v="1"/>
            <x v="2"/>
          </reference>
        </references>
      </pivotArea>
    </format>
    <format dxfId="389">
      <pivotArea outline="0" collapsedLevelsAreSubtotals="1" fieldPosition="0"/>
    </format>
    <format dxfId="388">
      <pivotArea dataOnly="0" labelOnly="1" outline="0" fieldPosition="0">
        <references count="1">
          <reference field="4294967294" count="3">
            <x v="0"/>
            <x v="1"/>
            <x v="2"/>
          </reference>
        </references>
      </pivotArea>
    </format>
    <format dxfId="387">
      <pivotArea field="8" type="button" dataOnly="0" labelOnly="1" outline="0"/>
    </format>
    <format dxfId="386">
      <pivotArea dataOnly="0" labelOnly="1" grandRow="1" outline="0" fieldPosition="0"/>
    </format>
    <format dxfId="385">
      <pivotArea outline="0" collapsedLevelsAreSubtotals="1" fieldPosition="0">
        <references count="1">
          <reference field="4294967294" count="1" selected="0">
            <x v="2"/>
          </reference>
        </references>
      </pivotArea>
    </format>
    <format dxfId="384">
      <pivotArea collapsedLevelsAreSubtotals="1" fieldPosition="0">
        <references count="1">
          <reference field="9" count="0"/>
        </references>
      </pivotArea>
    </format>
    <format dxfId="383">
      <pivotArea type="all" dataOnly="0" outline="0" fieldPosition="0"/>
    </format>
    <format dxfId="382">
      <pivotArea outline="0" collapsedLevelsAreSubtotals="1" fieldPosition="0"/>
    </format>
    <format dxfId="381">
      <pivotArea dataOnly="0" labelOnly="1" fieldPosition="0">
        <references count="1">
          <reference field="9" count="0"/>
        </references>
      </pivotArea>
    </format>
    <format dxfId="380">
      <pivotArea dataOnly="0" labelOnly="1" grandRow="1" outline="0" fieldPosition="0"/>
    </format>
    <format dxfId="379">
      <pivotArea dataOnly="0" labelOnly="1" outline="0" fieldPosition="0">
        <references count="1">
          <reference field="4294967294" count="3">
            <x v="0"/>
            <x v="1"/>
            <x v="2"/>
          </reference>
        </references>
      </pivotArea>
    </format>
    <format dxfId="378">
      <pivotArea field="9" type="button" dataOnly="0" labelOnly="1" outline="0" axis="axisRow" fieldPosition="0"/>
    </format>
    <format dxfId="377">
      <pivotArea field="0" type="button" dataOnly="0" labelOnly="1" outline="0" axis="axisPage" fieldPosition="0"/>
    </format>
  </formats>
  <chartFormats count="21">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1">
          <reference field="4294967294" count="1" selected="0">
            <x v="1"/>
          </reference>
        </references>
      </pivotArea>
    </chartFormat>
    <chartFormat chart="18"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3.xml><?xml version="1.0" encoding="utf-8"?>
<pivotTableDefinition xmlns="http://schemas.openxmlformats.org/spreadsheetml/2006/main" name="PivotTable4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B217:D225" firstHeaderRow="1" firstDataRow="2" firstDataCol="1" rowPageCount="1" colPageCount="1"/>
  <pivotFields count="111">
    <pivotField axis="axisRow" numFmtId="166" showAll="0" sortType="ascending">
      <items count="13">
        <item x="0"/>
        <item x="1"/>
        <item x="2"/>
        <item x="3"/>
        <item x="4"/>
        <item x="5"/>
        <item x="6"/>
        <item x="7"/>
        <item x="8"/>
        <item x="9"/>
        <item x="10"/>
        <item x="11"/>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n="Affected Villages" h="1" x="0"/>
        <item t="default"/>
      </items>
    </pivotField>
    <pivotField numFmtId="166" showAll="0">
      <items count="9">
        <item x="0"/>
        <item x="2"/>
        <item x="7"/>
        <item x="5"/>
        <item x="3"/>
        <item x="4"/>
        <item x="1"/>
        <item x="6"/>
        <item t="default"/>
      </items>
    </pivotField>
    <pivotField axis="axisCol" numFmtId="166" multipleItemSelectionAllowed="1" showAll="0" defaultSubtotal="0">
      <items count="9">
        <item h="1" m="1" x="7"/>
        <item h="1" m="1" x="6"/>
        <item h="1"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numFmtId="1"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dataField="1"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7">
    <i>
      <x v="1"/>
    </i>
    <i>
      <x v="6"/>
    </i>
    <i>
      <x v="7"/>
    </i>
    <i>
      <x v="9"/>
    </i>
    <i>
      <x v="10"/>
    </i>
    <i>
      <x v="11"/>
    </i>
    <i t="grand">
      <x/>
    </i>
  </rowItems>
  <colFields count="1">
    <field x="9"/>
  </colFields>
  <colItems count="2">
    <i>
      <x v="6"/>
    </i>
    <i t="grand">
      <x/>
    </i>
  </colItems>
  <pageFields count="1">
    <pageField fld="7" hier="-1"/>
  </pageFields>
  <dataFields count="1">
    <dataField name="# Additional Semi permanent latrines missing" fld="61" baseField="0" baseItem="0" numFmtId="1"/>
  </dataFields>
  <formats count="21">
    <format dxfId="426">
      <pivotArea outline="0" collapsedLevelsAreSubtotals="1" fieldPosition="0"/>
    </format>
    <format dxfId="425">
      <pivotArea type="all" dataOnly="0" outline="0" fieldPosition="0"/>
    </format>
    <format dxfId="424">
      <pivotArea type="all" dataOnly="0" outline="0" fieldPosition="0"/>
    </format>
    <format dxfId="423">
      <pivotArea collapsedLevelsAreSubtotals="1" fieldPosition="0">
        <references count="1">
          <reference field="0" count="4">
            <x v="6"/>
            <x v="7"/>
            <x v="9"/>
            <x v="10"/>
          </reference>
        </references>
      </pivotArea>
    </format>
    <format dxfId="422">
      <pivotArea dataOnly="0" labelOnly="1" fieldPosition="0">
        <references count="1">
          <reference field="0" count="0"/>
        </references>
      </pivotArea>
    </format>
    <format dxfId="421">
      <pivotArea collapsedLevelsAreSubtotals="1" fieldPosition="0">
        <references count="1">
          <reference field="0" count="0"/>
        </references>
      </pivotArea>
    </format>
    <format dxfId="420">
      <pivotArea collapsedLevelsAreSubtotals="1" fieldPosition="0">
        <references count="2">
          <reference field="0" count="0"/>
          <reference field="7" count="0" selected="0"/>
        </references>
      </pivotArea>
    </format>
    <format dxfId="419">
      <pivotArea dataOnly="0" labelOnly="1" fieldPosition="0">
        <references count="1">
          <reference field="7" count="0"/>
        </references>
      </pivotArea>
    </format>
    <format dxfId="418">
      <pivotArea dataOnly="0" labelOnly="1" grandCol="1" outline="0" fieldPosition="0"/>
    </format>
    <format dxfId="417">
      <pivotArea dataOnly="0" outline="0" fieldPosition="0">
        <references count="1">
          <reference field="7" count="0"/>
        </references>
      </pivotArea>
    </format>
    <format dxfId="416">
      <pivotArea dataOnly="0" labelOnly="1" fieldPosition="0">
        <references count="1">
          <reference field="7" count="0"/>
        </references>
      </pivotArea>
    </format>
    <format dxfId="415">
      <pivotArea dataOnly="0" labelOnly="1" grandCol="1" outline="0" fieldPosition="0"/>
    </format>
    <format dxfId="414">
      <pivotArea type="origin" dataOnly="0" labelOnly="1" outline="0" fieldPosition="0"/>
    </format>
    <format dxfId="413">
      <pivotArea type="origin" dataOnly="0" labelOnly="1" outline="0" fieldPosition="0"/>
    </format>
    <format dxfId="412">
      <pivotArea field="8" type="button" dataOnly="0" labelOnly="1" outline="0"/>
    </format>
    <format dxfId="411">
      <pivotArea grandRow="1" outline="0" collapsedLevelsAreSubtotals="1" fieldPosition="0"/>
    </format>
    <format dxfId="410">
      <pivotArea field="7" type="button" dataOnly="0" labelOnly="1" outline="0" axis="axisPage" fieldPosition="0"/>
    </format>
    <format dxfId="409">
      <pivotArea type="topRight" dataOnly="0" labelOnly="1" outline="0" fieldPosition="0"/>
    </format>
    <format dxfId="408">
      <pivotArea outline="0" collapsedLevelsAreSubtotals="1" fieldPosition="0"/>
    </format>
    <format dxfId="407">
      <pivotArea dataOnly="0" labelOnly="1" fieldPosition="0">
        <references count="1">
          <reference field="9" count="0"/>
        </references>
      </pivotArea>
    </format>
    <format dxfId="406">
      <pivotArea dataOnly="0" labelOnly="1" grandCol="1" outline="0" fieldPosition="0"/>
    </format>
  </formats>
  <chartFormats count="10">
    <chartFormat chart="37" format="78" series="1">
      <pivotArea type="data" outline="0" fieldPosition="0">
        <references count="2">
          <reference field="4294967294" count="1" selected="0">
            <x v="0"/>
          </reference>
          <reference field="7" count="1" selected="0">
            <x v="0"/>
          </reference>
        </references>
      </pivotArea>
    </chartFormat>
    <chartFormat chart="37" format="79" series="1">
      <pivotArea type="data" outline="0" fieldPosition="0">
        <references count="2">
          <reference field="4294967294" count="1" selected="0">
            <x v="0"/>
          </reference>
          <reference field="7" count="1" selected="0">
            <x v="1"/>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 chart="3" format="5" series="1">
      <pivotArea type="data" outline="0" fieldPosition="0">
        <references count="2">
          <reference field="4294967294" count="1" selected="0">
            <x v="0"/>
          </reference>
          <reference field="9" count="1" selected="0">
            <x v="5"/>
          </reference>
        </references>
      </pivotArea>
    </chartFormat>
    <chartFormat chart="3" format="6" series="1">
      <pivotArea type="data" outline="0" fieldPosition="0">
        <references count="2">
          <reference field="4294967294" count="1" selected="0">
            <x v="0"/>
          </reference>
          <reference field="9" count="1" selected="0">
            <x v="6"/>
          </reference>
        </references>
      </pivotArea>
    </chartFormat>
    <chartFormat chart="3" format="7" series="1">
      <pivotArea type="data" outline="0" fieldPosition="0">
        <references count="2">
          <reference field="4294967294" count="1" selected="0">
            <x v="0"/>
          </reference>
          <reference field="9" count="1" selected="0">
            <x v="7"/>
          </reference>
        </references>
      </pivotArea>
    </chartFormat>
  </chartFormats>
  <pivotTableStyleInfo name="PivotStyleLight22" showRowHeaders="1" showColHeaders="1" showRowStripes="0" showColStripes="0" showLastColumn="1"/>
</pivotTableDefinition>
</file>

<file path=xl/pivotTables/pivotTable24.xml><?xml version="1.0" encoding="utf-8"?>
<pivotTableDefinition xmlns="http://schemas.openxmlformats.org/spreadsheetml/2006/main" name="PivotTable47"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7" rowHeaderCaption="Population Type">
  <location ref="B10:E15" firstHeaderRow="1" firstDataRow="2" firstDataCol="1" rowPageCount="1" colPageCount="1"/>
  <pivotFields count="111">
    <pivotField numFmtId="166" multipleItemSelectionAllowed="1" showAll="0"/>
    <pivotField showAll="0" defaultSubtotal="0"/>
    <pivotField showAll="0" defaultSubtotal="0"/>
    <pivotField showAll="0" defaultSubtotal="0"/>
    <pivotField numFmtId="166" showAll="0"/>
    <pivotField numFmtId="166" showAll="0"/>
    <pivotField numFmtId="166" showAll="0"/>
    <pivotField numFmtId="166" showAll="0"/>
    <pivotField axis="axisRow" numFmtId="166" showAll="0">
      <items count="9">
        <item x="0"/>
        <item x="2"/>
        <item x="7"/>
        <item x="5"/>
        <item x="3"/>
        <item x="4"/>
        <item x="1"/>
        <item x="6"/>
        <item t="default"/>
      </items>
    </pivotField>
    <pivotField axis="axisPage" numFmtId="166" multipleItemSelectionAllowed="1" showAll="0" defaultSubtotal="0">
      <items count="9">
        <item m="1" x="7"/>
        <item m="1" x="6"/>
        <item m="1" x="8"/>
        <item h="1" x="1"/>
        <item h="1" x="0"/>
        <item h="1" x="3"/>
        <item x="2"/>
        <item h="1"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
  </rowFields>
  <rowItems count="4">
    <i>
      <x/>
    </i>
    <i>
      <x v="1"/>
    </i>
    <i>
      <x v="2"/>
    </i>
    <i t="grand">
      <x/>
    </i>
  </rowItems>
  <colFields count="1">
    <field x="-2"/>
  </colFields>
  <colItems count="3">
    <i>
      <x/>
    </i>
    <i i="1">
      <x v="1"/>
    </i>
    <i i="2">
      <x v="2"/>
    </i>
  </colItems>
  <pageFields count="1">
    <pageField fld="9" hier="-1"/>
  </pageFields>
  <dataFields count="3">
    <dataField name="% Water coverage" fld="95" baseField="0" baseItem="0" numFmtId="9"/>
    <dataField name="% Latrine coverage" fld="94" baseField="0" baseItem="0" numFmtId="166"/>
    <dataField name="% Bathroom coverage" fld="96" baseField="0" baseItem="0" numFmtId="10"/>
  </dataFields>
  <formats count="29">
    <format dxfId="455">
      <pivotArea grandRow="1" outline="0" fieldPosition="0"/>
    </format>
    <format dxfId="454">
      <pivotArea outline="0" collapsedLevelsAreSubtotals="1" fieldPosition="0"/>
    </format>
    <format dxfId="453">
      <pivotArea type="all" dataOnly="0" outline="0" fieldPosition="0"/>
    </format>
    <format dxfId="452">
      <pivotArea outline="0" collapsedLevelsAreSubtotals="1" fieldPosition="0"/>
    </format>
    <format dxfId="451">
      <pivotArea dataOnly="0" labelOnly="1" grandRow="1" outline="0" fieldPosition="0"/>
    </format>
    <format dxfId="450">
      <pivotArea outline="0" collapsedLevelsAreSubtotals="1" fieldPosition="0"/>
    </format>
    <format dxfId="449">
      <pivotArea field="8" type="button" dataOnly="0" labelOnly="1" outline="0" axis="axisRow" fieldPosition="0"/>
    </format>
    <format dxfId="448">
      <pivotArea dataOnly="0" labelOnly="1" grandRow="1" outline="0" fieldPosition="0"/>
    </format>
    <format dxfId="447">
      <pivotArea field="8" type="button" dataOnly="0" labelOnly="1" outline="0" axis="axisRow" fieldPosition="0"/>
    </format>
    <format dxfId="446">
      <pivotArea dataOnly="0" labelOnly="1" grandRow="1" outline="0" fieldPosition="0"/>
    </format>
    <format dxfId="445">
      <pivotArea outline="0" collapsedLevelsAreSubtotals="1" fieldPosition="0"/>
    </format>
    <format dxfId="444">
      <pivotArea field="8" grandRow="1" outline="0" collapsedLevelsAreSubtotals="1" axis="axisRow" fieldPosition="0">
        <references count="1">
          <reference field="4294967294" count="1" selected="0">
            <x v="1"/>
          </reference>
        </references>
      </pivotArea>
    </format>
    <format dxfId="443">
      <pivotArea outline="0" collapsedLevelsAreSubtotals="1" fieldPosition="0">
        <references count="1">
          <reference field="4294967294" count="1" selected="0">
            <x v="0"/>
          </reference>
        </references>
      </pivotArea>
    </format>
    <format dxfId="442">
      <pivotArea outline="0" fieldPosition="0">
        <references count="1">
          <reference field="4294967294" count="1">
            <x v="2"/>
          </reference>
        </references>
      </pivotArea>
    </format>
    <format dxfId="441">
      <pivotArea outline="0" collapsedLevelsAreSubtotals="1" fieldPosition="0">
        <references count="1">
          <reference field="4294967294" count="1" selected="0">
            <x v="2"/>
          </reference>
        </references>
      </pivotArea>
    </format>
    <format dxfId="440">
      <pivotArea field="8" type="button" dataOnly="0" labelOnly="1" outline="0" axis="axisRow" fieldPosition="0"/>
    </format>
    <format dxfId="439">
      <pivotArea dataOnly="0" labelOnly="1" outline="0" fieldPosition="0">
        <references count="1">
          <reference field="4294967294" count="3">
            <x v="0"/>
            <x v="1"/>
            <x v="2"/>
          </reference>
        </references>
      </pivotArea>
    </format>
    <format dxfId="438">
      <pivotArea outline="0" collapsedLevelsAreSubtotals="1" fieldPosition="0"/>
    </format>
    <format dxfId="437">
      <pivotArea field="8" type="button" dataOnly="0" labelOnly="1" outline="0" axis="axisRow" fieldPosition="0"/>
    </format>
    <format dxfId="436">
      <pivotArea collapsedLevelsAreSubtotals="1" fieldPosition="0">
        <references count="2">
          <reference field="4294967294" count="1" selected="0">
            <x v="1"/>
          </reference>
          <reference field="8" count="3">
            <x v="0"/>
            <x v="1"/>
            <x v="2"/>
          </reference>
        </references>
      </pivotArea>
    </format>
    <format dxfId="435">
      <pivotArea outline="0" collapsedLevelsAreSubtotals="1" fieldPosition="0"/>
    </format>
    <format dxfId="434">
      <pivotArea type="all" dataOnly="0" outline="0" fieldPosition="0"/>
    </format>
    <format dxfId="433">
      <pivotArea outline="0" collapsedLevelsAreSubtotals="1" fieldPosition="0"/>
    </format>
    <format dxfId="432">
      <pivotArea type="all" dataOnly="0" outline="0" fieldPosition="0"/>
    </format>
    <format dxfId="431">
      <pivotArea outline="0" collapsedLevelsAreSubtotals="1" fieldPosition="0"/>
    </format>
    <format dxfId="430">
      <pivotArea dataOnly="0" labelOnly="1" fieldPosition="0">
        <references count="1">
          <reference field="8" count="3">
            <x v="0"/>
            <x v="1"/>
            <x v="2"/>
          </reference>
        </references>
      </pivotArea>
    </format>
    <format dxfId="429">
      <pivotArea dataOnly="0" labelOnly="1" grandRow="1" outline="0" fieldPosition="0"/>
    </format>
    <format dxfId="428">
      <pivotArea dataOnly="0" labelOnly="1" outline="0" fieldPosition="0">
        <references count="1">
          <reference field="4294967294" count="3">
            <x v="0"/>
            <x v="1"/>
            <x v="2"/>
          </reference>
        </references>
      </pivotArea>
    </format>
    <format dxfId="427">
      <pivotArea field="9" type="button" dataOnly="0" labelOnly="1" outline="0" axis="axisPage" fieldPosition="0"/>
    </format>
  </formats>
  <chartFormats count="27">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7" format="12" series="1">
      <pivotArea type="data" outline="0" fieldPosition="0">
        <references count="1">
          <reference field="4294967294" count="1" selected="0">
            <x v="0"/>
          </reference>
        </references>
      </pivotArea>
    </chartFormat>
    <chartFormat chart="7" format="13" series="1">
      <pivotArea type="data" outline="0" fieldPosition="0">
        <references count="1">
          <reference field="4294967294" count="1" selected="0">
            <x v="1"/>
          </reference>
        </references>
      </pivotArea>
    </chartFormat>
    <chartFormat chart="7" format="14"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4" format="3" series="1">
      <pivotArea type="data" outline="0" fieldPosition="0">
        <references count="1">
          <reference field="4294967294" count="1" selected="0">
            <x v="0"/>
          </reference>
        </references>
      </pivotArea>
    </chartFormat>
    <chartFormat chart="24" format="4" series="1">
      <pivotArea type="data" outline="0" fieldPosition="0">
        <references count="1">
          <reference field="4294967294" count="1" selected="0">
            <x v="1"/>
          </reference>
        </references>
      </pivotArea>
    </chartFormat>
    <chartFormat chart="24" format="5" series="1">
      <pivotArea type="data" outline="0" fieldPosition="0">
        <references count="1">
          <reference field="4294967294" count="1" selected="0">
            <x v="2"/>
          </reference>
        </references>
      </pivotArea>
    </chartFormat>
    <chartFormat chart="35" format="3" series="1">
      <pivotArea type="data" outline="0" fieldPosition="0">
        <references count="1">
          <reference field="4294967294" count="1" selected="0">
            <x v="0"/>
          </reference>
        </references>
      </pivotArea>
    </chartFormat>
    <chartFormat chart="35" format="4" series="1">
      <pivotArea type="data" outline="0" fieldPosition="0">
        <references count="1">
          <reference field="4294967294" count="1" selected="0">
            <x v="1"/>
          </reference>
        </references>
      </pivotArea>
    </chartFormat>
    <chartFormat chart="35"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5.xml><?xml version="1.0" encoding="utf-8"?>
<pivotTableDefinition xmlns="http://schemas.openxmlformats.org/spreadsheetml/2006/main" name="PivotTable50"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8" rowHeaderCaption="Locality">
  <location ref="B44:E57" firstHeaderRow="1" firstDataRow="2" firstDataCol="1" rowPageCount="2" colPageCount="1"/>
  <pivotFields count="111">
    <pivotField axis="axisPage" numFmtId="166" multipleItemSelectionAllowed="1" showAll="0">
      <items count="13">
        <item h="1" x="1"/>
        <item x="2"/>
        <item h="1" x="4"/>
        <item h="1" x="5"/>
        <item h="1" x="6"/>
        <item h="1" x="7"/>
        <item h="1" x="9"/>
        <item h="1" x="10"/>
        <item h="1" x="11"/>
        <item h="1" x="8"/>
        <item h="1" x="0"/>
        <item h="1" x="3"/>
        <item t="default"/>
      </items>
    </pivotField>
    <pivotField showAll="0" defaultSubtotal="0"/>
    <pivotField showAll="0" defaultSubtotal="0"/>
    <pivotField showAll="0" defaultSubtotal="0"/>
    <pivotField axis="axisRow" numFmtId="166" showAll="0">
      <items count="297">
        <item x="182"/>
        <item x="200"/>
        <item x="201"/>
        <item x="226"/>
        <item m="1" x="274"/>
        <item x="202"/>
        <item x="82"/>
        <item x="203"/>
        <item x="227"/>
        <item x="155"/>
        <item x="204"/>
        <item m="1" x="287"/>
        <item x="229"/>
        <item m="1" x="285"/>
        <item x="230"/>
        <item x="231"/>
        <item x="69"/>
        <item x="205"/>
        <item x="156"/>
        <item x="157"/>
        <item x="158"/>
        <item x="206"/>
        <item m="1" x="268"/>
        <item x="208"/>
        <item x="232"/>
        <item x="233"/>
        <item x="234"/>
        <item x="209"/>
        <item x="83"/>
        <item m="1" x="291"/>
        <item x="84"/>
        <item x="85"/>
        <item m="1" x="265"/>
        <item x="86"/>
        <item x="71"/>
        <item x="173"/>
        <item x="236"/>
        <item x="87"/>
        <item x="210"/>
        <item m="1" x="276"/>
        <item m="1" x="275"/>
        <item x="73"/>
        <item x="184"/>
        <item m="1" x="288"/>
        <item x="89"/>
        <item x="238"/>
        <item x="239"/>
        <item m="1" x="282"/>
        <item x="240"/>
        <item x="241"/>
        <item x="185"/>
        <item x="186"/>
        <item x="90"/>
        <item x="214"/>
        <item x="215"/>
        <item x="216"/>
        <item x="243"/>
        <item m="1" x="290"/>
        <item m="1" x="279"/>
        <item m="1" x="294"/>
        <item x="246"/>
        <item x="247"/>
        <item m="1" x="280"/>
        <item x="163"/>
        <item m="1" x="292"/>
        <item x="217"/>
        <item x="159"/>
        <item x="219"/>
        <item x="91"/>
        <item x="250"/>
        <item x="220"/>
        <item m="1" x="270"/>
        <item x="187"/>
        <item m="1" x="266"/>
        <item x="76"/>
        <item x="199"/>
        <item x="165"/>
        <item m="1" x="286"/>
        <item x="160"/>
        <item x="253"/>
        <item x="254"/>
        <item m="1" x="289"/>
        <item x="255"/>
        <item x="161"/>
        <item x="257"/>
        <item x="258"/>
        <item x="92"/>
        <item x="93"/>
        <item x="223"/>
        <item m="1" x="272"/>
        <item x="224"/>
        <item x="190"/>
        <item m="1" x="278"/>
        <item m="1" x="284"/>
        <item x="95"/>
        <item x="178"/>
        <item x="162"/>
        <item m="1" x="293"/>
        <item x="225"/>
        <item x="259"/>
        <item x="260"/>
        <item x="261"/>
        <item m="1" x="283"/>
        <item x="263"/>
        <item x="97"/>
        <item m="1" x="281"/>
        <item m="1" x="269"/>
        <item x="98"/>
        <item m="1" x="273"/>
        <item x="166"/>
        <item x="167"/>
        <item x="99"/>
        <item x="100"/>
        <item x="264"/>
        <item x="189"/>
        <item x="222"/>
        <item x="244"/>
        <item m="1" x="295"/>
        <item x="192"/>
        <item x="193"/>
        <item x="194"/>
        <item x="195"/>
        <item x="196"/>
        <item x="197"/>
        <item x="198"/>
        <item m="1" x="271"/>
        <item x="212"/>
        <item x="213"/>
        <item x="221"/>
        <item x="80"/>
        <item x="81"/>
        <item x="183"/>
        <item x="245"/>
        <item m="1" x="277"/>
        <item x="168"/>
        <item x="169"/>
        <item x="177"/>
        <item m="1" x="267"/>
        <item x="248"/>
        <item x="249"/>
        <item x="251"/>
        <item x="252"/>
        <item x="170"/>
        <item x="181"/>
        <item x="171"/>
        <item x="172"/>
        <item x="174"/>
        <item x="175"/>
        <item x="176"/>
        <item x="180"/>
        <item x="242"/>
        <item x="207"/>
        <item x="94"/>
        <item x="164"/>
        <item x="70"/>
        <item x="72"/>
        <item x="74"/>
        <item x="75"/>
        <item x="77"/>
        <item x="78"/>
        <item x="79"/>
        <item x="88"/>
        <item x="96"/>
        <item x="256"/>
        <item x="179"/>
        <item x="188"/>
        <item x="191"/>
        <item x="228"/>
        <item x="235"/>
        <item x="237"/>
        <item x="211"/>
        <item x="218"/>
        <item x="262"/>
        <item x="10"/>
        <item x="24"/>
        <item x="31"/>
        <item x="52"/>
        <item x="55"/>
        <item x="8"/>
        <item x="11"/>
        <item x="12"/>
        <item x="33"/>
        <item x="64"/>
        <item x="13"/>
        <item x="29"/>
        <item x="47"/>
        <item x="60"/>
        <item x="61"/>
        <item x="16"/>
        <item x="26"/>
        <item x="27"/>
        <item x="37"/>
        <item x="40"/>
        <item x="42"/>
        <item x="43"/>
        <item x="53"/>
        <item x="57"/>
        <item x="1"/>
        <item x="7"/>
        <item x="41"/>
        <item x="44"/>
        <item x="50"/>
        <item x="51"/>
        <item x="66"/>
        <item x="114"/>
        <item x="146"/>
        <item x="113"/>
        <item x="117"/>
        <item x="108"/>
        <item x="138"/>
        <item x="143"/>
        <item x="115"/>
        <item x="150"/>
        <item x="135"/>
        <item x="105"/>
        <item x="116"/>
        <item x="126"/>
        <item x="142"/>
        <item x="133"/>
        <item x="107"/>
        <item x="123"/>
        <item x="141"/>
        <item x="153"/>
        <item x="112"/>
        <item x="110"/>
        <item x="140"/>
        <item x="120"/>
        <item x="136"/>
        <item x="147"/>
        <item x="127"/>
        <item x="149"/>
        <item x="15"/>
        <item x="14"/>
        <item x="2"/>
        <item x="67"/>
        <item x="30"/>
        <item x="19"/>
        <item x="49"/>
        <item x="32"/>
        <item x="5"/>
        <item x="35"/>
        <item x="28"/>
        <item x="65"/>
        <item x="63"/>
        <item x="6"/>
        <item x="20"/>
        <item x="22"/>
        <item x="21"/>
        <item x="4"/>
        <item x="0"/>
        <item x="34"/>
        <item x="36"/>
        <item x="39"/>
        <item x="18"/>
        <item x="9"/>
        <item x="25"/>
        <item x="45"/>
        <item x="48"/>
        <item x="62"/>
        <item x="38"/>
        <item x="68"/>
        <item x="3"/>
        <item x="59"/>
        <item x="58"/>
        <item x="46"/>
        <item x="17"/>
        <item x="54"/>
        <item x="56"/>
        <item x="23"/>
        <item x="106"/>
        <item x="139"/>
        <item x="118"/>
        <item x="111"/>
        <item x="128"/>
        <item x="130"/>
        <item x="129"/>
        <item x="151"/>
        <item x="122"/>
        <item x="124"/>
        <item x="131"/>
        <item x="137"/>
        <item x="148"/>
        <item x="104"/>
        <item x="103"/>
        <item x="121"/>
        <item x="109"/>
        <item x="102"/>
        <item x="154"/>
        <item x="101"/>
        <item x="134"/>
        <item x="119"/>
        <item x="152"/>
        <item x="144"/>
        <item x="132"/>
        <item x="125"/>
        <item x="145"/>
        <item t="default"/>
      </items>
    </pivotField>
    <pivotField numFmtId="166" showAll="0"/>
    <pivotField numFmtId="166" showAll="0"/>
    <pivotField numFmtId="166" showAll="0"/>
    <pivotField numFmtId="166" showAll="0">
      <items count="9">
        <item x="0"/>
        <item x="2"/>
        <item x="7"/>
        <item x="5"/>
        <item x="3"/>
        <item x="4"/>
        <item x="1"/>
        <item x="6"/>
        <item t="default"/>
      </items>
    </pivotField>
    <pivotField axis="axisPage" numFmtId="166" multipleItemSelectionAllowed="1" showAll="0" defaultSubtotal="0">
      <items count="9">
        <item h="1" m="1" x="7"/>
        <item m="1" x="6"/>
        <item h="1" m="1" x="8"/>
        <item h="1"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2">
    <i>
      <x v="6"/>
    </i>
    <i>
      <x v="30"/>
    </i>
    <i>
      <x v="33"/>
    </i>
    <i>
      <x v="37"/>
    </i>
    <i>
      <x v="44"/>
    </i>
    <i>
      <x v="52"/>
    </i>
    <i>
      <x v="86"/>
    </i>
    <i>
      <x v="111"/>
    </i>
    <i>
      <x v="129"/>
    </i>
    <i>
      <x v="130"/>
    </i>
    <i>
      <x v="152"/>
    </i>
    <i t="grand">
      <x/>
    </i>
  </rowItems>
  <colFields count="1">
    <field x="-2"/>
  </colFields>
  <colItems count="3">
    <i>
      <x/>
    </i>
    <i i="1">
      <x v="1"/>
    </i>
    <i i="2">
      <x v="2"/>
    </i>
  </colItems>
  <pageFields count="2">
    <pageField fld="9" hier="-1"/>
    <pageField fld="0" hier="-1"/>
  </pageFields>
  <dataFields count="3">
    <dataField name="Water coverage %" fld="95" baseField="2" baseItem="0" numFmtId="9"/>
    <dataField name="Latrine coverage %" fld="94" baseField="2" baseItem="0" numFmtId="166"/>
    <dataField name="Bathroom coverage %" fld="96" baseField="2" baseItem="0" numFmtId="10"/>
  </dataFields>
  <formats count="30">
    <format dxfId="485">
      <pivotArea outline="0" collapsedLevelsAreSubtotals="1" fieldPosition="0"/>
    </format>
    <format dxfId="484">
      <pivotArea type="all" dataOnly="0" outline="0" fieldPosition="0"/>
    </format>
    <format dxfId="483">
      <pivotArea outline="0" collapsedLevelsAreSubtotals="1" fieldPosition="0"/>
    </format>
    <format dxfId="482">
      <pivotArea dataOnly="0" labelOnly="1" grandRow="1" outline="0" fieldPosition="0"/>
    </format>
    <format dxfId="481">
      <pivotArea outline="0" collapsedLevelsAreSubtotals="1" fieldPosition="0"/>
    </format>
    <format dxfId="480">
      <pivotArea field="8" type="button" dataOnly="0" labelOnly="1" outline="0"/>
    </format>
    <format dxfId="479">
      <pivotArea dataOnly="0" labelOnly="1" grandRow="1" outline="0" fieldPosition="0"/>
    </format>
    <format dxfId="478">
      <pivotArea field="8" type="button" dataOnly="0" labelOnly="1" outline="0"/>
    </format>
    <format dxfId="477">
      <pivotArea dataOnly="0" labelOnly="1" grandRow="1" outline="0" fieldPosition="0"/>
    </format>
    <format dxfId="476">
      <pivotArea outline="0" collapsedLevelsAreSubtotals="1" fieldPosition="0"/>
    </format>
    <format dxfId="475">
      <pivotArea field="8" grandRow="1" outline="0" collapsedLevelsAreSubtotals="1">
        <references count="1">
          <reference field="4294967294" count="1" selected="0">
            <x v="1"/>
          </reference>
        </references>
      </pivotArea>
    </format>
    <format dxfId="474">
      <pivotArea outline="0" collapsedLevelsAreSubtotals="1" fieldPosition="0">
        <references count="1">
          <reference field="4294967294" count="1" selected="0">
            <x v="0"/>
          </reference>
        </references>
      </pivotArea>
    </format>
    <format dxfId="473">
      <pivotArea outline="0" fieldPosition="0">
        <references count="1">
          <reference field="4294967294" count="1">
            <x v="2"/>
          </reference>
        </references>
      </pivotArea>
    </format>
    <format dxfId="472">
      <pivotArea outline="0" collapsedLevelsAreSubtotals="1" fieldPosition="0">
        <references count="1">
          <reference field="4294967294" count="1" selected="0">
            <x v="2"/>
          </reference>
        </references>
      </pivotArea>
    </format>
    <format dxfId="471">
      <pivotArea field="8" type="button" dataOnly="0" labelOnly="1" outline="0"/>
    </format>
    <format dxfId="470">
      <pivotArea dataOnly="0" labelOnly="1" outline="0" fieldPosition="0">
        <references count="1">
          <reference field="4294967294" count="3">
            <x v="0"/>
            <x v="1"/>
            <x v="2"/>
          </reference>
        </references>
      </pivotArea>
    </format>
    <format dxfId="469">
      <pivotArea outline="0" collapsedLevelsAreSubtotals="1" fieldPosition="0"/>
    </format>
    <format dxfId="468">
      <pivotArea dataOnly="0" labelOnly="1" outline="0" fieldPosition="0">
        <references count="1">
          <reference field="4294967294" count="3">
            <x v="0"/>
            <x v="1"/>
            <x v="2"/>
          </reference>
        </references>
      </pivotArea>
    </format>
    <format dxfId="467">
      <pivotArea field="8" type="button" dataOnly="0" labelOnly="1" outline="0"/>
    </format>
    <format dxfId="466">
      <pivotArea dataOnly="0" labelOnly="1" grandRow="1" outline="0" fieldPosition="0"/>
    </format>
    <format dxfId="465">
      <pivotArea collapsedLevelsAreSubtotals="1" fieldPosition="0">
        <references count="1">
          <reference field="4" count="23">
            <x v="0"/>
            <x v="2"/>
            <x v="4"/>
            <x v="5"/>
            <x v="9"/>
            <x v="11"/>
            <x v="12"/>
            <x v="14"/>
            <x v="15"/>
            <x v="18"/>
            <x v="19"/>
            <x v="20"/>
            <x v="21"/>
            <x v="24"/>
            <x v="25"/>
            <x v="29"/>
            <x v="32"/>
            <x v="33"/>
            <x v="34"/>
            <x v="35"/>
            <x v="36"/>
            <x v="37"/>
            <x v="38"/>
          </reference>
        </references>
      </pivotArea>
    </format>
    <format dxfId="464">
      <pivotArea collapsedLevelsAreSubtotals="1" fieldPosition="0">
        <references count="1">
          <reference field="4" count="40">
            <x v="36"/>
            <x v="37"/>
            <x v="38"/>
            <x v="41"/>
            <x v="42"/>
            <x v="44"/>
            <x v="45"/>
            <x v="50"/>
            <x v="51"/>
            <x v="52"/>
            <x v="54"/>
            <x v="57"/>
            <x v="58"/>
            <x v="59"/>
            <x v="63"/>
            <x v="66"/>
            <x v="69"/>
            <x v="75"/>
            <x v="76"/>
            <x v="78"/>
            <x v="79"/>
            <x v="80"/>
            <x v="82"/>
            <x v="83"/>
            <x v="84"/>
            <x v="85"/>
            <x v="86"/>
            <x v="91"/>
            <x v="92"/>
            <x v="95"/>
            <x v="96"/>
            <x v="99"/>
            <x v="100"/>
            <x v="101"/>
            <x v="102"/>
            <x v="103"/>
            <x v="107"/>
            <x v="109"/>
            <x v="110"/>
            <x v="111"/>
          </reference>
        </references>
      </pivotArea>
    </format>
    <format dxfId="463">
      <pivotArea grandRow="1" outline="0" collapsedLevelsAreSubtotals="1" fieldPosition="0"/>
    </format>
    <format dxfId="462">
      <pivotArea type="all" dataOnly="0" outline="0" fieldPosition="0"/>
    </format>
    <format dxfId="461">
      <pivotArea outline="0" collapsedLevelsAreSubtotals="1" fieldPosition="0"/>
    </format>
    <format dxfId="460">
      <pivotArea dataOnly="0" labelOnly="1" fieldPosition="0">
        <references count="1">
          <reference field="4" count="50">
            <x v="0"/>
            <x v="2"/>
            <x v="4"/>
            <x v="5"/>
            <x v="9"/>
            <x v="11"/>
            <x v="12"/>
            <x v="14"/>
            <x v="15"/>
            <x v="18"/>
            <x v="19"/>
            <x v="20"/>
            <x v="21"/>
            <x v="24"/>
            <x v="25"/>
            <x v="29"/>
            <x v="32"/>
            <x v="33"/>
            <x v="34"/>
            <x v="35"/>
            <x v="36"/>
            <x v="37"/>
            <x v="38"/>
            <x v="41"/>
            <x v="42"/>
            <x v="44"/>
            <x v="45"/>
            <x v="50"/>
            <x v="51"/>
            <x v="52"/>
            <x v="54"/>
            <x v="57"/>
            <x v="58"/>
            <x v="59"/>
            <x v="63"/>
            <x v="66"/>
            <x v="69"/>
            <x v="75"/>
            <x v="76"/>
            <x v="78"/>
            <x v="79"/>
            <x v="80"/>
            <x v="82"/>
            <x v="83"/>
            <x v="84"/>
            <x v="85"/>
            <x v="86"/>
            <x v="91"/>
            <x v="92"/>
            <x v="95"/>
          </reference>
        </references>
      </pivotArea>
    </format>
    <format dxfId="459">
      <pivotArea dataOnly="0" labelOnly="1" fieldPosition="0">
        <references count="1">
          <reference field="4" count="10">
            <x v="96"/>
            <x v="99"/>
            <x v="100"/>
            <x v="101"/>
            <x v="102"/>
            <x v="103"/>
            <x v="107"/>
            <x v="109"/>
            <x v="110"/>
            <x v="111"/>
          </reference>
        </references>
      </pivotArea>
    </format>
    <format dxfId="458">
      <pivotArea dataOnly="0" labelOnly="1" grandRow="1" outline="0" fieldPosition="0"/>
    </format>
    <format dxfId="457">
      <pivotArea dataOnly="0" labelOnly="1" outline="0" fieldPosition="0">
        <references count="1">
          <reference field="4294967294" count="3">
            <x v="0"/>
            <x v="1"/>
            <x v="2"/>
          </reference>
        </references>
      </pivotArea>
    </format>
    <format dxfId="456">
      <pivotArea outline="0" collapsedLevelsAreSubtotals="1" fieldPosition="0"/>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6.xml><?xml version="1.0" encoding="utf-8"?>
<pivotTableDefinition xmlns="http://schemas.openxmlformats.org/spreadsheetml/2006/main" name="PivotTable49"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55" rowHeaderCaption="Population Type">
  <location ref="B26:E40" firstHeaderRow="1" firstDataRow="2" firstDataCol="1" rowPageCount="1" colPageCount="1"/>
  <pivotFields count="111">
    <pivotField axis="axisRow"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numFmtId="166" showAll="0"/>
    <pivotField numFmtId="166" showAll="0">
      <items count="9">
        <item x="0"/>
        <item x="2"/>
        <item x="7"/>
        <item x="5"/>
        <item x="3"/>
        <item x="4"/>
        <item x="1"/>
        <item x="6"/>
        <item t="default"/>
      </items>
    </pivotField>
    <pivotField axis="axisPage" numFmtId="166" multipleItemSelectionAllowed="1" showAll="0" defaultSubtotal="0">
      <items count="9">
        <item m="1" x="7"/>
        <item m="1" x="6"/>
        <item m="1" x="8"/>
        <item x="1"/>
        <item x="0"/>
        <item x="3"/>
        <item x="2"/>
        <item x="4"/>
        <item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pageFields count="1">
    <pageField fld="9" hier="-1"/>
  </pageFields>
  <dataFields count="3">
    <dataField name="% Water coverage" fld="95" baseField="0" baseItem="0" numFmtId="9"/>
    <dataField name="% Latrine coverage" fld="94" baseField="0" baseItem="0" numFmtId="166"/>
    <dataField name="% Bathroom coverage" fld="96" baseField="0" baseItem="0" numFmtId="10"/>
  </dataFields>
  <formats count="31">
    <format dxfId="516">
      <pivotArea grandRow="1" outline="0" fieldPosition="0"/>
    </format>
    <format dxfId="515">
      <pivotArea outline="0" collapsedLevelsAreSubtotals="1" fieldPosition="0"/>
    </format>
    <format dxfId="514">
      <pivotArea type="all" dataOnly="0" outline="0" fieldPosition="0"/>
    </format>
    <format dxfId="513">
      <pivotArea outline="0" collapsedLevelsAreSubtotals="1" fieldPosition="0"/>
    </format>
    <format dxfId="512">
      <pivotArea dataOnly="0" labelOnly="1" grandRow="1" outline="0" fieldPosition="0"/>
    </format>
    <format dxfId="511">
      <pivotArea outline="0" collapsedLevelsAreSubtotals="1" fieldPosition="0"/>
    </format>
    <format dxfId="510">
      <pivotArea field="8" type="button" dataOnly="0" labelOnly="1" outline="0"/>
    </format>
    <format dxfId="509">
      <pivotArea dataOnly="0" labelOnly="1" grandRow="1" outline="0" fieldPosition="0"/>
    </format>
    <format dxfId="508">
      <pivotArea field="8" type="button" dataOnly="0" labelOnly="1" outline="0"/>
    </format>
    <format dxfId="507">
      <pivotArea dataOnly="0" labelOnly="1" grandRow="1" outline="0" fieldPosition="0"/>
    </format>
    <format dxfId="506">
      <pivotArea outline="0" collapsedLevelsAreSubtotals="1" fieldPosition="0"/>
    </format>
    <format dxfId="505">
      <pivotArea field="8" grandRow="1" outline="0" collapsedLevelsAreSubtotals="1">
        <references count="1">
          <reference field="4294967294" count="1" selected="0">
            <x v="1"/>
          </reference>
        </references>
      </pivotArea>
    </format>
    <format dxfId="504">
      <pivotArea outline="0" collapsedLevelsAreSubtotals="1" fieldPosition="0">
        <references count="1">
          <reference field="4294967294" count="1" selected="0">
            <x v="0"/>
          </reference>
        </references>
      </pivotArea>
    </format>
    <format dxfId="503">
      <pivotArea outline="0" fieldPosition="0">
        <references count="1">
          <reference field="4294967294" count="1">
            <x v="2"/>
          </reference>
        </references>
      </pivotArea>
    </format>
    <format dxfId="502">
      <pivotArea outline="0" collapsedLevelsAreSubtotals="1" fieldPosition="0">
        <references count="1">
          <reference field="4294967294" count="1" selected="0">
            <x v="2"/>
          </reference>
        </references>
      </pivotArea>
    </format>
    <format dxfId="501">
      <pivotArea field="8" type="button" dataOnly="0" labelOnly="1" outline="0"/>
    </format>
    <format dxfId="500">
      <pivotArea dataOnly="0" labelOnly="1" outline="0" fieldPosition="0">
        <references count="1">
          <reference field="4294967294" count="3">
            <x v="0"/>
            <x v="1"/>
            <x v="2"/>
          </reference>
        </references>
      </pivotArea>
    </format>
    <format dxfId="499">
      <pivotArea outline="0" collapsedLevelsAreSubtotals="1" fieldPosition="0"/>
    </format>
    <format dxfId="498">
      <pivotArea dataOnly="0" labelOnly="1" outline="0" fieldPosition="0">
        <references count="1">
          <reference field="4294967294" count="3">
            <x v="0"/>
            <x v="1"/>
            <x v="2"/>
          </reference>
        </references>
      </pivotArea>
    </format>
    <format dxfId="497">
      <pivotArea field="8" type="button" dataOnly="0" labelOnly="1" outline="0"/>
    </format>
    <format dxfId="496">
      <pivotArea dataOnly="0" labelOnly="1" grandRow="1" outline="0" fieldPosition="0"/>
    </format>
    <format dxfId="495">
      <pivotArea collapsedLevelsAreSubtotals="1" fieldPosition="0">
        <references count="1">
          <reference field="0" count="0"/>
        </references>
      </pivotArea>
    </format>
    <format dxfId="494">
      <pivotArea type="all" dataOnly="0" outline="0" fieldPosition="0"/>
    </format>
    <format dxfId="493">
      <pivotArea outline="0" collapsedLevelsAreSubtotals="1" fieldPosition="0"/>
    </format>
    <format dxfId="492">
      <pivotArea dataOnly="0" labelOnly="1" fieldPosition="0">
        <references count="1">
          <reference field="0" count="0"/>
        </references>
      </pivotArea>
    </format>
    <format dxfId="491">
      <pivotArea dataOnly="0" labelOnly="1" grandRow="1" outline="0" fieldPosition="0"/>
    </format>
    <format dxfId="490">
      <pivotArea dataOnly="0" labelOnly="1" outline="0" fieldPosition="0">
        <references count="1">
          <reference field="4294967294" count="3">
            <x v="0"/>
            <x v="1"/>
            <x v="2"/>
          </reference>
        </references>
      </pivotArea>
    </format>
    <format dxfId="489">
      <pivotArea outline="0" collapsedLevelsAreSubtotals="1" fieldPosition="0"/>
    </format>
    <format dxfId="488">
      <pivotArea field="0" type="button" dataOnly="0" labelOnly="1" outline="0" axis="axisRow" fieldPosition="0"/>
    </format>
    <format dxfId="487">
      <pivotArea field="9" type="button" dataOnly="0" labelOnly="1" outline="0" axis="axisPage" fieldPosition="0"/>
    </format>
    <format dxfId="486">
      <pivotArea dataOnly="0" labelOnly="1" fieldPosition="0">
        <references count="1">
          <reference field="0" count="9">
            <x v="0"/>
            <x v="1"/>
            <x v="2"/>
            <x v="3"/>
            <x v="4"/>
            <x v="5"/>
            <x v="6"/>
            <x v="7"/>
            <x v="8"/>
          </reference>
        </references>
      </pivotArea>
    </format>
  </formats>
  <chartFormats count="36">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28" format="2" series="1">
      <pivotArea type="data" outline="0" fieldPosition="0">
        <references count="1">
          <reference field="4294967294" count="1" selected="0">
            <x v="2"/>
          </reference>
        </references>
      </pivotArea>
    </chartFormat>
    <chartFormat chart="32" format="3" series="1">
      <pivotArea type="data" outline="0" fieldPosition="0">
        <references count="1">
          <reference field="4294967294" count="1" selected="0">
            <x v="0"/>
          </reference>
        </references>
      </pivotArea>
    </chartFormat>
    <chartFormat chart="32" format="4" series="1">
      <pivotArea type="data" outline="0" fieldPosition="0">
        <references count="1">
          <reference field="4294967294" count="1" selected="0">
            <x v="1"/>
          </reference>
        </references>
      </pivotArea>
    </chartFormat>
    <chartFormat chart="32" format="5" series="1">
      <pivotArea type="data" outline="0" fieldPosition="0">
        <references count="1">
          <reference field="4294967294" count="1" selected="0">
            <x v="2"/>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5" format="2" series="1">
      <pivotArea type="data" outline="0" fieldPosition="0">
        <references count="1">
          <reference field="4294967294" count="1" selected="0">
            <x v="2"/>
          </reference>
        </references>
      </pivotArea>
    </chartFormat>
    <chartFormat chart="52" format="0" series="1">
      <pivotArea type="data" outline="0" fieldPosition="0">
        <references count="1">
          <reference field="4294967294" count="1" selected="0">
            <x v="0"/>
          </reference>
        </references>
      </pivotArea>
    </chartFormat>
    <chartFormat chart="52" format="1" series="1">
      <pivotArea type="data" outline="0" fieldPosition="0">
        <references count="1">
          <reference field="4294967294" count="1" selected="0">
            <x v="1"/>
          </reference>
        </references>
      </pivotArea>
    </chartFormat>
    <chartFormat chart="52"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7.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7">
  <location ref="B425:H433" firstHeaderRow="1" firstDataRow="2" firstDataCol="1" rowPageCount="2" colPageCount="1"/>
  <pivotFields count="111">
    <pivotField axis="axisRow" compact="0" numFmtId="166" outline="0" subtotalTop="0" showAll="0" includeNewItemsInFilter="1">
      <items count="13">
        <item x="1"/>
        <item x="2"/>
        <item x="4"/>
        <item x="5"/>
        <item x="6"/>
        <item x="7"/>
        <item x="8"/>
        <item x="9"/>
        <item x="10"/>
        <item x="11"/>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h="1" x="1"/>
        <item h="1" x="0"/>
        <item h="1" x="3"/>
        <item x="2"/>
        <item h="1"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axis="axisCol" compact="0" numFmtId="166" outline="0" subtotalTop="0" showAll="0" includeNewItemsInFilter="1">
      <items count="10">
        <item h="1" x="3"/>
        <item m="1" x="8"/>
        <item x="4"/>
        <item x="1"/>
        <item h="1" x="0"/>
        <item x="5"/>
        <item x="2"/>
        <item x="6"/>
        <item x="7"/>
        <item t="default"/>
      </items>
    </pivotField>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7">
    <i>
      <x/>
    </i>
    <i>
      <x v="4"/>
    </i>
    <i>
      <x v="5"/>
    </i>
    <i>
      <x v="7"/>
    </i>
    <i>
      <x v="8"/>
    </i>
    <i>
      <x v="9"/>
    </i>
    <i t="grand">
      <x/>
    </i>
  </rowItems>
  <colFields count="1">
    <field x="89"/>
  </colFields>
  <colItems count="6">
    <i>
      <x v="3"/>
    </i>
    <i>
      <x v="5"/>
    </i>
    <i>
      <x v="6"/>
    </i>
    <i>
      <x v="7"/>
    </i>
    <i>
      <x v="8"/>
    </i>
    <i t="grand">
      <x/>
    </i>
  </colItems>
  <pageFields count="2">
    <pageField fld="7" hier="-1"/>
    <pageField fld="9" hier="-1"/>
  </pageFields>
  <dataFields count="1">
    <dataField name="Sum of Total PoP" fld="12" showDataAs="percentOfRow" baseField="0" baseItem="0" numFmtId="9"/>
  </dataFields>
  <formats count="9">
    <format dxfId="525">
      <pivotArea type="all" dataOnly="0" outline="0" fieldPosition="0"/>
    </format>
    <format dxfId="524">
      <pivotArea outline="0" fieldPosition="0"/>
    </format>
    <format dxfId="523">
      <pivotArea type="all" dataOnly="0" outline="0" fieldPosition="0"/>
    </format>
    <format dxfId="522">
      <pivotArea type="all" dataOnly="0" outline="0" fieldPosition="0"/>
    </format>
    <format dxfId="521">
      <pivotArea type="all" dataOnly="0" outline="0" fieldPosition="0"/>
    </format>
    <format dxfId="520">
      <pivotArea outline="0" fieldPosition="0"/>
    </format>
    <format dxfId="519">
      <pivotArea type="topRight" dataOnly="0" labelOnly="1" outline="0" fieldPosition="0"/>
    </format>
    <format dxfId="518">
      <pivotArea outline="0" fieldPosition="0">
        <references count="1">
          <reference field="4294967294" count="1">
            <x v="0"/>
          </reference>
        </references>
      </pivotArea>
    </format>
    <format dxfId="517">
      <pivotArea outline="0" collapsedLevelsAreSubtotals="1" fieldPosition="0"/>
    </format>
  </formats>
  <chartFormats count="6">
    <chartFormat chart="22" format="3" series="1">
      <pivotArea type="data" outline="0" fieldPosition="0">
        <references count="2">
          <reference field="4294967294" count="1" selected="0">
            <x v="0"/>
          </reference>
          <reference field="89" count="1" selected="0">
            <x v="6"/>
          </reference>
        </references>
      </pivotArea>
    </chartFormat>
    <chartFormat chart="22" format="4" series="1">
      <pivotArea type="data" outline="0" fieldPosition="0">
        <references count="2">
          <reference field="4294967294" count="1" selected="0">
            <x v="0"/>
          </reference>
          <reference field="89" count="1" selected="0">
            <x v="2"/>
          </reference>
        </references>
      </pivotArea>
    </chartFormat>
    <chartFormat chart="22" format="5" series="1">
      <pivotArea type="data" outline="0" fieldPosition="0">
        <references count="2">
          <reference field="4294967294" count="1" selected="0">
            <x v="0"/>
          </reference>
          <reference field="89" count="1" selected="0">
            <x v="3"/>
          </reference>
        </references>
      </pivotArea>
    </chartFormat>
    <chartFormat chart="22" format="6" series="1">
      <pivotArea type="data" outline="0" fieldPosition="0">
        <references count="2">
          <reference field="4294967294" count="1" selected="0">
            <x v="0"/>
          </reference>
          <reference field="89" count="1" selected="0">
            <x v="5"/>
          </reference>
        </references>
      </pivotArea>
    </chartFormat>
    <chartFormat chart="22" format="7" series="1">
      <pivotArea type="data" outline="0" fieldPosition="0">
        <references count="2">
          <reference field="4294967294" count="1" selected="0">
            <x v="0"/>
          </reference>
          <reference field="89" count="1" selected="0">
            <x v="7"/>
          </reference>
        </references>
      </pivotArea>
    </chartFormat>
    <chartFormat chart="22" format="8" series="1">
      <pivotArea type="data" outline="0" fieldPosition="0">
        <references count="2">
          <reference field="4294967294" count="1" selected="0">
            <x v="0"/>
          </reference>
          <reference field="89" count="1" selected="0">
            <x v="8"/>
          </reference>
        </references>
      </pivotArea>
    </chartFormat>
  </chartFormats>
  <pivotTableStyleInfo name="PivotStyleLight22" showRowHeaders="1" showColHeaders="1" showRowStripes="0" showColStripes="0" showLastColumn="1"/>
</pivotTableDefinition>
</file>

<file path=xl/pivotTables/pivotTable28.xml><?xml version="1.0" encoding="utf-8"?>
<pivotTableDefinition xmlns="http://schemas.openxmlformats.org/spreadsheetml/2006/main" name="PivotTable2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rowHeaderCaption="Typology beneficiaries">
  <location ref="B195:C201" firstHeaderRow="1" firstDataRow="1" firstDataCol="1" rowPageCount="1" colPageCount="1"/>
  <pivotFields count="95">
    <pivotField showAll="0"/>
    <pivotField showAll="0" defaultSubtotal="0"/>
    <pivotField showAll="0" defaultSubtotal="0"/>
    <pivotField showAll="0" defaultSubtotal="0"/>
    <pivotField showAll="0"/>
    <pivotField showAll="0"/>
    <pivotField showAll="0"/>
    <pivotField axis="axisPage" multipleItemSelectionAllowed="1" showAll="0">
      <items count="4">
        <item x="1"/>
        <item x="0"/>
        <item h="1" m="1" x="2"/>
        <item t="default"/>
      </items>
    </pivotField>
    <pivotField showAll="0"/>
    <pivotField axis="axisRow" multipleItemSelectionAllowed="1" showAll="0">
      <items count="8">
        <item x="2"/>
        <item x="1"/>
        <item x="0"/>
        <item x="3"/>
        <item x="4"/>
        <item h="1" m="1" x="6"/>
        <item h="1" x="5"/>
        <item t="default"/>
      </items>
    </pivotField>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s>
  <rowFields count="1">
    <field x="9"/>
  </rowFields>
  <rowItems count="6">
    <i>
      <x/>
    </i>
    <i>
      <x v="1"/>
    </i>
    <i>
      <x v="2"/>
    </i>
    <i>
      <x v="3"/>
    </i>
    <i>
      <x v="4"/>
    </i>
    <i t="grand">
      <x/>
    </i>
  </rowItems>
  <colItems count="1">
    <i/>
  </colItems>
  <pageFields count="1">
    <pageField fld="7" hier="-1"/>
  </pageFields>
  <dataFields count="1">
    <dataField name="Sum of % HHWTS coverage" fld="94" baseField="0" baseItem="0" numFmtId="166"/>
  </dataFields>
  <formats count="17">
    <format dxfId="542">
      <pivotArea outline="0" collapsedLevelsAreSubtotals="1" fieldPosition="0"/>
    </format>
    <format dxfId="541">
      <pivotArea type="all" dataOnly="0" outline="0" fieldPosition="0"/>
    </format>
    <format dxfId="540">
      <pivotArea outline="0" collapsedLevelsAreSubtotals="1" fieldPosition="0"/>
    </format>
    <format dxfId="539">
      <pivotArea field="9" type="button" dataOnly="0" labelOnly="1" outline="0" axis="axisRow" fieldPosition="0"/>
    </format>
    <format dxfId="538">
      <pivotArea dataOnly="0" labelOnly="1" outline="0" axis="axisValues" fieldPosition="0"/>
    </format>
    <format dxfId="537">
      <pivotArea dataOnly="0" labelOnly="1" fieldPosition="0">
        <references count="1">
          <reference field="9" count="0"/>
        </references>
      </pivotArea>
    </format>
    <format dxfId="536">
      <pivotArea dataOnly="0" labelOnly="1" grandRow="1" outline="0" fieldPosition="0"/>
    </format>
    <format dxfId="535">
      <pivotArea collapsedLevelsAreSubtotals="1" fieldPosition="0">
        <references count="1">
          <reference field="9" count="0"/>
        </references>
      </pivotArea>
    </format>
    <format dxfId="534">
      <pivotArea grandRow="1" outline="0" collapsedLevelsAreSubtotals="1" fieldPosition="0"/>
    </format>
    <format dxfId="533">
      <pivotArea field="7" type="button" dataOnly="0" labelOnly="1" outline="0" axis="axisPage" fieldPosition="0"/>
    </format>
    <format dxfId="532">
      <pivotArea type="all" dataOnly="0" outline="0" fieldPosition="0"/>
    </format>
    <format dxfId="531">
      <pivotArea outline="0" collapsedLevelsAreSubtotals="1" fieldPosition="0"/>
    </format>
    <format dxfId="530">
      <pivotArea field="9" type="button" dataOnly="0" labelOnly="1" outline="0" axis="axisRow" fieldPosition="0"/>
    </format>
    <format dxfId="529">
      <pivotArea dataOnly="0" labelOnly="1" outline="0" axis="axisValues" fieldPosition="0"/>
    </format>
    <format dxfId="528">
      <pivotArea dataOnly="0" labelOnly="1" fieldPosition="0">
        <references count="1">
          <reference field="9" count="0"/>
        </references>
      </pivotArea>
    </format>
    <format dxfId="527">
      <pivotArea dataOnly="0" labelOnly="1" grandRow="1" outline="0" fieldPosition="0"/>
    </format>
    <format dxfId="526">
      <pivotArea outline="0" collapsedLevelsAreSubtotals="1" fieldPosition="0"/>
    </format>
  </formats>
  <chartFormats count="7">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1"/>
          </reference>
        </references>
      </pivotArea>
    </chartFormat>
    <chartFormat chart="0" format="2" series="1">
      <pivotArea type="data" outline="0" fieldPosition="0">
        <references count="2">
          <reference field="4294967294" count="1" selected="0">
            <x v="0"/>
          </reference>
          <reference field="9" count="1" selected="0">
            <x v="3"/>
          </reference>
        </references>
      </pivotArea>
    </chartFormat>
    <chartFormat chart="0" format="3" series="1">
      <pivotArea type="data" outline="0" fieldPosition="0">
        <references count="2">
          <reference field="4294967294" count="1" selected="0">
            <x v="0"/>
          </reference>
          <reference field="9" count="1" selected="0">
            <x v="4"/>
          </reference>
        </references>
      </pivotArea>
    </chartFormat>
    <chartFormat chart="0" format="13"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7">
  <location ref="B348:C352" firstHeaderRow="2" firstDataRow="2" firstDataCol="1" rowPageCount="3" colPageCount="1"/>
  <pivotFields count="111">
    <pivotField axis="axisPage" compact="0" numFmtId="166" outline="0" subtotalTop="0" multipleItemSelectionAllowed="1" showAll="0" includeNewItemsInFilter="1">
      <items count="13">
        <item x="1"/>
        <item x="2"/>
        <item x="4"/>
        <item x="5"/>
        <item x="6"/>
        <item x="7"/>
        <item x="8"/>
        <item x="9"/>
        <item x="10"/>
        <item x="11"/>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h="1" m="1" x="7"/>
        <item m="1" x="6"/>
        <item m="1" x="8"/>
        <item h="1" x="1"/>
        <item h="1" x="0"/>
        <item h="1" x="3"/>
        <item x="2"/>
        <item x="4"/>
        <item h="1" x="5"/>
      </items>
    </pivotField>
    <pivotField dataField="1"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axis="axisRow" compact="0" outline="0" showAll="0" defaultSubtotal="0">
      <items count="23">
        <item h="1" x="3"/>
        <item m="1" x="15"/>
        <item x="7"/>
        <item x="4"/>
        <item m="1" x="20"/>
        <item m="1" x="12"/>
        <item m="1" x="14"/>
        <item h="1" x="0"/>
        <item h="1" m="1" x="19"/>
        <item h="1" m="1" x="13"/>
        <item h="1" x="2"/>
        <item h="1" m="1" x="16"/>
        <item h="1" m="1" x="21"/>
        <item h="1" x="6"/>
        <item h="1" x="11"/>
        <item h="1" m="1" x="17"/>
        <item h="1" m="1" x="22"/>
        <item h="1" x="9"/>
        <item h="1" m="1" x="18"/>
        <item h="1" x="1"/>
        <item h="1" x="8"/>
        <item h="1" x="10"/>
        <item h="1" x="5"/>
      </items>
    </pivotField>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83"/>
  </rowFields>
  <rowItems count="3">
    <i>
      <x v="2"/>
    </i>
    <i>
      <x v="3"/>
    </i>
    <i t="grand">
      <x/>
    </i>
  </rowItems>
  <colItems count="1">
    <i/>
  </colItems>
  <pageFields count="3">
    <pageField fld="7" hier="0"/>
    <pageField fld="9" hier="-1"/>
    <pageField fld="0" hier="-1"/>
  </pageFields>
  <dataFields count="1">
    <dataField name="Sum of Nb of affected household" fld="10" baseField="74" baseItem="2" numFmtId="166"/>
  </dataFields>
  <formats count="12">
    <format dxfId="554">
      <pivotArea type="all" dataOnly="0" outline="0" fieldPosition="0"/>
    </format>
    <format dxfId="553">
      <pivotArea outline="0" fieldPosition="0"/>
    </format>
    <format dxfId="552">
      <pivotArea type="all" dataOnly="0" outline="0" fieldPosition="0"/>
    </format>
    <format dxfId="551">
      <pivotArea type="all" dataOnly="0" outline="0" fieldPosition="0"/>
    </format>
    <format dxfId="550">
      <pivotArea type="all" dataOnly="0" outline="0" fieldPosition="0"/>
    </format>
    <format dxfId="549">
      <pivotArea outline="0" fieldPosition="0"/>
    </format>
    <format dxfId="548">
      <pivotArea type="topRight" dataOnly="0" labelOnly="1" outline="0" fieldPosition="0"/>
    </format>
    <format dxfId="547">
      <pivotArea dataOnly="0" outline="0" fieldPosition="0">
        <references count="1">
          <reference field="7" count="0"/>
        </references>
      </pivotArea>
    </format>
    <format dxfId="546">
      <pivotArea outline="0" collapsedLevelsAreSubtotals="1" fieldPosition="0"/>
    </format>
    <format dxfId="545">
      <pivotArea dataOnly="0" labelOnly="1" outline="0" fieldPosition="0">
        <references count="1">
          <reference field="83" count="0"/>
        </references>
      </pivotArea>
    </format>
    <format dxfId="544">
      <pivotArea outline="0" collapsedLevelsAreSubtotals="1" fieldPosition="0">
        <references count="1">
          <reference field="83" count="0" selected="0"/>
        </references>
      </pivotArea>
    </format>
    <format dxfId="543">
      <pivotArea dataOnly="0" labelOnly="1" outline="0" fieldPosition="0">
        <references count="1">
          <reference field="83" count="0"/>
        </references>
      </pivotArea>
    </format>
  </formats>
  <chartFormats count="2">
    <chartFormat chart="30" format="1" series="1">
      <pivotArea type="data" outline="0" fieldPosition="0"/>
    </chartFormat>
    <chartFormat chart="30" format="2"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3.xml><?xml version="1.0" encoding="utf-8"?>
<pivotTableDefinition xmlns="http://schemas.openxmlformats.org/spreadsheetml/2006/main" name="PivotTable9"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7">
  <location ref="B299:C305" firstHeaderRow="2"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axis="axisRow" dataField="1" compact="0" outline="0" showAll="0" defaultSubtotal="0">
      <items count="8">
        <item x="3"/>
        <item x="1"/>
        <item x="0"/>
        <item m="1" x="7"/>
        <item m="1" x="6"/>
        <item m="1" x="5"/>
        <item x="2"/>
        <item x="4"/>
      </items>
    </pivotField>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8"/>
  </rowFields>
  <rowItems count="5">
    <i>
      <x/>
    </i>
    <i>
      <x v="1"/>
    </i>
    <i>
      <x v="2"/>
    </i>
    <i>
      <x v="7"/>
    </i>
    <i t="grand">
      <x/>
    </i>
  </rowItems>
  <colItems count="1">
    <i/>
  </colItems>
  <pageFields count="2">
    <pageField fld="7" item="0" hier="0"/>
    <pageField fld="9" hier="-1"/>
  </pageFields>
  <dataFields count="1">
    <dataField name="Count of % of TLS needs covered" fld="58" subtotal="count" showDataAs="percentOfTotal" baseField="0" baseItem="0" numFmtId="9"/>
  </dataFields>
  <formats count="8">
    <format dxfId="102">
      <pivotArea type="all" dataOnly="0" outline="0" fieldPosition="0"/>
    </format>
    <format dxfId="101">
      <pivotArea type="all" dataOnly="0" outline="0" fieldPosition="0"/>
    </format>
    <format dxfId="100">
      <pivotArea type="all" dataOnly="0" outline="0" fieldPosition="0"/>
    </format>
    <format dxfId="99">
      <pivotArea outline="0" fieldPosition="0"/>
    </format>
    <format dxfId="98">
      <pivotArea dataOnly="0" labelOnly="1" outline="0" fieldPosition="0">
        <references count="1">
          <reference field="7" count="0"/>
        </references>
      </pivotArea>
    </format>
    <format dxfId="97">
      <pivotArea type="topRight" dataOnly="0" labelOnly="1" outline="0" fieldPosition="0"/>
    </format>
    <format dxfId="96">
      <pivotArea outline="0" fieldPosition="0">
        <references count="1">
          <reference field="4294967294" count="1">
            <x v="0"/>
          </reference>
        </references>
      </pivotArea>
    </format>
    <format dxfId="95">
      <pivotArea outline="0" collapsedLevelsAreSubtotals="1" fieldPosition="0"/>
    </format>
  </formats>
  <chartFormats count="27">
    <chartFormat chart="18" format="3"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5" format="1" series="1">
      <pivotArea type="data" outline="0" fieldPosition="0">
        <references count="1">
          <reference field="4294967294" count="1" selected="0">
            <x v="0"/>
          </reference>
        </references>
      </pivotArea>
    </chartFormat>
    <chartFormat chart="25" format="2">
      <pivotArea type="data" outline="0" fieldPosition="0">
        <references count="2">
          <reference field="4294967294" count="1" selected="0">
            <x v="0"/>
          </reference>
          <reference field="58" count="1" selected="0">
            <x v="0"/>
          </reference>
        </references>
      </pivotArea>
    </chartFormat>
    <chartFormat chart="25" format="3">
      <pivotArea type="data" outline="0" fieldPosition="0">
        <references count="2">
          <reference field="4294967294" count="1" selected="0">
            <x v="0"/>
          </reference>
          <reference field="58" count="1" selected="0">
            <x v="1"/>
          </reference>
        </references>
      </pivotArea>
    </chartFormat>
    <chartFormat chart="25" format="4">
      <pivotArea type="data" outline="0" fieldPosition="0">
        <references count="2">
          <reference field="4294967294" count="1" selected="0">
            <x v="0"/>
          </reference>
          <reference field="58" count="1" selected="0">
            <x v="2"/>
          </reference>
        </references>
      </pivotArea>
    </chartFormat>
    <chartFormat chart="23" format="1">
      <pivotArea type="data" outline="0" fieldPosition="0">
        <references count="2">
          <reference field="4294967294" count="1" selected="0">
            <x v="0"/>
          </reference>
          <reference field="58" count="1" selected="0">
            <x v="0"/>
          </reference>
        </references>
      </pivotArea>
    </chartFormat>
    <chartFormat chart="23" format="2">
      <pivotArea type="data" outline="0" fieldPosition="0">
        <references count="2">
          <reference field="4294967294" count="1" selected="0">
            <x v="0"/>
          </reference>
          <reference field="58" count="1" selected="0">
            <x v="1"/>
          </reference>
        </references>
      </pivotArea>
    </chartFormat>
    <chartFormat chart="23" format="3">
      <pivotArea type="data" outline="0" fieldPosition="0">
        <references count="2">
          <reference field="4294967294" count="1" selected="0">
            <x v="0"/>
          </reference>
          <reference field="58" count="1" selected="0">
            <x v="2"/>
          </reference>
        </references>
      </pivotArea>
    </chartFormat>
    <chartFormat chart="23" format="4">
      <pivotArea type="data" outline="0" fieldPosition="0">
        <references count="1">
          <reference field="4294967294" count="1" selected="0">
            <x v="0"/>
          </reference>
        </references>
      </pivotArea>
    </chartFormat>
    <chartFormat chart="23" format="6">
      <pivotArea type="data" outline="0" fieldPosition="0">
        <references count="2">
          <reference field="4294967294" count="1" selected="0">
            <x v="0"/>
          </reference>
          <reference field="58" count="1" selected="0">
            <x v="3"/>
          </reference>
        </references>
      </pivotArea>
    </chartFormat>
    <chartFormat chart="23" format="9">
      <pivotArea type="data" outline="0" fieldPosition="0">
        <references count="2">
          <reference field="4294967294" count="1" selected="0">
            <x v="0"/>
          </reference>
          <reference field="58" count="1" selected="0">
            <x v="7"/>
          </reference>
        </references>
      </pivotArea>
    </chartFormat>
    <chartFormat chart="41" format="15" series="1">
      <pivotArea type="data" outline="0" fieldPosition="0">
        <references count="1">
          <reference field="4294967294" count="1" selected="0">
            <x v="0"/>
          </reference>
        </references>
      </pivotArea>
    </chartFormat>
    <chartFormat chart="41" format="16">
      <pivotArea type="data" outline="0" fieldPosition="0">
        <references count="2">
          <reference field="4294967294" count="1" selected="0">
            <x v="0"/>
          </reference>
          <reference field="58" count="1" selected="0">
            <x v="0"/>
          </reference>
        </references>
      </pivotArea>
    </chartFormat>
    <chartFormat chart="41" format="17">
      <pivotArea type="data" outline="0" fieldPosition="0">
        <references count="2">
          <reference field="4294967294" count="1" selected="0">
            <x v="0"/>
          </reference>
          <reference field="58" count="1" selected="0">
            <x v="1"/>
          </reference>
        </references>
      </pivotArea>
    </chartFormat>
    <chartFormat chart="41" format="18">
      <pivotArea type="data" outline="0" fieldPosition="0">
        <references count="2">
          <reference field="4294967294" count="1" selected="0">
            <x v="0"/>
          </reference>
          <reference field="58" count="1" selected="0">
            <x v="2"/>
          </reference>
        </references>
      </pivotArea>
    </chartFormat>
    <chartFormat chart="41" format="19">
      <pivotArea type="data" outline="0" fieldPosition="0">
        <references count="2">
          <reference field="4294967294" count="1" selected="0">
            <x v="0"/>
          </reference>
          <reference field="58" count="1" selected="0">
            <x v="7"/>
          </reference>
        </references>
      </pivotArea>
    </chartFormat>
    <chartFormat chart="47" format="10" series="1">
      <pivotArea type="data" outline="0" fieldPosition="0">
        <references count="1">
          <reference field="4294967294" count="1" selected="0">
            <x v="0"/>
          </reference>
        </references>
      </pivotArea>
    </chartFormat>
    <chartFormat chart="47" format="11">
      <pivotArea type="data" outline="0" fieldPosition="0">
        <references count="2">
          <reference field="4294967294" count="1" selected="0">
            <x v="0"/>
          </reference>
          <reference field="58" count="1" selected="0">
            <x v="0"/>
          </reference>
        </references>
      </pivotArea>
    </chartFormat>
    <chartFormat chart="47" format="12">
      <pivotArea type="data" outline="0" fieldPosition="0">
        <references count="2">
          <reference field="4294967294" count="1" selected="0">
            <x v="0"/>
          </reference>
          <reference field="58" count="1" selected="0">
            <x v="1"/>
          </reference>
        </references>
      </pivotArea>
    </chartFormat>
    <chartFormat chart="47" format="13">
      <pivotArea type="data" outline="0" fieldPosition="0">
        <references count="2">
          <reference field="4294967294" count="1" selected="0">
            <x v="0"/>
          </reference>
          <reference field="58" count="1" selected="0">
            <x v="2"/>
          </reference>
        </references>
      </pivotArea>
    </chartFormat>
    <chartFormat chart="47" format="14">
      <pivotArea type="data" outline="0" fieldPosition="0">
        <references count="2">
          <reference field="4294967294" count="1" selected="0">
            <x v="0"/>
          </reference>
          <reference field="58" count="1" selected="0">
            <x v="7"/>
          </reference>
        </references>
      </pivotArea>
    </chartFormat>
    <chartFormat chart="51" format="15" series="1">
      <pivotArea type="data" outline="0" fieldPosition="0">
        <references count="1">
          <reference field="4294967294" count="1" selected="0">
            <x v="0"/>
          </reference>
        </references>
      </pivotArea>
    </chartFormat>
    <chartFormat chart="51" format="16">
      <pivotArea type="data" outline="0" fieldPosition="0">
        <references count="2">
          <reference field="4294967294" count="1" selected="0">
            <x v="0"/>
          </reference>
          <reference field="58" count="1" selected="0">
            <x v="0"/>
          </reference>
        </references>
      </pivotArea>
    </chartFormat>
    <chartFormat chart="51" format="17">
      <pivotArea type="data" outline="0" fieldPosition="0">
        <references count="2">
          <reference field="4294967294" count="1" selected="0">
            <x v="0"/>
          </reference>
          <reference field="58" count="1" selected="0">
            <x v="1"/>
          </reference>
        </references>
      </pivotArea>
    </chartFormat>
    <chartFormat chart="51" format="18">
      <pivotArea type="data" outline="0" fieldPosition="0">
        <references count="2">
          <reference field="4294967294" count="1" selected="0">
            <x v="0"/>
          </reference>
          <reference field="58" count="1" selected="0">
            <x v="2"/>
          </reference>
        </references>
      </pivotArea>
    </chartFormat>
    <chartFormat chart="51" format="19">
      <pivotArea type="data" outline="0" fieldPosition="0">
        <references count="2">
          <reference field="4294967294" count="1" selected="0">
            <x v="0"/>
          </reference>
          <reference field="58" count="1" selected="0">
            <x v="7"/>
          </reference>
        </references>
      </pivotArea>
    </chartFormat>
  </chartFormats>
  <pivotTableStyleInfo name="PivotStyleLight22" showRowHeaders="1" showColHeaders="1" showRowStripes="0" showColStripes="0" showLastColumn="1"/>
</pivotTableDefinition>
</file>

<file path=xl/pivotTables/pivotTable30.xml><?xml version="1.0" encoding="utf-8"?>
<pivotTableDefinition xmlns="http://schemas.openxmlformats.org/spreadsheetml/2006/main" name="PivotTable21" cacheId="0"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74">
  <location ref="B724:D734" firstHeaderRow="1" firstDataRow="2" firstDataCol="1" rowPageCount="2" colPageCount="1"/>
  <pivotFields count="111">
    <pivotField axis="axisRow" compact="0" numFmtId="166" outline="0" subtotalTop="0"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6"/>
    </i>
    <i>
      <x v="7"/>
    </i>
    <i>
      <x v="8"/>
    </i>
    <i t="grand">
      <x/>
    </i>
  </rowItems>
  <colFields count="1">
    <field x="18"/>
  </colFields>
  <colItems count="2">
    <i>
      <x/>
    </i>
    <i>
      <x v="1"/>
    </i>
  </colItems>
  <pageFields count="2">
    <pageField fld="7" hier="0"/>
    <pageField fld="9" hier="-1"/>
  </pageFields>
  <dataFields count="1">
    <dataField name="Sum of Total PoP" fld="12" showDataAs="percentOfRow" baseField="0" baseItem="5" numFmtId="9"/>
  </dataFields>
  <formats count="12">
    <format dxfId="566">
      <pivotArea type="all" dataOnly="0" outline="0" fieldPosition="0"/>
    </format>
    <format dxfId="565">
      <pivotArea type="all" dataOnly="0" outline="0" fieldPosition="0"/>
    </format>
    <format dxfId="564">
      <pivotArea type="all" dataOnly="0" outline="0" fieldPosition="0"/>
    </format>
    <format dxfId="563">
      <pivotArea outline="0" fieldPosition="0"/>
    </format>
    <format dxfId="562">
      <pivotArea dataOnly="0" labelOnly="1" outline="0" fieldPosition="0">
        <references count="1">
          <reference field="7" count="0"/>
        </references>
      </pivotArea>
    </format>
    <format dxfId="561">
      <pivotArea type="topRight" dataOnly="0" labelOnly="1" outline="0" fieldPosition="0"/>
    </format>
    <format dxfId="560">
      <pivotArea outline="0" collapsedLevelsAreSubtotals="1" fieldPosition="0"/>
    </format>
    <format dxfId="559">
      <pivotArea outline="0" collapsedLevelsAreSubtotals="1" fieldPosition="0"/>
    </format>
    <format dxfId="558">
      <pivotArea dataOnly="0" labelOnly="1" outline="0" fieldPosition="0">
        <references count="1">
          <reference field="18" count="0"/>
        </references>
      </pivotArea>
    </format>
    <format dxfId="557">
      <pivotArea dataOnly="0" labelOnly="1" grandCol="1" outline="0" fieldPosition="0"/>
    </format>
    <format dxfId="556">
      <pivotArea outline="0" fieldPosition="0">
        <references count="1">
          <reference field="4294967294" count="1">
            <x v="0"/>
          </reference>
        </references>
      </pivotArea>
    </format>
    <format dxfId="555">
      <pivotArea outline="0" collapsedLevelsAreSubtotals="1" fieldPosition="0"/>
    </format>
  </formats>
  <chartFormats count="8">
    <chartFormat chart="38" format="0" series="1">
      <pivotArea type="data" outline="0" fieldPosition="0">
        <references count="2">
          <reference field="4294967294" count="1" selected="0">
            <x v="0"/>
          </reference>
          <reference field="18" count="1" selected="0">
            <x v="0"/>
          </reference>
        </references>
      </pivotArea>
    </chartFormat>
    <chartFormat chart="38" format="1" series="1">
      <pivotArea type="data" outline="0" fieldPosition="0">
        <references count="2">
          <reference field="4294967294" count="1" selected="0">
            <x v="0"/>
          </reference>
          <reference field="18" count="1" selected="0">
            <x v="1"/>
          </reference>
        </references>
      </pivotArea>
    </chartFormat>
    <chartFormat chart="40" format="0" series="1">
      <pivotArea type="data" outline="0" fieldPosition="0">
        <references count="2">
          <reference field="4294967294" count="1" selected="0">
            <x v="0"/>
          </reference>
          <reference field="18" count="1" selected="0">
            <x v="0"/>
          </reference>
        </references>
      </pivotArea>
    </chartFormat>
    <chartFormat chart="40" format="1" series="1">
      <pivotArea type="data" outline="0" fieldPosition="0">
        <references count="2">
          <reference field="4294967294" count="1" selected="0">
            <x v="0"/>
          </reference>
          <reference field="18" count="1" selected="0">
            <x v="1"/>
          </reference>
        </references>
      </pivotArea>
    </chartFormat>
    <chartFormat chart="56" format="0" series="1">
      <pivotArea type="data" outline="0" fieldPosition="0">
        <references count="2">
          <reference field="4294967294" count="1" selected="0">
            <x v="0"/>
          </reference>
          <reference field="18" count="1" selected="0">
            <x v="0"/>
          </reference>
        </references>
      </pivotArea>
    </chartFormat>
    <chartFormat chart="56" format="1" series="1">
      <pivotArea type="data" outline="0" fieldPosition="0">
        <references count="2">
          <reference field="4294967294" count="1" selected="0">
            <x v="0"/>
          </reference>
          <reference field="18" count="1" selected="0">
            <x v="1"/>
          </reference>
        </references>
      </pivotArea>
    </chartFormat>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s>
  <pivotTableStyleInfo name="PivotStyleLight22" showRowHeaders="1" showColHeaders="1" showRowStripes="0" showColStripes="0" showLastColumn="1"/>
</pivotTableDefinition>
</file>

<file path=xl/pivotTables/pivotTable31.xml><?xml version="1.0" encoding="utf-8"?>
<pivotTableDefinition xmlns="http://schemas.openxmlformats.org/spreadsheetml/2006/main" name="PivotTable29" cacheId="0"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9">
  <location ref="B747:D757" firstHeaderRow="1" firstDataRow="2" firstDataCol="1" rowPageCount="1" colPageCount="1"/>
  <pivotFields count="111">
    <pivotField axis="axisRow" compact="0" numFmtId="166" outline="0" subtotalTop="0"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Col" compact="0" numFmtId="166" outline="0" subtotalTop="0" multipleItemSelectionAllowed="1" showAll="0" includeNewItemsInFilter="1">
      <items count="3">
        <item x="1"/>
        <item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1"/>
    </i>
    <i>
      <x v="3"/>
    </i>
    <i>
      <x v="4"/>
    </i>
    <i>
      <x v="5"/>
    </i>
    <i>
      <x v="6"/>
    </i>
    <i>
      <x v="7"/>
    </i>
    <i>
      <x v="8"/>
    </i>
    <i t="grand">
      <x/>
    </i>
  </rowItems>
  <colFields count="1">
    <field x="7"/>
  </colFields>
  <colItems count="2">
    <i>
      <x/>
    </i>
    <i>
      <x v="1"/>
    </i>
  </colItems>
  <pageFields count="1">
    <pageField fld="9" hier="-1"/>
  </pageFields>
  <dataFields count="1">
    <dataField name="Sum of Total PoP" fld="12" baseField="0" baseItem="0" numFmtId="3"/>
  </dataFields>
  <formats count="10">
    <format dxfId="576">
      <pivotArea type="all" dataOnly="0" outline="0" fieldPosition="0"/>
    </format>
    <format dxfId="575">
      <pivotArea type="all" dataOnly="0" outline="0" fieldPosition="0"/>
    </format>
    <format dxfId="574">
      <pivotArea type="all" dataOnly="0" outline="0" fieldPosition="0"/>
    </format>
    <format dxfId="573">
      <pivotArea outline="0" fieldPosition="0"/>
    </format>
    <format dxfId="572">
      <pivotArea dataOnly="0" labelOnly="1" outline="0" fieldPosition="0">
        <references count="1">
          <reference field="7" count="0"/>
        </references>
      </pivotArea>
    </format>
    <format dxfId="571">
      <pivotArea type="topRight" dataOnly="0" labelOnly="1" outline="0" fieldPosition="0"/>
    </format>
    <format dxfId="570">
      <pivotArea outline="0" collapsedLevelsAreSubtotals="1" fieldPosition="0"/>
    </format>
    <format dxfId="569">
      <pivotArea outline="0" collapsedLevelsAreSubtotals="1" fieldPosition="0"/>
    </format>
    <format dxfId="568">
      <pivotArea dataOnly="0" labelOnly="1" grandCol="1" outline="0" fieldPosition="0"/>
    </format>
    <format dxfId="567">
      <pivotArea outline="0" collapsedLevelsAreSubtotals="1" fieldPosition="0"/>
    </format>
  </formats>
  <chartFormats count="3">
    <chartFormat chart="72" format="2" series="1">
      <pivotArea type="data" outline="0" fieldPosition="0">
        <references count="1">
          <reference field="4294967294" count="1" selected="0">
            <x v="0"/>
          </reference>
        </references>
      </pivotArea>
    </chartFormat>
    <chartFormat chart="72" format="3" series="1">
      <pivotArea type="data" outline="0" fieldPosition="0">
        <references count="2">
          <reference field="4294967294" count="1" selected="0">
            <x v="0"/>
          </reference>
          <reference field="7" count="1" selected="0">
            <x v="0"/>
          </reference>
        </references>
      </pivotArea>
    </chartFormat>
    <chartFormat chart="72" format="4" series="1">
      <pivotArea type="data" outline="0" fieldPosition="0">
        <references count="2">
          <reference field="4294967294" count="1" selected="0">
            <x v="0"/>
          </reference>
          <reference field="7" count="1" selected="0">
            <x v="1"/>
          </reference>
        </references>
      </pivotArea>
    </chartFormat>
  </chartFormats>
  <pivotTableStyleInfo name="PivotStyleLight22" showRowHeaders="1" showColHeaders="1" showRowStripes="0" showColStripes="0" showLastColumn="1"/>
</pivotTableDefinition>
</file>

<file path=xl/pivotTables/pivotTable32.xml><?xml version="1.0" encoding="utf-8"?>
<pivotTableDefinition xmlns="http://schemas.openxmlformats.org/spreadsheetml/2006/main" name="PivotTable25"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9" rowHeaderCaption="Population Type">
  <location ref="B150:E158" firstHeaderRow="1" firstDataRow="2" firstDataCol="1" rowPageCount="2" colPageCount="1"/>
  <pivotFields count="111">
    <pivotField axis="axisPage"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axis="axisPage" numFmtId="166" multipleItemSelectionAllowed="1" showAll="0">
      <items count="3">
        <item x="1"/>
        <item x="0"/>
        <item t="default"/>
      </items>
    </pivotField>
    <pivotField numFmtId="166" showAll="0">
      <items count="9">
        <item x="0"/>
        <item x="2"/>
        <item x="7"/>
        <item x="5"/>
        <item x="3"/>
        <item x="4"/>
        <item x="1"/>
        <item x="6"/>
        <item t="default"/>
      </items>
    </pivotField>
    <pivotField axis="axisRow" numFmtId="166" multipleItemSelectionAllowed="1" showAll="0" sortType="ascending" defaultSubtotal="0">
      <items count="9">
        <item x="2"/>
        <item m="1" x="7"/>
        <item x="5"/>
        <item m="1" x="6"/>
        <item m="1" x="8"/>
        <item x="1"/>
        <item x="0"/>
        <item x="3"/>
        <item x="4"/>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7">
    <i>
      <x/>
    </i>
    <i>
      <x v="2"/>
    </i>
    <i>
      <x v="5"/>
    </i>
    <i>
      <x v="6"/>
    </i>
    <i>
      <x v="7"/>
    </i>
    <i>
      <x v="8"/>
    </i>
    <i t="grand">
      <x/>
    </i>
  </rowItems>
  <colFields count="1">
    <field x="-2"/>
  </colFields>
  <colItems count="3">
    <i>
      <x/>
    </i>
    <i i="1">
      <x v="1"/>
    </i>
    <i i="2">
      <x v="2"/>
    </i>
  </colItems>
  <pageFields count="2">
    <pageField fld="7" hier="-1"/>
    <pageField fld="0" hier="-1"/>
  </pageFields>
  <dataFields count="3">
    <dataField name=" % Permanent Facility" fld="97" baseField="0" baseItem="0" numFmtId="9"/>
    <dataField name="% Emergency Facilities" fld="98" baseField="0" baseItem="0" numFmtId="166"/>
    <dataField name="% HHWT Direct coverage" fld="99" baseField="0" baseItem="0" numFmtId="166"/>
  </dataFields>
  <formats count="25">
    <format dxfId="601">
      <pivotArea grandRow="1" outline="0" fieldPosition="0"/>
    </format>
    <format dxfId="600">
      <pivotArea outline="0" collapsedLevelsAreSubtotals="1" fieldPosition="0"/>
    </format>
    <format dxfId="599">
      <pivotArea type="all" dataOnly="0" outline="0" fieldPosition="0"/>
    </format>
    <format dxfId="598">
      <pivotArea outline="0" collapsedLevelsAreSubtotals="1" fieldPosition="0"/>
    </format>
    <format dxfId="597">
      <pivotArea dataOnly="0" labelOnly="1" grandRow="1" outline="0" fieldPosition="0"/>
    </format>
    <format dxfId="596">
      <pivotArea outline="0" collapsedLevelsAreSubtotals="1" fieldPosition="0"/>
    </format>
    <format dxfId="595">
      <pivotArea field="8" type="button" dataOnly="0" labelOnly="1" outline="0"/>
    </format>
    <format dxfId="594">
      <pivotArea dataOnly="0" labelOnly="1" grandRow="1" outline="0" fieldPosition="0"/>
    </format>
    <format dxfId="593">
      <pivotArea field="8" type="button" dataOnly="0" labelOnly="1" outline="0"/>
    </format>
    <format dxfId="592">
      <pivotArea dataOnly="0" labelOnly="1" grandRow="1" outline="0" fieldPosition="0"/>
    </format>
    <format dxfId="591">
      <pivotArea outline="0" collapsedLevelsAreSubtotals="1" fieldPosition="0"/>
    </format>
    <format dxfId="590">
      <pivotArea field="8" type="button" dataOnly="0" labelOnly="1" outline="0"/>
    </format>
    <format dxfId="589">
      <pivotArea outline="0" collapsedLevelsAreSubtotals="1" fieldPosition="0"/>
    </format>
    <format dxfId="588">
      <pivotArea field="8" type="button" dataOnly="0" labelOnly="1" outline="0"/>
    </format>
    <format dxfId="587">
      <pivotArea dataOnly="0" labelOnly="1" grandRow="1" outline="0" fieldPosition="0"/>
    </format>
    <format dxfId="586">
      <pivotArea outline="0" collapsedLevelsAreSubtotals="1" fieldPosition="0"/>
    </format>
    <format dxfId="585">
      <pivotArea field="0" type="button" dataOnly="0" labelOnly="1" outline="0" axis="axisPage" fieldPosition="1"/>
    </format>
    <format dxfId="584">
      <pivotArea dataOnly="0" labelOnly="1" outline="0" fieldPosition="0">
        <references count="1">
          <reference field="4294967294" count="3">
            <x v="0"/>
            <x v="1"/>
            <x v="2"/>
          </reference>
        </references>
      </pivotArea>
    </format>
    <format dxfId="583">
      <pivotArea type="all" dataOnly="0" outline="0" fieldPosition="0"/>
    </format>
    <format dxfId="582">
      <pivotArea outline="0" collapsedLevelsAreSubtotals="1" fieldPosition="0"/>
    </format>
    <format dxfId="581">
      <pivotArea dataOnly="0" labelOnly="1" fieldPosition="0">
        <references count="1">
          <reference field="9" count="0"/>
        </references>
      </pivotArea>
    </format>
    <format dxfId="580">
      <pivotArea dataOnly="0" labelOnly="1" grandRow="1" outline="0" fieldPosition="0"/>
    </format>
    <format dxfId="579">
      <pivotArea dataOnly="0" labelOnly="1" outline="0" fieldPosition="0">
        <references count="1">
          <reference field="4294967294" count="3">
            <x v="0"/>
            <x v="1"/>
            <x v="2"/>
          </reference>
        </references>
      </pivotArea>
    </format>
    <format dxfId="578">
      <pivotArea field="9" type="button" dataOnly="0" labelOnly="1" outline="0" axis="axisRow" fieldPosition="0"/>
    </format>
    <format dxfId="577">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33.xml><?xml version="1.0" encoding="utf-8"?>
<pivotTableDefinition xmlns="http://schemas.openxmlformats.org/spreadsheetml/2006/main" name="PivotTable3"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9">
  <location ref="B492:C499" firstHeaderRow="2"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axis="axisPage" compact="0" numFmtId="166" outline="0" multipleItemSelectionAllowed="1" showAll="0" defaultSubtotal="0">
      <items count="9">
        <item h="1" m="1" x="7"/>
        <item m="1" x="6"/>
        <item h="1" m="1" x="8"/>
        <item h="1" x="1"/>
        <item h="1" x="0"/>
        <item h="1" x="3"/>
        <item x="2"/>
        <item h="1"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axis="axisRow" dataField="1" compact="0" outline="0" showAll="0" defaultSubtotal="0">
      <items count="20">
        <item x="1"/>
        <item m="1" x="14"/>
        <item m="1" x="17"/>
        <item m="1" x="16"/>
        <item m="1" x="10"/>
        <item x="5"/>
        <item m="1" x="13"/>
        <item m="1" x="11"/>
        <item m="1" x="9"/>
        <item m="1" x="12"/>
        <item m="1" x="19"/>
        <item m="1" x="18"/>
        <item x="6"/>
        <item x="4"/>
        <item x="2"/>
        <item x="3"/>
        <item x="0"/>
        <item x="7"/>
        <item m="1" x="15"/>
        <item m="1" x="8"/>
      </items>
    </pivotField>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1"/>
  </rowFields>
  <rowItems count="6">
    <i>
      <x v="5"/>
    </i>
    <i>
      <x v="12"/>
    </i>
    <i>
      <x v="13"/>
    </i>
    <i>
      <x v="15"/>
    </i>
    <i>
      <x v="17"/>
    </i>
    <i t="grand">
      <x/>
    </i>
  </rowItems>
  <colItems count="1">
    <i/>
  </colItems>
  <pageFields count="2">
    <pageField fld="9" hier="-1"/>
    <pageField fld="7" hier="0"/>
  </pageFields>
  <dataFields count="1">
    <dataField name="Count of Latrines organization" fld="51" subtotal="count" baseField="44" baseItem="1" numFmtId="1"/>
  </dataFields>
  <formats count="7">
    <format dxfId="608">
      <pivotArea type="all" dataOnly="0" outline="0" fieldPosition="0"/>
    </format>
    <format dxfId="607">
      <pivotArea type="all" dataOnly="0" outline="0" fieldPosition="0"/>
    </format>
    <format dxfId="606">
      <pivotArea type="all" dataOnly="0" outline="0" fieldPosition="0"/>
    </format>
    <format dxfId="605">
      <pivotArea outline="0" fieldPosition="0"/>
    </format>
    <format dxfId="604">
      <pivotArea dataOnly="0" labelOnly="1" outline="0" fieldPosition="0">
        <references count="1">
          <reference field="7" count="0"/>
        </references>
      </pivotArea>
    </format>
    <format dxfId="603">
      <pivotArea type="topRight" dataOnly="0" labelOnly="1" outline="0" fieldPosition="0"/>
    </format>
    <format dxfId="602">
      <pivotArea outline="0" collapsedLevelsAreSubtotals="1" fieldPosition="0"/>
    </format>
  </formats>
  <chartFormats count="14">
    <chartFormat chart="22" format="36" series="1">
      <pivotArea type="data" outline="0" fieldPosition="0"/>
    </chartFormat>
    <chartFormat chart="22" format="37" series="1">
      <pivotArea type="data" outline="0" fieldPosition="0">
        <references count="1">
          <reference field="4294967294" count="1" selected="0">
            <x v="0"/>
          </reference>
        </references>
      </pivotArea>
    </chartFormat>
    <chartFormat chart="22" format="38">
      <pivotArea type="data" outline="0" fieldPosition="0">
        <references count="2">
          <reference field="4294967294" count="1" selected="0">
            <x v="0"/>
          </reference>
          <reference field="51" count="1" selected="0">
            <x v="1"/>
          </reference>
        </references>
      </pivotArea>
    </chartFormat>
    <chartFormat chart="22" format="39">
      <pivotArea type="data" outline="0" fieldPosition="0">
        <references count="2">
          <reference field="4294967294" count="1" selected="0">
            <x v="0"/>
          </reference>
          <reference field="51" count="1" selected="0">
            <x v="2"/>
          </reference>
        </references>
      </pivotArea>
    </chartFormat>
    <chartFormat chart="22" format="40">
      <pivotArea type="data" outline="0" fieldPosition="0">
        <references count="2">
          <reference field="4294967294" count="1" selected="0">
            <x v="0"/>
          </reference>
          <reference field="51" count="1" selected="0">
            <x v="3"/>
          </reference>
        </references>
      </pivotArea>
    </chartFormat>
    <chartFormat chart="22" format="41">
      <pivotArea type="data" outline="0" fieldPosition="0">
        <references count="2">
          <reference field="4294967294" count="1" selected="0">
            <x v="0"/>
          </reference>
          <reference field="51" count="1" selected="0">
            <x v="4"/>
          </reference>
        </references>
      </pivotArea>
    </chartFormat>
    <chartFormat chart="22" format="42">
      <pivotArea type="data" outline="0" fieldPosition="0">
        <references count="2">
          <reference field="4294967294" count="1" selected="0">
            <x v="0"/>
          </reference>
          <reference field="51" count="1" selected="0">
            <x v="7"/>
          </reference>
        </references>
      </pivotArea>
    </chartFormat>
    <chartFormat chart="22" format="43">
      <pivotArea type="data" outline="0" fieldPosition="0">
        <references count="2">
          <reference field="4294967294" count="1" selected="0">
            <x v="0"/>
          </reference>
          <reference field="51" count="1" selected="0">
            <x v="8"/>
          </reference>
        </references>
      </pivotArea>
    </chartFormat>
    <chartFormat chart="22" format="44">
      <pivotArea type="data" outline="0" fieldPosition="0">
        <references count="2">
          <reference field="4294967294" count="1" selected="0">
            <x v="0"/>
          </reference>
          <reference field="51" count="1" selected="0">
            <x v="6"/>
          </reference>
        </references>
      </pivotArea>
    </chartFormat>
    <chartFormat chart="22" format="45">
      <pivotArea type="data" outline="0" fieldPosition="0">
        <references count="2">
          <reference field="4294967294" count="1" selected="0">
            <x v="0"/>
          </reference>
          <reference field="51" count="1" selected="0">
            <x v="12"/>
          </reference>
        </references>
      </pivotArea>
    </chartFormat>
    <chartFormat chart="22" format="46">
      <pivotArea type="data" outline="0" fieldPosition="0">
        <references count="2">
          <reference field="4294967294" count="1" selected="0">
            <x v="0"/>
          </reference>
          <reference field="51" count="1" selected="0">
            <x v="5"/>
          </reference>
        </references>
      </pivotArea>
    </chartFormat>
    <chartFormat chart="22" format="47">
      <pivotArea type="data" outline="0" fieldPosition="0">
        <references count="2">
          <reference field="4294967294" count="1" selected="0">
            <x v="0"/>
          </reference>
          <reference field="51" count="1" selected="0">
            <x v="13"/>
          </reference>
        </references>
      </pivotArea>
    </chartFormat>
    <chartFormat chart="22" format="48">
      <pivotArea type="data" outline="0" fieldPosition="0">
        <references count="2">
          <reference field="4294967294" count="1" selected="0">
            <x v="0"/>
          </reference>
          <reference field="51" count="1" selected="0">
            <x v="15"/>
          </reference>
        </references>
      </pivotArea>
    </chartFormat>
    <chartFormat chart="22" format="49">
      <pivotArea type="data" outline="0" fieldPosition="0">
        <references count="2">
          <reference field="4294967294" count="1" selected="0">
            <x v="0"/>
          </reference>
          <reference field="51" count="1" selected="0">
            <x v="17"/>
          </reference>
        </references>
      </pivotArea>
    </chartFormat>
  </chartFormats>
  <pivotTableStyleInfo name="PivotStyleLight22" showRowHeaders="1" showColHeaders="1" showRowStripes="0" showColStripes="0" showLastColumn="1"/>
</pivotTableDefinition>
</file>

<file path=xl/pivotTables/pivotTable34.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4">
  <location ref="B477:C483" firstHeaderRow="2" firstDataRow="2" firstDataCol="1" rowPageCount="2"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axis="axisPage"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axis="axisRow" dataField="1" compact="0" numFmtId="166" outline="0" subtotalTop="0" showAll="0" includeNewItemsInFilter="1" sortType="ascending">
      <items count="7">
        <item x="1"/>
        <item x="5"/>
        <item x="3"/>
        <item x="4"/>
        <item x="0"/>
        <item h="1" x="2"/>
        <item t="default"/>
      </items>
    </pivotField>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2"/>
  </rowFields>
  <rowItems count="5">
    <i>
      <x/>
    </i>
    <i>
      <x v="2"/>
    </i>
    <i>
      <x v="3"/>
    </i>
    <i>
      <x v="4"/>
    </i>
    <i t="grand">
      <x/>
    </i>
  </rowItems>
  <colItems count="1">
    <i/>
  </colItems>
  <pageFields count="2">
    <pageField fld="9" hier="-1"/>
    <pageField fld="7" hier="-1"/>
  </pageFields>
  <dataFields count="1">
    <dataField name="Count of Water facilities management  organised by community and efficient" fld="92" subtotal="count" showDataAs="percentOfTotal" baseField="84" baseItem="2" numFmtId="9"/>
  </dataFields>
  <formats count="10">
    <format dxfId="618">
      <pivotArea type="all" dataOnly="0" outline="0" fieldPosition="0"/>
    </format>
    <format dxfId="617">
      <pivotArea outline="0" fieldPosition="0"/>
    </format>
    <format dxfId="616">
      <pivotArea type="all" dataOnly="0" outline="0" fieldPosition="0"/>
    </format>
    <format dxfId="615">
      <pivotArea type="all" dataOnly="0" outline="0" fieldPosition="0"/>
    </format>
    <format dxfId="614">
      <pivotArea type="all" dataOnly="0" outline="0" fieldPosition="0"/>
    </format>
    <format dxfId="613">
      <pivotArea outline="0" fieldPosition="0"/>
    </format>
    <format dxfId="612">
      <pivotArea type="topRight" dataOnly="0" labelOnly="1" outline="0" fieldPosition="0"/>
    </format>
    <format dxfId="611">
      <pivotArea dataOnly="0" labelOnly="1" outline="0" fieldPosition="0">
        <references count="1">
          <reference field="7" count="1">
            <x v="0"/>
          </reference>
        </references>
      </pivotArea>
    </format>
    <format dxfId="610">
      <pivotArea outline="0" fieldPosition="0">
        <references count="1">
          <reference field="4294967294" count="1">
            <x v="0"/>
          </reference>
        </references>
      </pivotArea>
    </format>
    <format dxfId="609">
      <pivotArea outline="0" collapsedLevelsAreSubtotals="1" fieldPosition="0"/>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2" count="1" selected="0">
            <x v="0"/>
          </reference>
        </references>
      </pivotArea>
    </chartFormat>
    <chartFormat chart="0" format="4">
      <pivotArea type="data" outline="0" fieldPosition="0">
        <references count="2">
          <reference field="4294967294" count="1" selected="0">
            <x v="0"/>
          </reference>
          <reference field="92" count="1" selected="0">
            <x v="3"/>
          </reference>
        </references>
      </pivotArea>
    </chartFormat>
    <chartFormat chart="1" format="8"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92" count="1" selected="0">
            <x v="0"/>
          </reference>
        </references>
      </pivotArea>
    </chartFormat>
    <chartFormat chart="8" format="1"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 chart="42" format="11" series="1">
      <pivotArea type="data" outline="0" fieldPosition="0">
        <references count="1">
          <reference field="4294967294" count="1" selected="0">
            <x v="0"/>
          </reference>
        </references>
      </pivotArea>
    </chartFormat>
    <chartFormat chart="42" format="12">
      <pivotArea type="data" outline="0" fieldPosition="0">
        <references count="2">
          <reference field="4294967294" count="1" selected="0">
            <x v="0"/>
          </reference>
          <reference field="92" count="1" selected="0">
            <x v="0"/>
          </reference>
        </references>
      </pivotArea>
    </chartFormat>
    <chartFormat chart="42" format="13">
      <pivotArea type="data" outline="0" fieldPosition="0">
        <references count="2">
          <reference field="4294967294" count="1" selected="0">
            <x v="0"/>
          </reference>
          <reference field="92" count="1" selected="0">
            <x v="1"/>
          </reference>
        </references>
      </pivotArea>
    </chartFormat>
    <chartFormat chart="42" format="14">
      <pivotArea type="data" outline="0" fieldPosition="0">
        <references count="2">
          <reference field="4294967294" count="1" selected="0">
            <x v="0"/>
          </reference>
          <reference field="92" count="1" selected="0">
            <x v="2"/>
          </reference>
        </references>
      </pivotArea>
    </chartFormat>
    <chartFormat chart="42" format="15">
      <pivotArea type="data" outline="0" fieldPosition="0">
        <references count="2">
          <reference field="4294967294" count="1" selected="0">
            <x v="0"/>
          </reference>
          <reference field="92" count="1" selected="0">
            <x v="3"/>
          </reference>
        </references>
      </pivotArea>
    </chartFormat>
    <chartFormat chart="42" format="16">
      <pivotArea type="data" outline="0" fieldPosition="0">
        <references count="2">
          <reference field="4294967294" count="1" selected="0">
            <x v="0"/>
          </reference>
          <reference field="92" count="1" selected="0">
            <x v="4"/>
          </reference>
        </references>
      </pivotArea>
    </chartFormat>
  </chartFormats>
  <pivotTableStyleInfo name="PivotStyleLight22" showRowHeaders="1" showColHeaders="1" showRowStripes="0" showColStripes="0" showLastColumn="1"/>
</pivotTableDefinition>
</file>

<file path=xl/pivotTables/pivotTable35.xml><?xml version="1.0" encoding="utf-8"?>
<pivotTableDefinition xmlns="http://schemas.openxmlformats.org/spreadsheetml/2006/main" name="PivotTable7" cacheId="0"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3">
  <location ref="B458:C465" firstHeaderRow="2" firstDataRow="2" firstDataCol="1" rowPageCount="1" colPageCount="1"/>
  <pivotFields count="111">
    <pivotField compact="0" numFmtId="166" outline="0" subtotalTop="0" showAll="0" includeNewItemsInFilter="1"/>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h="1" x="0"/>
        <item t="default"/>
      </items>
    </pivotField>
    <pivotField compact="0" numFmtId="166" outline="0" subtotalTop="0" showAll="0" includeNewItemsInFilter="1"/>
    <pivotField compact="0" numFmtId="166" outline="0" multipleItemSelectionAllowed="1" showAll="0" defaultSubtotal="0"/>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axis="axisRow" dataField="1" compact="0" numFmtId="166" outline="0" subtotalTop="0" showAll="0" includeNewItemsInFilter="1" sortType="ascending">
      <items count="7">
        <item x="2"/>
        <item x="5"/>
        <item x="4"/>
        <item x="0"/>
        <item x="1"/>
        <item x="3"/>
        <item t="default"/>
      </items>
    </pivotField>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1"/>
  </rowFields>
  <rowItems count="6">
    <i>
      <x/>
    </i>
    <i>
      <x v="2"/>
    </i>
    <i>
      <x v="3"/>
    </i>
    <i>
      <x v="4"/>
    </i>
    <i>
      <x v="5"/>
    </i>
    <i t="grand">
      <x/>
    </i>
  </rowItems>
  <colItems count="1">
    <i/>
  </colItems>
  <pageFields count="1">
    <pageField fld="7" hier="-1"/>
  </pageFields>
  <dataFields count="1">
    <dataField name="Count of Latrine/bathroom management organised with community and efficient" fld="91" subtotal="count" showDataAs="percentOfTotal" baseField="81" baseItem="3" numFmtId="9"/>
  </dataFields>
  <formats count="9">
    <format dxfId="627">
      <pivotArea type="all" dataOnly="0" outline="0" fieldPosition="0"/>
    </format>
    <format dxfId="626">
      <pivotArea outline="0" fieldPosition="0"/>
    </format>
    <format dxfId="625">
      <pivotArea type="all" dataOnly="0" outline="0" fieldPosition="0"/>
    </format>
    <format dxfId="624">
      <pivotArea type="all" dataOnly="0" outline="0" fieldPosition="0"/>
    </format>
    <format dxfId="623">
      <pivotArea type="all" dataOnly="0" outline="0" fieldPosition="0"/>
    </format>
    <format dxfId="622">
      <pivotArea outline="0" fieldPosition="0"/>
    </format>
    <format dxfId="621">
      <pivotArea type="topRight" dataOnly="0" labelOnly="1" outline="0" fieldPosition="0"/>
    </format>
    <format dxfId="620">
      <pivotArea outline="0" fieldPosition="0">
        <references count="1">
          <reference field="4294967294" count="1">
            <x v="0"/>
          </reference>
        </references>
      </pivotArea>
    </format>
    <format dxfId="619">
      <pivotArea outline="0" collapsedLevelsAreSubtotals="1" fieldPosition="0"/>
    </format>
  </formats>
  <chartFormats count="11">
    <chartFormat chart="2" format="13" series="1">
      <pivotArea type="data" outline="0" fieldPosition="0">
        <references count="1">
          <reference field="4294967294" count="1" selected="0">
            <x v="0"/>
          </reference>
        </references>
      </pivotArea>
    </chartFormat>
    <chartFormat chart="2" format="14">
      <pivotArea type="data" outline="0" fieldPosition="0">
        <references count="2">
          <reference field="4294967294" count="1" selected="0">
            <x v="0"/>
          </reference>
          <reference field="91" count="1" selected="0">
            <x v="0"/>
          </reference>
        </references>
      </pivotArea>
    </chartFormat>
    <chartFormat chart="11" format="1"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 chart="12" format="4">
      <pivotArea type="data" outline="0" fieldPosition="0">
        <references count="2">
          <reference field="4294967294" count="1" selected="0">
            <x v="0"/>
          </reference>
          <reference field="91"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pivotArea type="data" outline="0" fieldPosition="0">
        <references count="2">
          <reference field="4294967294" count="1" selected="0">
            <x v="0"/>
          </reference>
          <reference field="91" count="1" selected="0">
            <x v="0"/>
          </reference>
        </references>
      </pivotArea>
    </chartFormat>
    <chartFormat chart="13" format="2">
      <pivotArea type="data" outline="0" fieldPosition="0">
        <references count="2">
          <reference field="4294967294" count="1" selected="0">
            <x v="0"/>
          </reference>
          <reference field="91" count="1" selected="0">
            <x v="2"/>
          </reference>
        </references>
      </pivotArea>
    </chartFormat>
    <chartFormat chart="13" format="3">
      <pivotArea type="data" outline="0" fieldPosition="0">
        <references count="2">
          <reference field="4294967294" count="1" selected="0">
            <x v="0"/>
          </reference>
          <reference field="91" count="1" selected="0">
            <x v="3"/>
          </reference>
        </references>
      </pivotArea>
    </chartFormat>
    <chartFormat chart="13" format="4">
      <pivotArea type="data" outline="0" fieldPosition="0">
        <references count="2">
          <reference field="4294967294" count="1" selected="0">
            <x v="0"/>
          </reference>
          <reference field="91" count="1" selected="0">
            <x v="4"/>
          </reference>
        </references>
      </pivotArea>
    </chartFormat>
    <chartFormat chart="13" format="5">
      <pivotArea type="data" outline="0" fieldPosition="0">
        <references count="2">
          <reference field="4294967294" count="1" selected="0">
            <x v="0"/>
          </reference>
          <reference field="91" count="1" selected="0">
            <x v="5"/>
          </reference>
        </references>
      </pivotArea>
    </chartFormat>
  </chartFormats>
  <pivotTableStyleInfo name="PivotStyleLight22" showRowHeaders="1" showColHeaders="1" showRowStripes="0" showColStripes="0" showLastColumn="1"/>
</pivotTableDefinition>
</file>

<file path=xl/pivotTables/pivotTable36.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18:C121" firstHeaderRow="1" firstDataRow="1"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h="1" x="15"/>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0" hier="0"/>
  </pageFields>
  <dataFields count="3">
    <dataField name=" Approximate % of fund dedicated to sanitation" fld="25" subtotal="average" baseField="0" baseItem="0"/>
    <dataField name=" Approximate % fund dedicated to Water access" fld="26" subtotal="average" baseField="0" baseItem="0"/>
    <dataField name=" Approximate % of fund dedicated to HP" fld="27" subtotal="average" baseField="0" baseItem="0"/>
  </dataFields>
  <formats count="6">
    <format dxfId="7">
      <pivotArea outline="0" fieldPosition="0"/>
    </format>
    <format dxfId="6">
      <pivotArea field="0" type="button" dataOnly="0" labelOnly="1" outline="0" axis="axisPage" fieldPosition="0"/>
    </format>
    <format dxfId="5">
      <pivotArea field="-2" type="button" dataOnly="0" labelOnly="1" outline="0" axis="axisRow" fieldPosition="0"/>
    </format>
    <format dxfId="4">
      <pivotArea dataOnly="0" labelOnly="1" outline="0" fieldPosition="0">
        <references count="1">
          <reference field="4294967294" count="3">
            <x v="0"/>
            <x v="1"/>
            <x v="2"/>
          </reference>
        </references>
      </pivotArea>
    </format>
    <format dxfId="3">
      <pivotArea outline="0" fieldPosition="0"/>
    </format>
    <format dxfId="2">
      <pivotArea dataOnly="0" labelOnly="1" outline="0" fieldPosition="0">
        <references count="1">
          <reference field="0" count="0"/>
        </references>
      </pivotArea>
    </format>
  </formats>
  <chartFormats count="9">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1">
          <reference field="4294967294" count="1" selected="0">
            <x v="0"/>
          </reference>
        </references>
      </pivotArea>
    </chartFormat>
    <chartFormat chart="2" format="8">
      <pivotArea type="data" outline="0" fieldPosition="0">
        <references count="1">
          <reference field="4294967294" count="1" selected="0">
            <x v="2"/>
          </reference>
        </references>
      </pivotArea>
    </chartFormat>
    <chartFormat chart="2" format="9">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pivotArea type="data" outline="0" fieldPosition="0">
        <references count="1">
          <reference field="4294967294" count="1" selected="0">
            <x v="0"/>
          </reference>
        </references>
      </pivotArea>
    </chartFormat>
    <chartFormat chart="3" format="12">
      <pivotArea type="data" outline="0" fieldPosition="0">
        <references count="1">
          <reference field="4294967294" count="1" selected="0">
            <x v="1"/>
          </reference>
        </references>
      </pivotArea>
    </chartFormat>
    <chartFormat chart="3" format="13">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150:G154" firstHeaderRow="1" firstDataRow="2"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x="15"/>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2" fld="17" baseField="8" baseItem="0"/>
    <dataField name=" Nb of water access beneficiaries plan2" fld="18" baseField="8" baseItem="0"/>
    <dataField name=" Nb of beneficiairies for HE2" fld="19" baseField="8" baseItem="0"/>
  </dataFields>
  <formats count="11">
    <format dxfId="18">
      <pivotArea outline="0" fieldPosition="0"/>
    </format>
    <format dxfId="17">
      <pivotArea field="0" type="button" dataOnly="0" labelOnly="1" outline="0" axis="axisPage" fieldPosition="0"/>
    </format>
    <format dxfId="16">
      <pivotArea field="-2" type="button" dataOnly="0" labelOnly="1" outline="0" axis="axisRow" fieldPosition="0"/>
    </format>
    <format dxfId="15">
      <pivotArea outline="0" fieldPosition="0"/>
    </format>
    <format dxfId="14">
      <pivotArea dataOnly="0" labelOnly="1" outline="0" fieldPosition="0">
        <references count="1">
          <reference field="0" count="0"/>
        </references>
      </pivotArea>
    </format>
    <format dxfId="13">
      <pivotArea outline="0" collapsedLevelsAreSubtotals="1" fieldPosition="0"/>
    </format>
    <format dxfId="12">
      <pivotArea dataOnly="0" labelOnly="1" outline="0" fieldPosition="0">
        <references count="1">
          <reference field="8" count="1">
            <x v="0"/>
          </reference>
        </references>
      </pivotArea>
    </format>
    <format dxfId="11">
      <pivotArea dataOnly="0" labelOnly="1" outline="0" fieldPosition="0">
        <references count="1">
          <reference field="8" count="1">
            <x v="1"/>
          </reference>
        </references>
      </pivotArea>
    </format>
    <format dxfId="10">
      <pivotArea dataOnly="0" labelOnly="1" outline="0" fieldPosition="0">
        <references count="1">
          <reference field="8" count="0"/>
        </references>
      </pivotArea>
    </format>
    <format dxfId="9">
      <pivotArea outline="0" collapsedLevelsAreSubtotals="1" fieldPosition="0"/>
    </format>
    <format dxfId="8">
      <pivotArea dataOnly="0" labelOnly="1" outline="0" fieldPosition="0">
        <references count="1">
          <reference field="8" count="1">
            <x v="3"/>
          </reference>
        </references>
      </pivotArea>
    </format>
  </formats>
  <chartFormats count="9">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 chart="9" format="5" series="1">
      <pivotArea type="data" outline="0" fieldPosition="0">
        <references count="2">
          <reference field="4294967294" count="1" selected="0">
            <x v="0"/>
          </reference>
          <reference field="8" count="1" selected="0">
            <x v="1"/>
          </reference>
        </references>
      </pivotArea>
    </chartFormat>
    <chartFormat chart="9" format="6" series="1">
      <pivotArea type="data" outline="0" fieldPosition="0">
        <references count="2">
          <reference field="4294967294" count="1" selected="0">
            <x v="0"/>
          </reference>
          <reference field="8" count="1" selected="0">
            <x v="3"/>
          </reference>
        </references>
      </pivotArea>
    </chartFormat>
    <chartFormat chart="9" format="7" series="1">
      <pivotArea type="data" outline="0" fieldPosition="0">
        <references count="2">
          <reference field="4294967294" count="1" selected="0">
            <x v="0"/>
          </reference>
          <reference field="8" count="1" selected="0">
            <x v="4"/>
          </reference>
        </references>
      </pivotArea>
    </chartFormat>
    <chartFormat chart="9" format="8" series="1">
      <pivotArea type="data" outline="0" fieldPosition="0">
        <references count="2">
          <reference field="4294967294" count="1" selected="0">
            <x v="0"/>
          </reference>
          <reference field="8" count="1" selected="0">
            <x v="0"/>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7">
  <location ref="B55:C61" firstHeaderRow="2" firstDataRow="2" firstDataCol="1" rowPageCount="1" colPageCount="1"/>
  <pivotFields count="29">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3"/>
    </i>
    <i>
      <x v="4"/>
    </i>
    <i t="grand">
      <x/>
    </i>
  </rowItems>
  <colItems count="1">
    <i/>
  </colItems>
  <pageFields count="1">
    <pageField fld="2" hier="-1"/>
  </pageFields>
  <dataFields count="1">
    <dataField name="Sum of Total budget of the project US$. For only WASH related cost (including related support costs)" fld="20" baseField="0" baseItem="0" numFmtId="3"/>
  </dataFields>
  <formats count="9">
    <format dxfId="27">
      <pivotArea outline="0" fieldPosition="0">
        <references count="1">
          <reference field="4294967294" count="1">
            <x v="0"/>
          </reference>
        </references>
      </pivotArea>
    </format>
    <format dxfId="26">
      <pivotArea outline="0" fieldPosition="0"/>
    </format>
    <format dxfId="25">
      <pivotArea type="origin" dataOnly="0" labelOnly="1" outline="0" fieldPosition="0"/>
    </format>
    <format dxfId="24">
      <pivotArea field="2" type="button" dataOnly="0" labelOnly="1" outline="0" axis="axisPage" fieldPosition="0"/>
    </format>
    <format dxfId="23">
      <pivotArea dataOnly="0" labelOnly="1" grandRow="1" outline="0" fieldPosition="0"/>
    </format>
    <format dxfId="22">
      <pivotArea outline="0" fieldPosition="0"/>
    </format>
    <format dxfId="21">
      <pivotArea type="topRight" dataOnly="0" labelOnly="1" outline="0" fieldPosition="0"/>
    </format>
    <format dxfId="20">
      <pivotArea dataOnly="0" labelOnly="1" outline="0" fieldPosition="0">
        <references count="1">
          <reference field="8" count="0"/>
        </references>
      </pivotArea>
    </format>
    <format dxfId="19">
      <pivotArea outline="0" collapsedLevelsAreSubtotals="1" fieldPosition="0"/>
    </format>
  </formats>
  <chartFormats count="10">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6"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36:G140" firstHeaderRow="1" firstDataRow="2"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h="1" x="15"/>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 fld="14" baseField="8" baseItem="0"/>
    <dataField name=" Nb of water access beneficiaries plan" fld="15" baseField="8" baseItem="0"/>
    <dataField name=" Nb of beneficiairies for HE" fld="16" baseField="8" baseItem="0"/>
  </dataFields>
  <formats count="12">
    <format dxfId="39">
      <pivotArea outline="0" fieldPosition="0"/>
    </format>
    <format dxfId="38">
      <pivotArea field="0" type="button" dataOnly="0" labelOnly="1" outline="0" axis="axisPage" fieldPosition="0"/>
    </format>
    <format dxfId="37">
      <pivotArea field="-2" type="button" dataOnly="0" labelOnly="1" outline="0" axis="axisRow" fieldPosition="0"/>
    </format>
    <format dxfId="36">
      <pivotArea outline="0" fieldPosition="0"/>
    </format>
    <format dxfId="35">
      <pivotArea dataOnly="0" labelOnly="1" outline="0" fieldPosition="0">
        <references count="1">
          <reference field="0" count="0"/>
        </references>
      </pivotArea>
    </format>
    <format dxfId="34">
      <pivotArea outline="0" collapsedLevelsAreSubtotals="1" fieldPosition="0"/>
    </format>
    <format dxfId="33">
      <pivotArea dataOnly="0" labelOnly="1" outline="0" fieldPosition="0">
        <references count="1">
          <reference field="8" count="1">
            <x v="0"/>
          </reference>
        </references>
      </pivotArea>
    </format>
    <format dxfId="32">
      <pivotArea dataOnly="0" labelOnly="1" outline="0" fieldPosition="0">
        <references count="1">
          <reference field="8" count="1">
            <x v="2"/>
          </reference>
        </references>
      </pivotArea>
    </format>
    <format dxfId="31">
      <pivotArea dataOnly="0" labelOnly="1" outline="0" fieldPosition="0">
        <references count="1">
          <reference field="8" count="1">
            <x v="1"/>
          </reference>
        </references>
      </pivotArea>
    </format>
    <format dxfId="30">
      <pivotArea dataOnly="0" labelOnly="1" outline="0" fieldPosition="0">
        <references count="1">
          <reference field="8" count="0"/>
        </references>
      </pivotArea>
    </format>
    <format dxfId="29">
      <pivotArea outline="0" collapsedLevelsAreSubtotals="1" fieldPosition="0"/>
    </format>
    <format dxfId="28">
      <pivotArea dataOnly="0" labelOnly="1" outline="0" fieldPosition="0">
        <references count="1">
          <reference field="8" count="1">
            <x v="3"/>
          </reference>
        </references>
      </pivotArea>
    </format>
  </formats>
  <chartFormats count="9">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 chart="3" format="5" series="1">
      <pivotArea type="data" outline="0" fieldPosition="0">
        <references count="2">
          <reference field="4294967294" count="1" selected="0">
            <x v="0"/>
          </reference>
          <reference field="8" count="1" selected="0">
            <x v="0"/>
          </reference>
        </references>
      </pivotArea>
    </chartFormat>
    <chartFormat chart="3" format="6" series="1">
      <pivotArea type="data" outline="0" fieldPosition="0">
        <references count="2">
          <reference field="4294967294" count="1" selected="0">
            <x v="0"/>
          </reference>
          <reference field="8" count="1" selected="0">
            <x v="1"/>
          </reference>
        </references>
      </pivotArea>
    </chartFormat>
    <chartFormat chart="3" format="7" series="1">
      <pivotArea type="data" outline="0" fieldPosition="0">
        <references count="2">
          <reference field="4294967294" count="1" selected="0">
            <x v="0"/>
          </reference>
          <reference field="8" count="1" selected="0">
            <x v="3"/>
          </reference>
        </references>
      </pivotArea>
    </chartFormat>
    <chartFormat chart="3" format="8" series="1">
      <pivotArea type="data" outline="0" fieldPosition="0">
        <references count="2">
          <reference field="4294967294" count="1" selected="0">
            <x v="0"/>
          </reference>
          <reference field="8" count="1" selected="0">
            <x v="4"/>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30" cacheId="0"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5">
  <location ref="B769:D775" firstHeaderRow="1" firstDataRow="2" firstDataCol="1" rowPageCount="2" colPageCount="1"/>
  <pivotFields count="111">
    <pivotField axis="axisPage" compact="0" numFmtId="166" outline="0" subtotalTop="0"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defaultSubtotal="0">
      <items count="9">
        <item m="1" x="7"/>
        <item m="1" x="6"/>
        <item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2">
    <i>
      <x/>
    </i>
    <i>
      <x v="1"/>
    </i>
  </colItems>
  <pageFields count="2">
    <pageField fld="7" hier="0"/>
    <pageField fld="0" hier="-1"/>
  </pageFields>
  <dataFields count="1">
    <dataField name="Sum of Total PoP" fld="12" baseField="0" baseItem="0" numFmtId="3"/>
  </dataFields>
  <formats count="11">
    <format dxfId="113">
      <pivotArea type="all" dataOnly="0" outline="0" fieldPosition="0"/>
    </format>
    <format dxfId="112">
      <pivotArea type="all" dataOnly="0" outline="0" fieldPosition="0"/>
    </format>
    <format dxfId="111">
      <pivotArea type="all" dataOnly="0" outline="0" fieldPosition="0"/>
    </format>
    <format dxfId="110">
      <pivotArea outline="0" fieldPosition="0"/>
    </format>
    <format dxfId="109">
      <pivotArea dataOnly="0" labelOnly="1" outline="0" fieldPosition="0">
        <references count="1">
          <reference field="7" count="0"/>
        </references>
      </pivotArea>
    </format>
    <format dxfId="108">
      <pivotArea type="topRight" dataOnly="0" labelOnly="1" outline="0" fieldPosition="0"/>
    </format>
    <format dxfId="107">
      <pivotArea outline="0" collapsedLevelsAreSubtotals="1" fieldPosition="0"/>
    </format>
    <format dxfId="106">
      <pivotArea outline="0" collapsedLevelsAreSubtotals="1" fieldPosition="0"/>
    </format>
    <format dxfId="105">
      <pivotArea dataOnly="0" labelOnly="1" outline="0" fieldPosition="0">
        <references count="1">
          <reference field="18" count="0"/>
        </references>
      </pivotArea>
    </format>
    <format dxfId="104">
      <pivotArea dataOnly="0" labelOnly="1" grandCol="1" outline="0" fieldPosition="0"/>
    </format>
    <format dxfId="103">
      <pivotArea outline="0" collapsedLevelsAreSubtotals="1" fieldPosition="0"/>
    </format>
  </formats>
  <chartFormats count="11">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 chart="75" format="4" series="1">
      <pivotArea type="data" outline="0" fieldPosition="0">
        <references count="2">
          <reference field="4294967294" count="1" selected="0">
            <x v="0"/>
          </reference>
          <reference field="18" count="1" selected="0">
            <x v="0"/>
          </reference>
        </references>
      </pivotArea>
    </chartFormat>
    <chartFormat chart="75" format="5" series="1">
      <pivotArea type="data" outline="0" fieldPosition="0">
        <references count="2">
          <reference field="4294967294" count="1" selected="0">
            <x v="0"/>
          </reference>
          <reference field="18" count="1" selected="0">
            <x v="1"/>
          </reference>
        </references>
      </pivotArea>
    </chartFormat>
    <chartFormat chart="76" format="0" series="1">
      <pivotArea type="data" outline="0" fieldPosition="0">
        <references count="2">
          <reference field="4294967294" count="1" selected="0">
            <x v="0"/>
          </reference>
          <reference field="18" count="1" selected="0">
            <x v="0"/>
          </reference>
        </references>
      </pivotArea>
    </chartFormat>
    <chartFormat chart="76" format="1" series="1">
      <pivotArea type="data" outline="0" fieldPosition="0">
        <references count="2">
          <reference field="4294967294" count="1" selected="0">
            <x v="0"/>
          </reference>
          <reference field="18" count="1" selected="0">
            <x v="1"/>
          </reference>
        </references>
      </pivotArea>
    </chartFormat>
    <chartFormat chart="78" format="0" series="1">
      <pivotArea type="data" outline="0" fieldPosition="0">
        <references count="2">
          <reference field="4294967294" count="1" selected="0">
            <x v="0"/>
          </reference>
          <reference field="18" count="1" selected="0">
            <x v="0"/>
          </reference>
        </references>
      </pivotArea>
    </chartFormat>
    <chartFormat chart="78" format="1" series="1">
      <pivotArea type="data" outline="0" fieldPosition="0">
        <references count="2">
          <reference field="4294967294" count="1" selected="0">
            <x v="0"/>
          </reference>
          <reference field="18" count="1" selected="0">
            <x v="1"/>
          </reference>
        </references>
      </pivotArea>
    </chartFormat>
    <chartFormat chart="80" format="0" series="1">
      <pivotArea type="data" outline="0" fieldPosition="0">
        <references count="2">
          <reference field="4294967294" count="1" selected="0">
            <x v="0"/>
          </reference>
          <reference field="18" count="1" selected="0">
            <x v="0"/>
          </reference>
        </references>
      </pivotArea>
    </chartFormat>
    <chartFormat chart="80" format="1" series="1">
      <pivotArea type="data" outline="0" fieldPosition="0">
        <references count="2">
          <reference field="4294967294" count="1" selected="0">
            <x v="0"/>
          </reference>
          <reference field="18" count="1" selected="0">
            <x v="1"/>
          </reference>
        </references>
      </pivotArea>
    </chartFormat>
    <chartFormat chart="80" format="2"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40.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101:E107" firstHeaderRow="1" firstDataRow="2"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h="1" x="15"/>
        <item x="6"/>
        <item x="1"/>
        <item x="13"/>
        <item t="default"/>
      </items>
    </pivotField>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multipleItemSelectionAllowed="1" showAll="0" defaultSubtotal="0">
      <items count="6">
        <item x="0"/>
        <item x="1"/>
        <item x="2"/>
        <item h="1" x="3"/>
        <item x="4"/>
        <item h="1" m="1" x="5"/>
      </items>
    </pivotField>
    <pivotField compact="0" outline="0" subtotalTop="0" showAll="0" includeNewItemsInFilter="1"/>
    <pivotField compact="0" outline="0" showAll="0" defaultSubtotal="0"/>
    <pivotField dataField="1" compact="0" outline="0" subtotalTop="0" showAll="0" includeNewItemsInFilter="1"/>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4"/>
    </i>
    <i t="grand">
      <x/>
    </i>
  </rowItems>
  <colFields count="1">
    <field x="-2"/>
  </colFields>
  <colItems count="3">
    <i>
      <x/>
    </i>
    <i i="1">
      <x v="1"/>
    </i>
    <i i="2">
      <x v="2"/>
    </i>
  </colItems>
  <pageFields count="1">
    <pageField fld="0" hier="0"/>
  </pageFields>
  <dataFields count="3">
    <dataField name="% funding  IDP" fld="11" subtotal="average" baseField="0" baseItem="0"/>
    <dataField name="% of funding  to affected village" fld="12" subtotal="average" baseField="0" baseItem="0" numFmtId="166"/>
    <dataField name=" % of funding  to surrounding host community" fld="13" subtotal="average" baseField="0" baseItem="0" numFmtId="166"/>
  </dataFields>
  <formats count="6">
    <format dxfId="45">
      <pivotArea outline="0" fieldPosition="0"/>
    </format>
    <format dxfId="44">
      <pivotArea field="0" type="button" dataOnly="0" labelOnly="1" outline="0" axis="axisPage" fieldPosition="0"/>
    </format>
    <format dxfId="43">
      <pivotArea field="-2" type="button" dataOnly="0" labelOnly="1" outline="0" axis="axisCol" fieldPosition="0"/>
    </format>
    <format dxfId="42">
      <pivotArea dataOnly="0" labelOnly="1" outline="0" fieldPosition="0">
        <references count="1">
          <reference field="4294967294" count="1">
            <x v="0"/>
          </reference>
        </references>
      </pivotArea>
    </format>
    <format dxfId="41">
      <pivotArea outline="0" fieldPosition="0"/>
    </format>
    <format dxfId="40">
      <pivotArea dataOnly="0" labelOnly="1" outline="0" fieldPosition="0">
        <references count="1">
          <reference field="0" count="0"/>
        </references>
      </pivotArea>
    </format>
  </formats>
  <chartFormats count="4">
    <chartFormat chart="2"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1"/>
          </reference>
        </references>
      </pivotArea>
    </chartFormat>
    <chartFormat chart="4" format="11" series="1">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41.xml><?xml version="1.0" encoding="utf-8"?>
<pivotTableDefinition xmlns="http://schemas.openxmlformats.org/spreadsheetml/2006/main" name="PivotTable9"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3">
  <location ref="B35:C41" firstHeaderRow="2" firstDataRow="2" firstDataCol="1" rowPageCount="1" colPageCount="1"/>
  <pivotFields count="29">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m="1" x="5"/>
        <item h="1" x="0"/>
        <item h="1" x="1"/>
        <item h="1" x="2"/>
        <item x="4"/>
        <item h="1" x="3"/>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multipleItemSelectionAllowed="1" showAll="0" defaultSubtotal="0">
      <items count="67">
        <item h="1" x="0"/>
        <item x="5"/>
        <item m="1" x="46"/>
        <item x="12"/>
        <item m="1" x="56"/>
        <item x="25"/>
        <item m="1" x="51"/>
        <item x="16"/>
        <item x="15"/>
        <item x="19"/>
        <item x="24"/>
        <item m="1" x="48"/>
        <item m="1" x="58"/>
        <item m="1" x="61"/>
        <item x="6"/>
        <item x="23"/>
        <item m="1" x="66"/>
        <item m="1" x="62"/>
        <item x="2"/>
        <item m="1" x="59"/>
        <item x="33"/>
        <item x="32"/>
        <item x="31"/>
        <item m="1" x="41"/>
        <item x="27"/>
        <item m="1" x="54"/>
        <item m="1" x="60"/>
        <item m="1" x="38"/>
        <item m="1" x="55"/>
        <item m="1" x="36"/>
        <item h="1" x="7"/>
        <item h="1" m="1" x="37"/>
        <item h="1" m="1" x="47"/>
        <item h="1" m="1" x="39"/>
        <item h="1" x="30"/>
        <item h="1" x="34"/>
        <item h="1" x="35"/>
        <item h="1" m="1" x="53"/>
        <item h="1" m="1" x="50"/>
        <item h="1" x="11"/>
        <item h="1" x="13"/>
        <item h="1" x="17"/>
        <item h="1" m="1" x="42"/>
        <item h="1" x="3"/>
        <item h="1" x="4"/>
        <item h="1" m="1" x="64"/>
        <item h="1" m="1" x="65"/>
        <item h="1" m="1" x="40"/>
        <item h="1" m="1" x="45"/>
        <item h="1" m="1" x="43"/>
        <item h="1" m="1" x="57"/>
        <item h="1" x="8"/>
        <item h="1" m="1" x="63"/>
        <item h="1" m="1" x="49"/>
        <item h="1" m="1" x="44"/>
        <item h="1" m="1" x="52"/>
        <item h="1" x="26"/>
        <item h="1" x="28"/>
        <item h="1" x="29"/>
        <item h="1" x="20"/>
        <item h="1" x="21"/>
        <item h="1" x="22"/>
        <item h="1" x="1"/>
        <item h="1" x="10"/>
        <item h="1" x="18"/>
        <item h="1" x="14"/>
        <item h="1" x="9"/>
      </items>
    </pivotField>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5">
    <i>
      <x v="2"/>
    </i>
    <i>
      <x v="3"/>
    </i>
    <i>
      <x v="6"/>
    </i>
    <i>
      <x v="17"/>
    </i>
    <i t="grand">
      <x/>
    </i>
  </rowItems>
  <colItems count="1">
    <i/>
  </colItems>
  <pageFields count="1">
    <pageField fld="8" hier="-1"/>
  </pageFields>
  <dataFields count="1">
    <dataField name="Sum of Total budget of the project US$. For only WASH related cost (including related support costs)" fld="20" baseField="0" baseItem="0" numFmtId="166"/>
  </dataFields>
  <formats count="8">
    <format dxfId="53">
      <pivotArea outline="0" fieldPosition="0"/>
    </format>
    <format dxfId="52">
      <pivotArea type="origin" dataOnly="0" labelOnly="1" outline="0" fieldPosition="0"/>
    </format>
    <format dxfId="51">
      <pivotArea field="2" type="button" dataOnly="0" labelOnly="1" outline="0" axis="axisRow" fieldPosition="0"/>
    </format>
    <format dxfId="50">
      <pivotArea dataOnly="0" labelOnly="1" grandRow="1" outline="0" fieldPosition="0"/>
    </format>
    <format dxfId="49">
      <pivotArea outline="0" fieldPosition="0"/>
    </format>
    <format dxfId="48">
      <pivotArea type="topRight" dataOnly="0" labelOnly="1" outline="0" fieldPosition="0"/>
    </format>
    <format dxfId="47">
      <pivotArea outline="0" collapsedLevelsAreSubtotals="1" fieldPosition="0"/>
    </format>
    <format dxfId="46">
      <pivotArea field="22" type="button" dataOnly="0" labelOnly="1" outline="0"/>
    </format>
  </formats>
  <chartFormats count="2">
    <chartFormat chart="56" format="39" series="1">
      <pivotArea type="data" outline="0" fieldPosition="0"/>
    </chartFormat>
    <chartFormat chart="56" format="40"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2.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6">
  <location ref="B6:C23" firstHeaderRow="2" firstDataRow="2" firstDataCol="1" rowPageCount="1" colPageCount="1"/>
  <pivotFields count="29">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x="0"/>
        <item x="1"/>
        <item x="2"/>
        <item h="1" x="3"/>
        <item h="1"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6">
    <i>
      <x v="1"/>
    </i>
    <i>
      <x v="2"/>
    </i>
    <i>
      <x v="3"/>
    </i>
    <i>
      <x v="6"/>
    </i>
    <i>
      <x v="7"/>
    </i>
    <i>
      <x v="8"/>
    </i>
    <i>
      <x v="10"/>
    </i>
    <i>
      <x v="11"/>
    </i>
    <i>
      <x v="12"/>
    </i>
    <i>
      <x v="13"/>
    </i>
    <i>
      <x v="14"/>
    </i>
    <i>
      <x v="15"/>
    </i>
    <i>
      <x v="16"/>
    </i>
    <i>
      <x v="17"/>
    </i>
    <i>
      <x v="18"/>
    </i>
    <i t="grand">
      <x/>
    </i>
  </rowItems>
  <colItems count="1">
    <i/>
  </colItems>
  <pageFields count="1">
    <pageField fld="8" hier="-1"/>
  </pageFields>
  <dataFields count="1">
    <dataField name="Sum of Total budget of the project US$. For only WASH related cost (including related support costs)" fld="20" baseField="0" baseItem="0" numFmtId="3"/>
  </dataFields>
  <formats count="8">
    <format dxfId="61">
      <pivotArea outline="0" fieldPosition="0">
        <references count="1">
          <reference field="4294967294" count="1">
            <x v="0"/>
          </reference>
        </references>
      </pivotArea>
    </format>
    <format dxfId="60">
      <pivotArea outline="0" fieldPosition="0"/>
    </format>
    <format dxfId="59">
      <pivotArea type="origin" dataOnly="0" labelOnly="1" outline="0" fieldPosition="0"/>
    </format>
    <format dxfId="58">
      <pivotArea field="2" type="button" dataOnly="0" labelOnly="1" outline="0" axis="axisRow" fieldPosition="0"/>
    </format>
    <format dxfId="57">
      <pivotArea dataOnly="0" labelOnly="1" grandRow="1" outline="0" fieldPosition="0"/>
    </format>
    <format dxfId="56">
      <pivotArea outline="0" fieldPosition="0"/>
    </format>
    <format dxfId="55">
      <pivotArea type="topRight" dataOnly="0" labelOnly="1" outline="0" fieldPosition="0"/>
    </format>
    <format dxfId="54">
      <pivotArea outline="0" collapsedLevelsAreSubtotals="1" fieldPosition="0"/>
    </format>
  </formats>
  <chartFormats count="32">
    <chartFormat chart="0" format="0" series="1">
      <pivotArea type="data" outline="0" fieldPosition="0">
        <references count="1">
          <reference field="4294967294" count="1" selected="0">
            <x v="0"/>
          </reference>
        </references>
      </pivotArea>
    </chartFormat>
    <chartFormat chart="1" format="12" series="1">
      <pivotArea type="data" outline="0" fieldPosition="0">
        <references count="1">
          <reference field="4294967294" count="1" selected="0">
            <x v="0"/>
          </reference>
        </references>
      </pivotArea>
    </chartFormat>
    <chartFormat chart="2" format="13" series="1">
      <pivotArea type="data" outline="0" fieldPosition="0">
        <references count="1">
          <reference field="4294967294" count="1" selected="0">
            <x v="0"/>
          </reference>
        </references>
      </pivotArea>
    </chartFormat>
    <chartFormat chart="21" format="12" series="1">
      <pivotArea type="data" outline="0" fieldPosition="0">
        <references count="1">
          <reference field="4294967294" count="1" selected="0">
            <x v="0"/>
          </reference>
        </references>
      </pivotArea>
    </chartFormat>
    <chartFormat chart="21" format="13">
      <pivotArea type="data" outline="0" fieldPosition="0">
        <references count="2">
          <reference field="4294967294" count="1" selected="0">
            <x v="0"/>
          </reference>
          <reference field="2" count="1" selected="0">
            <x v="12"/>
          </reference>
        </references>
      </pivotArea>
    </chartFormat>
    <chartFormat chart="21" format="14">
      <pivotArea type="data" outline="0" fieldPosition="0">
        <references count="2">
          <reference field="4294967294" count="1" selected="0">
            <x v="0"/>
          </reference>
          <reference field="2" count="1" selected="0">
            <x v="5"/>
          </reference>
        </references>
      </pivotArea>
    </chartFormat>
    <chartFormat chart="21" format="15">
      <pivotArea type="data" outline="0" fieldPosition="0">
        <references count="2">
          <reference field="4294967294" count="1" selected="0">
            <x v="0"/>
          </reference>
          <reference field="2" count="1" selected="0">
            <x v="1"/>
          </reference>
        </references>
      </pivotArea>
    </chartFormat>
    <chartFormat chart="21" format="16">
      <pivotArea type="data" outline="0" fieldPosition="0">
        <references count="2">
          <reference field="4294967294" count="1" selected="0">
            <x v="0"/>
          </reference>
          <reference field="2" count="1" selected="0">
            <x v="13"/>
          </reference>
        </references>
      </pivotArea>
    </chartFormat>
    <chartFormat chart="21" format="17">
      <pivotArea type="data" outline="0" fieldPosition="0">
        <references count="2">
          <reference field="4294967294" count="1" selected="0">
            <x v="0"/>
          </reference>
          <reference field="2" count="1" selected="0">
            <x v="14"/>
          </reference>
        </references>
      </pivotArea>
    </chartFormat>
    <chartFormat chart="21" format="18">
      <pivotArea type="data" outline="0" fieldPosition="0">
        <references count="2">
          <reference field="4294967294" count="1" selected="0">
            <x v="0"/>
          </reference>
          <reference field="2" count="1" selected="0">
            <x v="15"/>
          </reference>
        </references>
      </pivotArea>
    </chartFormat>
    <chartFormat chart="50" format="19" series="1">
      <pivotArea type="data" outline="0" fieldPosition="0">
        <references count="1">
          <reference field="4294967294" count="1" selected="0">
            <x v="0"/>
          </reference>
        </references>
      </pivotArea>
    </chartFormat>
    <chartFormat chart="50" format="20">
      <pivotArea type="data" outline="0" fieldPosition="0">
        <references count="2">
          <reference field="4294967294" count="1" selected="0">
            <x v="0"/>
          </reference>
          <reference field="2" count="1" selected="0">
            <x v="1"/>
          </reference>
        </references>
      </pivotArea>
    </chartFormat>
    <chartFormat chart="50" format="21">
      <pivotArea type="data" outline="0" fieldPosition="0">
        <references count="2">
          <reference field="4294967294" count="1" selected="0">
            <x v="0"/>
          </reference>
          <reference field="2" count="1" selected="0">
            <x v="5"/>
          </reference>
        </references>
      </pivotArea>
    </chartFormat>
    <chartFormat chart="50" format="22">
      <pivotArea type="data" outline="0" fieldPosition="0">
        <references count="2">
          <reference field="4294967294" count="1" selected="0">
            <x v="0"/>
          </reference>
          <reference field="2" count="1" selected="0">
            <x v="12"/>
          </reference>
        </references>
      </pivotArea>
    </chartFormat>
    <chartFormat chart="50" format="23">
      <pivotArea type="data" outline="0" fieldPosition="0">
        <references count="2">
          <reference field="4294967294" count="1" selected="0">
            <x v="0"/>
          </reference>
          <reference field="2" count="1" selected="0">
            <x v="13"/>
          </reference>
        </references>
      </pivotArea>
    </chartFormat>
    <chartFormat chart="50" format="24">
      <pivotArea type="data" outline="0" fieldPosition="0">
        <references count="2">
          <reference field="4294967294" count="1" selected="0">
            <x v="0"/>
          </reference>
          <reference field="2" count="1" selected="0">
            <x v="14"/>
          </reference>
        </references>
      </pivotArea>
    </chartFormat>
    <chartFormat chart="50" format="25">
      <pivotArea type="data" outline="0" fieldPosition="0">
        <references count="2">
          <reference field="4294967294" count="1" selected="0">
            <x v="0"/>
          </reference>
          <reference field="2" count="1" selected="0">
            <x v="15"/>
          </reference>
        </references>
      </pivotArea>
    </chartFormat>
    <chartFormat chart="50" format="26">
      <pivotArea type="data" outline="0" fieldPosition="0">
        <references count="2">
          <reference field="4294967294" count="1" selected="0">
            <x v="0"/>
          </reference>
          <reference field="2" count="1" selected="0">
            <x v="3"/>
          </reference>
        </references>
      </pivotArea>
    </chartFormat>
    <chartFormat chart="50" format="27">
      <pivotArea type="data" outline="0" fieldPosition="0">
        <references count="2">
          <reference field="4294967294" count="1" selected="0">
            <x v="0"/>
          </reference>
          <reference field="2" count="1" selected="0">
            <x v="7"/>
          </reference>
        </references>
      </pivotArea>
    </chartFormat>
    <chartFormat chart="50" format="28">
      <pivotArea type="data" outline="0" fieldPosition="0">
        <references count="2">
          <reference field="4294967294" count="1" selected="0">
            <x v="0"/>
          </reference>
          <reference field="2" count="1" selected="0">
            <x v="8"/>
          </reference>
        </references>
      </pivotArea>
    </chartFormat>
    <chartFormat chart="50" format="29">
      <pivotArea type="data" outline="0" fieldPosition="0">
        <references count="2">
          <reference field="4294967294" count="1" selected="0">
            <x v="0"/>
          </reference>
          <reference field="2" count="1" selected="0">
            <x v="10"/>
          </reference>
        </references>
      </pivotArea>
    </chartFormat>
    <chartFormat chart="50" format="30">
      <pivotArea type="data" outline="0" fieldPosition="0">
        <references count="2">
          <reference field="4294967294" count="1" selected="0">
            <x v="0"/>
          </reference>
          <reference field="2" count="1" selected="0">
            <x v="11"/>
          </reference>
        </references>
      </pivotArea>
    </chartFormat>
    <chartFormat chart="50" format="31">
      <pivotArea type="data" outline="0" fieldPosition="0">
        <references count="2">
          <reference field="4294967294" count="1" selected="0">
            <x v="0"/>
          </reference>
          <reference field="2" count="1" selected="0">
            <x v="17"/>
          </reference>
        </references>
      </pivotArea>
    </chartFormat>
    <chartFormat chart="50" format="32">
      <pivotArea type="data" outline="0" fieldPosition="0">
        <references count="2">
          <reference field="4294967294" count="1" selected="0">
            <x v="0"/>
          </reference>
          <reference field="2" count="1" selected="0">
            <x v="16"/>
          </reference>
        </references>
      </pivotArea>
    </chartFormat>
    <chartFormat chart="55" format="39" series="1">
      <pivotArea type="data" outline="0" fieldPosition="0">
        <references count="1">
          <reference field="4294967294" count="1" selected="0">
            <x v="0"/>
          </reference>
        </references>
      </pivotArea>
    </chartFormat>
    <chartFormat chart="55" format="40">
      <pivotArea type="data" outline="0" fieldPosition="0">
        <references count="2">
          <reference field="4294967294" count="1" selected="0">
            <x v="0"/>
          </reference>
          <reference field="2" count="1" selected="0">
            <x v="13"/>
          </reference>
        </references>
      </pivotArea>
    </chartFormat>
    <chartFormat chart="55" format="41">
      <pivotArea type="data" outline="0" fieldPosition="0">
        <references count="2">
          <reference field="4294967294" count="1" selected="0">
            <x v="0"/>
          </reference>
          <reference field="2" count="1" selected="0">
            <x v="14"/>
          </reference>
        </references>
      </pivotArea>
    </chartFormat>
    <chartFormat chart="55" format="42">
      <pivotArea type="data" outline="0" fieldPosition="0">
        <references count="2">
          <reference field="4294967294" count="1" selected="0">
            <x v="0"/>
          </reference>
          <reference field="2" count="1" selected="0">
            <x v="15"/>
          </reference>
        </references>
      </pivotArea>
    </chartFormat>
    <chartFormat chart="55" format="43">
      <pivotArea type="data" outline="0" fieldPosition="0">
        <references count="2">
          <reference field="4294967294" count="1" selected="0">
            <x v="0"/>
          </reference>
          <reference field="2" count="1" selected="0">
            <x v="16"/>
          </reference>
        </references>
      </pivotArea>
    </chartFormat>
    <chartFormat chart="55" format="44">
      <pivotArea type="data" outline="0" fieldPosition="0">
        <references count="2">
          <reference field="4294967294" count="1" selected="0">
            <x v="0"/>
          </reference>
          <reference field="2" count="1" selected="0">
            <x v="17"/>
          </reference>
        </references>
      </pivotArea>
    </chartFormat>
    <chartFormat chart="55" format="45">
      <pivotArea type="data" outline="0" fieldPosition="0">
        <references count="2">
          <reference field="4294967294" count="1" selected="0">
            <x v="0"/>
          </reference>
          <reference field="2" count="1" selected="0">
            <x v="6"/>
          </reference>
        </references>
      </pivotArea>
    </chartFormat>
    <chartFormat chart="50" format="33">
      <pivotArea type="data" outline="0" fieldPosition="0">
        <references count="2">
          <reference field="4294967294" count="1" selected="0">
            <x v="0"/>
          </reference>
          <reference field="2" count="1" selected="0">
            <x v="6"/>
          </reference>
        </references>
      </pivotArea>
    </chartFormat>
  </chartFormats>
  <pivotTableStyleInfo showRowHeaders="1" showColHeaders="1" showRowStripes="0" showColStripes="0" showLastColumn="1"/>
</pivotTableDefinition>
</file>

<file path=xl/pivotTables/pivotTable43.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2">
  <location ref="B69:T73" firstHeaderRow="1" firstDataRow="2" firstDataCol="1"/>
  <pivotFields count="29">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outline="0" showAll="0" defaultSubtotal="0"/>
    <pivotField dataField="1" compact="0"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2"/>
  </colFields>
  <colItems count="18">
    <i>
      <x v="1"/>
    </i>
    <i>
      <x v="2"/>
    </i>
    <i>
      <x v="3"/>
    </i>
    <i>
      <x v="4"/>
    </i>
    <i>
      <x v="5"/>
    </i>
    <i>
      <x v="6"/>
    </i>
    <i>
      <x v="7"/>
    </i>
    <i>
      <x v="8"/>
    </i>
    <i>
      <x v="10"/>
    </i>
    <i>
      <x v="11"/>
    </i>
    <i>
      <x v="12"/>
    </i>
    <i>
      <x v="13"/>
    </i>
    <i>
      <x v="14"/>
    </i>
    <i>
      <x v="15"/>
    </i>
    <i>
      <x v="16"/>
    </i>
    <i>
      <x v="17"/>
    </i>
    <i>
      <x v="18"/>
    </i>
    <i t="grand">
      <x/>
    </i>
  </colItems>
  <dataFields count="3">
    <dataField name="Before 2014" fld="21" baseField="0" baseItem="0" numFmtId="166"/>
    <dataField name="2014" fld="22" baseField="0" baseItem="0" numFmtId="166"/>
    <dataField name="2015" fld="23" baseField="0" baseItem="0" numFmtId="166"/>
  </dataFields>
  <formats count="7">
    <format dxfId="68">
      <pivotArea outline="0" fieldPosition="0"/>
    </format>
    <format dxfId="67">
      <pivotArea type="origin" dataOnly="0" labelOnly="1" outline="0" fieldPosition="0"/>
    </format>
    <format dxfId="66">
      <pivotArea field="2" type="button" dataOnly="0" labelOnly="1" outline="0" axis="axisCol" fieldPosition="0"/>
    </format>
    <format dxfId="65">
      <pivotArea dataOnly="0" labelOnly="1" grandRow="1" outline="0" fieldPosition="0"/>
    </format>
    <format dxfId="64">
      <pivotArea outline="0" fieldPosition="0"/>
    </format>
    <format dxfId="63">
      <pivotArea type="topRight" dataOnly="0" labelOnly="1" outline="0" fieldPosition="0"/>
    </format>
    <format dxfId="62">
      <pivotArea outline="0" collapsedLevelsAreSubtotals="1" fieldPosition="0"/>
    </format>
  </formats>
  <chartFormats count="68">
    <chartFormat chart="13" format="45" series="1">
      <pivotArea type="data" outline="0" fieldPosition="0">
        <references count="1">
          <reference field="2" count="1" selected="0">
            <x v="1"/>
          </reference>
        </references>
      </pivotArea>
    </chartFormat>
    <chartFormat chart="13" format="46" series="1">
      <pivotArea type="data" outline="0" fieldPosition="0">
        <references count="1">
          <reference field="2" count="1" selected="0">
            <x v="2"/>
          </reference>
        </references>
      </pivotArea>
    </chartFormat>
    <chartFormat chart="13" format="47" series="1">
      <pivotArea type="data" outline="0" fieldPosition="0">
        <references count="1">
          <reference field="2" count="1" selected="0">
            <x v="3"/>
          </reference>
        </references>
      </pivotArea>
    </chartFormat>
    <chartFormat chart="13" format="48" series="1">
      <pivotArea type="data" outline="0" fieldPosition="0">
        <references count="1">
          <reference field="2" count="1" selected="0">
            <x v="4"/>
          </reference>
        </references>
      </pivotArea>
    </chartFormat>
    <chartFormat chart="13" format="49" series="1">
      <pivotArea type="data" outline="0" fieldPosition="0">
        <references count="1">
          <reference field="2" count="1" selected="0">
            <x v="5"/>
          </reference>
        </references>
      </pivotArea>
    </chartFormat>
    <chartFormat chart="13" format="50" series="1">
      <pivotArea type="data" outline="0" fieldPosition="0">
        <references count="1">
          <reference field="2" count="1" selected="0">
            <x v="6"/>
          </reference>
        </references>
      </pivotArea>
    </chartFormat>
    <chartFormat chart="13" format="51" series="1">
      <pivotArea type="data" outline="0" fieldPosition="0">
        <references count="1">
          <reference field="2" count="1" selected="0">
            <x v="7"/>
          </reference>
        </references>
      </pivotArea>
    </chartFormat>
    <chartFormat chart="13" format="52" series="1">
      <pivotArea type="data" outline="0" fieldPosition="0">
        <references count="1">
          <reference field="2" count="1" selected="0">
            <x v="8"/>
          </reference>
        </references>
      </pivotArea>
    </chartFormat>
    <chartFormat chart="13" format="53" series="1">
      <pivotArea type="data" outline="0" fieldPosition="0">
        <references count="1">
          <reference field="2" count="1" selected="0">
            <x v="10"/>
          </reference>
        </references>
      </pivotArea>
    </chartFormat>
    <chartFormat chart="13" format="54" series="1">
      <pivotArea type="data" outline="0" fieldPosition="0">
        <references count="1">
          <reference field="2" count="1" selected="0">
            <x v="11"/>
          </reference>
        </references>
      </pivotArea>
    </chartFormat>
    <chartFormat chart="13" format="55" series="1">
      <pivotArea type="data" outline="0" fieldPosition="0">
        <references count="1">
          <reference field="2" count="1" selected="0">
            <x v="12"/>
          </reference>
        </references>
      </pivotArea>
    </chartFormat>
    <chartFormat chart="13" format="56" series="1">
      <pivotArea type="data" outline="0" fieldPosition="0">
        <references count="1">
          <reference field="2" count="1" selected="0">
            <x v="13"/>
          </reference>
        </references>
      </pivotArea>
    </chartFormat>
    <chartFormat chart="13" format="57" series="1">
      <pivotArea type="data" outline="0" fieldPosition="0">
        <references count="1">
          <reference field="2" count="1" selected="0">
            <x v="14"/>
          </reference>
        </references>
      </pivotArea>
    </chartFormat>
    <chartFormat chart="13" format="58" series="1">
      <pivotArea type="data" outline="0" fieldPosition="0">
        <references count="1">
          <reference field="2" count="1" selected="0">
            <x v="15"/>
          </reference>
        </references>
      </pivotArea>
    </chartFormat>
    <chartFormat chart="13" format="59" series="1">
      <pivotArea type="data" outline="0" fieldPosition="0">
        <references count="1">
          <reference field="2" count="1" selected="0">
            <x v="16"/>
          </reference>
        </references>
      </pivotArea>
    </chartFormat>
    <chartFormat chart="13" format="60" series="1">
      <pivotArea type="data" outline="0" fieldPosition="0">
        <references count="1">
          <reference field="2" count="1" selected="0">
            <x v="17"/>
          </reference>
        </references>
      </pivotArea>
    </chartFormat>
    <chartFormat chart="13" format="61" series="1">
      <pivotArea type="data" outline="0" fieldPosition="0">
        <references count="1">
          <reference field="2" count="1" selected="0">
            <x v="18"/>
          </reference>
        </references>
      </pivotArea>
    </chartFormat>
    <chartFormat chart="23" format="87" series="1">
      <pivotArea type="data" outline="0" fieldPosition="0">
        <references count="1">
          <reference field="2" count="1" selected="0">
            <x v="1"/>
          </reference>
        </references>
      </pivotArea>
    </chartFormat>
    <chartFormat chart="23" format="88" series="1">
      <pivotArea type="data" outline="0" fieldPosition="0">
        <references count="1">
          <reference field="2" count="1" selected="0">
            <x v="2"/>
          </reference>
        </references>
      </pivotArea>
    </chartFormat>
    <chartFormat chart="23" format="89" series="1">
      <pivotArea type="data" outline="0" fieldPosition="0">
        <references count="1">
          <reference field="2" count="1" selected="0">
            <x v="3"/>
          </reference>
        </references>
      </pivotArea>
    </chartFormat>
    <chartFormat chart="23" format="90" series="1">
      <pivotArea type="data" outline="0" fieldPosition="0">
        <references count="1">
          <reference field="2" count="1" selected="0">
            <x v="4"/>
          </reference>
        </references>
      </pivotArea>
    </chartFormat>
    <chartFormat chart="23" format="91" series="1">
      <pivotArea type="data" outline="0" fieldPosition="0">
        <references count="1">
          <reference field="2" count="1" selected="0">
            <x v="5"/>
          </reference>
        </references>
      </pivotArea>
    </chartFormat>
    <chartFormat chart="23" format="92" series="1">
      <pivotArea type="data" outline="0" fieldPosition="0">
        <references count="1">
          <reference field="2" count="1" selected="0">
            <x v="6"/>
          </reference>
        </references>
      </pivotArea>
    </chartFormat>
    <chartFormat chart="23" format="93" series="1">
      <pivotArea type="data" outline="0" fieldPosition="0">
        <references count="1">
          <reference field="2" count="1" selected="0">
            <x v="7"/>
          </reference>
        </references>
      </pivotArea>
    </chartFormat>
    <chartFormat chart="23" format="94" series="1">
      <pivotArea type="data" outline="0" fieldPosition="0">
        <references count="1">
          <reference field="2" count="1" selected="0">
            <x v="8"/>
          </reference>
        </references>
      </pivotArea>
    </chartFormat>
    <chartFormat chart="23" format="95" series="1">
      <pivotArea type="data" outline="0" fieldPosition="0">
        <references count="1">
          <reference field="2" count="1" selected="0">
            <x v="10"/>
          </reference>
        </references>
      </pivotArea>
    </chartFormat>
    <chartFormat chart="23" format="96" series="1">
      <pivotArea type="data" outline="0" fieldPosition="0">
        <references count="1">
          <reference field="2" count="1" selected="0">
            <x v="11"/>
          </reference>
        </references>
      </pivotArea>
    </chartFormat>
    <chartFormat chart="23" format="97" series="1">
      <pivotArea type="data" outline="0" fieldPosition="0">
        <references count="1">
          <reference field="2" count="1" selected="0">
            <x v="12"/>
          </reference>
        </references>
      </pivotArea>
    </chartFormat>
    <chartFormat chart="23" format="98" series="1">
      <pivotArea type="data" outline="0" fieldPosition="0">
        <references count="1">
          <reference field="2" count="1" selected="0">
            <x v="13"/>
          </reference>
        </references>
      </pivotArea>
    </chartFormat>
    <chartFormat chart="23" format="99" series="1">
      <pivotArea type="data" outline="0" fieldPosition="0">
        <references count="1">
          <reference field="2" count="1" selected="0">
            <x v="14"/>
          </reference>
        </references>
      </pivotArea>
    </chartFormat>
    <chartFormat chart="23" format="100" series="1">
      <pivotArea type="data" outline="0" fieldPosition="0">
        <references count="1">
          <reference field="2" count="1" selected="0">
            <x v="15"/>
          </reference>
        </references>
      </pivotArea>
    </chartFormat>
    <chartFormat chart="23" format="101" series="1">
      <pivotArea type="data" outline="0" fieldPosition="0">
        <references count="1">
          <reference field="2" count="1" selected="0">
            <x v="16"/>
          </reference>
        </references>
      </pivotArea>
    </chartFormat>
    <chartFormat chart="23" format="102" series="1">
      <pivotArea type="data" outline="0" fieldPosition="0">
        <references count="1">
          <reference field="2" count="1" selected="0">
            <x v="17"/>
          </reference>
        </references>
      </pivotArea>
    </chartFormat>
    <chartFormat chart="23" format="103" series="1">
      <pivotArea type="data" outline="0" fieldPosition="0">
        <references count="1">
          <reference field="2" count="1" selected="0">
            <x v="18"/>
          </reference>
        </references>
      </pivotArea>
    </chartFormat>
    <chartFormat chart="30" format="62" series="1">
      <pivotArea type="data" outline="0" fieldPosition="0">
        <references count="2">
          <reference field="4294967294" count="1" selected="0">
            <x v="0"/>
          </reference>
          <reference field="2" count="1" selected="0">
            <x v="1"/>
          </reference>
        </references>
      </pivotArea>
    </chartFormat>
    <chartFormat chart="30" format="63" series="1">
      <pivotArea type="data" outline="0" fieldPosition="0">
        <references count="2">
          <reference field="4294967294" count="1" selected="0">
            <x v="0"/>
          </reference>
          <reference field="2" count="1" selected="0">
            <x v="2"/>
          </reference>
        </references>
      </pivotArea>
    </chartFormat>
    <chartFormat chart="30" format="64" series="1">
      <pivotArea type="data" outline="0" fieldPosition="0">
        <references count="2">
          <reference field="4294967294" count="1" selected="0">
            <x v="0"/>
          </reference>
          <reference field="2" count="1" selected="0">
            <x v="3"/>
          </reference>
        </references>
      </pivotArea>
    </chartFormat>
    <chartFormat chart="30" format="65" series="1">
      <pivotArea type="data" outline="0" fieldPosition="0">
        <references count="2">
          <reference field="4294967294" count="1" selected="0">
            <x v="0"/>
          </reference>
          <reference field="2" count="1" selected="0">
            <x v="4"/>
          </reference>
        </references>
      </pivotArea>
    </chartFormat>
    <chartFormat chart="30" format="66" series="1">
      <pivotArea type="data" outline="0" fieldPosition="0">
        <references count="2">
          <reference field="4294967294" count="1" selected="0">
            <x v="0"/>
          </reference>
          <reference field="2" count="1" selected="0">
            <x v="5"/>
          </reference>
        </references>
      </pivotArea>
    </chartFormat>
    <chartFormat chart="30" format="67" series="1">
      <pivotArea type="data" outline="0" fieldPosition="0">
        <references count="2">
          <reference field="4294967294" count="1" selected="0">
            <x v="0"/>
          </reference>
          <reference field="2" count="1" selected="0">
            <x v="6"/>
          </reference>
        </references>
      </pivotArea>
    </chartFormat>
    <chartFormat chart="30" format="68" series="1">
      <pivotArea type="data" outline="0" fieldPosition="0">
        <references count="2">
          <reference field="4294967294" count="1" selected="0">
            <x v="0"/>
          </reference>
          <reference field="2" count="1" selected="0">
            <x v="7"/>
          </reference>
        </references>
      </pivotArea>
    </chartFormat>
    <chartFormat chart="30" format="69" series="1">
      <pivotArea type="data" outline="0" fieldPosition="0">
        <references count="2">
          <reference field="4294967294" count="1" selected="0">
            <x v="0"/>
          </reference>
          <reference field="2" count="1" selected="0">
            <x v="8"/>
          </reference>
        </references>
      </pivotArea>
    </chartFormat>
    <chartFormat chart="30" format="70" series="1">
      <pivotArea type="data" outline="0" fieldPosition="0">
        <references count="2">
          <reference field="4294967294" count="1" selected="0">
            <x v="0"/>
          </reference>
          <reference field="2" count="1" selected="0">
            <x v="10"/>
          </reference>
        </references>
      </pivotArea>
    </chartFormat>
    <chartFormat chart="30" format="71" series="1">
      <pivotArea type="data" outline="0" fieldPosition="0">
        <references count="2">
          <reference field="4294967294" count="1" selected="0">
            <x v="0"/>
          </reference>
          <reference field="2" count="1" selected="0">
            <x v="11"/>
          </reference>
        </references>
      </pivotArea>
    </chartFormat>
    <chartFormat chart="30" format="72" series="1">
      <pivotArea type="data" outline="0" fieldPosition="0">
        <references count="2">
          <reference field="4294967294" count="1" selected="0">
            <x v="0"/>
          </reference>
          <reference field="2" count="1" selected="0">
            <x v="12"/>
          </reference>
        </references>
      </pivotArea>
    </chartFormat>
    <chartFormat chart="30" format="73" series="1">
      <pivotArea type="data" outline="0" fieldPosition="0">
        <references count="2">
          <reference field="4294967294" count="1" selected="0">
            <x v="0"/>
          </reference>
          <reference field="2" count="1" selected="0">
            <x v="13"/>
          </reference>
        </references>
      </pivotArea>
    </chartFormat>
    <chartFormat chart="30" format="74" series="1">
      <pivotArea type="data" outline="0" fieldPosition="0">
        <references count="2">
          <reference field="4294967294" count="1" selected="0">
            <x v="0"/>
          </reference>
          <reference field="2" count="1" selected="0">
            <x v="14"/>
          </reference>
        </references>
      </pivotArea>
    </chartFormat>
    <chartFormat chart="30" format="75" series="1">
      <pivotArea type="data" outline="0" fieldPosition="0">
        <references count="2">
          <reference field="4294967294" count="1" selected="0">
            <x v="0"/>
          </reference>
          <reference field="2" count="1" selected="0">
            <x v="15"/>
          </reference>
        </references>
      </pivotArea>
    </chartFormat>
    <chartFormat chart="30" format="76" series="1">
      <pivotArea type="data" outline="0" fieldPosition="0">
        <references count="2">
          <reference field="4294967294" count="1" selected="0">
            <x v="0"/>
          </reference>
          <reference field="2" count="1" selected="0">
            <x v="16"/>
          </reference>
        </references>
      </pivotArea>
    </chartFormat>
    <chartFormat chart="30" format="77" series="1">
      <pivotArea type="data" outline="0" fieldPosition="0">
        <references count="2">
          <reference field="4294967294" count="1" selected="0">
            <x v="0"/>
          </reference>
          <reference field="2" count="1" selected="0">
            <x v="17"/>
          </reference>
        </references>
      </pivotArea>
    </chartFormat>
    <chartFormat chart="30" format="78" series="1">
      <pivotArea type="data" outline="0" fieldPosition="0">
        <references count="2">
          <reference field="4294967294" count="1" selected="0">
            <x v="0"/>
          </reference>
          <reference field="2" count="1" selected="0">
            <x v="18"/>
          </reference>
        </references>
      </pivotArea>
    </chartFormat>
    <chartFormat chart="31" format="79" series="1">
      <pivotArea type="data" outline="0" fieldPosition="0">
        <references count="2">
          <reference field="4294967294" count="1" selected="0">
            <x v="0"/>
          </reference>
          <reference field="2" count="1" selected="0">
            <x v="1"/>
          </reference>
        </references>
      </pivotArea>
    </chartFormat>
    <chartFormat chart="31" format="80" series="1">
      <pivotArea type="data" outline="0" fieldPosition="0">
        <references count="2">
          <reference field="4294967294" count="1" selected="0">
            <x v="0"/>
          </reference>
          <reference field="2" count="1" selected="0">
            <x v="2"/>
          </reference>
        </references>
      </pivotArea>
    </chartFormat>
    <chartFormat chart="31" format="81" series="1">
      <pivotArea type="data" outline="0" fieldPosition="0">
        <references count="2">
          <reference field="4294967294" count="1" selected="0">
            <x v="0"/>
          </reference>
          <reference field="2" count="1" selected="0">
            <x v="3"/>
          </reference>
        </references>
      </pivotArea>
    </chartFormat>
    <chartFormat chart="31" format="82" series="1">
      <pivotArea type="data" outline="0" fieldPosition="0">
        <references count="2">
          <reference field="4294967294" count="1" selected="0">
            <x v="0"/>
          </reference>
          <reference field="2" count="1" selected="0">
            <x v="4"/>
          </reference>
        </references>
      </pivotArea>
    </chartFormat>
    <chartFormat chart="31" format="83" series="1">
      <pivotArea type="data" outline="0" fieldPosition="0">
        <references count="2">
          <reference field="4294967294" count="1" selected="0">
            <x v="0"/>
          </reference>
          <reference field="2" count="1" selected="0">
            <x v="5"/>
          </reference>
        </references>
      </pivotArea>
    </chartFormat>
    <chartFormat chart="31" format="84" series="1">
      <pivotArea type="data" outline="0" fieldPosition="0">
        <references count="2">
          <reference field="4294967294" count="1" selected="0">
            <x v="0"/>
          </reference>
          <reference field="2" count="1" selected="0">
            <x v="6"/>
          </reference>
        </references>
      </pivotArea>
    </chartFormat>
    <chartFormat chart="31" format="85" series="1">
      <pivotArea type="data" outline="0" fieldPosition="0">
        <references count="2">
          <reference field="4294967294" count="1" selected="0">
            <x v="0"/>
          </reference>
          <reference field="2" count="1" selected="0">
            <x v="7"/>
          </reference>
        </references>
      </pivotArea>
    </chartFormat>
    <chartFormat chart="31" format="86" series="1">
      <pivotArea type="data" outline="0" fieldPosition="0">
        <references count="2">
          <reference field="4294967294" count="1" selected="0">
            <x v="0"/>
          </reference>
          <reference field="2" count="1" selected="0">
            <x v="8"/>
          </reference>
        </references>
      </pivotArea>
    </chartFormat>
    <chartFormat chart="31" format="87" series="1">
      <pivotArea type="data" outline="0" fieldPosition="0">
        <references count="2">
          <reference field="4294967294" count="1" selected="0">
            <x v="0"/>
          </reference>
          <reference field="2" count="1" selected="0">
            <x v="10"/>
          </reference>
        </references>
      </pivotArea>
    </chartFormat>
    <chartFormat chart="31" format="88" series="1">
      <pivotArea type="data" outline="0" fieldPosition="0">
        <references count="2">
          <reference field="4294967294" count="1" selected="0">
            <x v="0"/>
          </reference>
          <reference field="2" count="1" selected="0">
            <x v="11"/>
          </reference>
        </references>
      </pivotArea>
    </chartFormat>
    <chartFormat chart="31" format="89" series="1">
      <pivotArea type="data" outline="0" fieldPosition="0">
        <references count="2">
          <reference field="4294967294" count="1" selected="0">
            <x v="0"/>
          </reference>
          <reference field="2" count="1" selected="0">
            <x v="12"/>
          </reference>
        </references>
      </pivotArea>
    </chartFormat>
    <chartFormat chart="31" format="90" series="1">
      <pivotArea type="data" outline="0" fieldPosition="0">
        <references count="2">
          <reference field="4294967294" count="1" selected="0">
            <x v="0"/>
          </reference>
          <reference field="2" count="1" selected="0">
            <x v="13"/>
          </reference>
        </references>
      </pivotArea>
    </chartFormat>
    <chartFormat chart="31" format="91" series="1">
      <pivotArea type="data" outline="0" fieldPosition="0">
        <references count="2">
          <reference field="4294967294" count="1" selected="0">
            <x v="0"/>
          </reference>
          <reference field="2" count="1" selected="0">
            <x v="14"/>
          </reference>
        </references>
      </pivotArea>
    </chartFormat>
    <chartFormat chart="31" format="92" series="1">
      <pivotArea type="data" outline="0" fieldPosition="0">
        <references count="2">
          <reference field="4294967294" count="1" selected="0">
            <x v="0"/>
          </reference>
          <reference field="2" count="1" selected="0">
            <x v="15"/>
          </reference>
        </references>
      </pivotArea>
    </chartFormat>
    <chartFormat chart="31" format="93" series="1">
      <pivotArea type="data" outline="0" fieldPosition="0">
        <references count="2">
          <reference field="4294967294" count="1" selected="0">
            <x v="0"/>
          </reference>
          <reference field="2" count="1" selected="0">
            <x v="16"/>
          </reference>
        </references>
      </pivotArea>
    </chartFormat>
    <chartFormat chart="31" format="94" series="1">
      <pivotArea type="data" outline="0" fieldPosition="0">
        <references count="2">
          <reference field="4294967294" count="1" selected="0">
            <x v="0"/>
          </reference>
          <reference field="2" count="1" selected="0">
            <x v="17"/>
          </reference>
        </references>
      </pivotArea>
    </chartFormat>
    <chartFormat chart="31" format="95" series="1">
      <pivotArea type="data" outline="0" fieldPosition="0">
        <references count="2">
          <reference field="4294967294" count="1" selected="0">
            <x v="0"/>
          </reference>
          <reference field="2" count="1" selected="0">
            <x v="18"/>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6"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3">
  <location ref="B182:D189" firstHeaderRow="1" firstDataRow="2" firstDataCol="1" rowPageCount="2" colPageCount="1"/>
  <pivotFields count="111">
    <pivotField axis="axisPage" compact="0" numFmtId="166" outline="0" subtotalTop="0" multipleItemSelectionAllowed="1"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6">
    <i>
      <x/>
    </i>
    <i>
      <x v="5"/>
    </i>
    <i>
      <x v="6"/>
    </i>
    <i>
      <x v="7"/>
    </i>
    <i>
      <x v="8"/>
    </i>
    <i t="grand">
      <x/>
    </i>
  </rowItems>
  <colFields count="1">
    <field x="-2"/>
  </colFields>
  <colItems count="2">
    <i>
      <x/>
    </i>
    <i i="1">
      <x v="1"/>
    </i>
  </colItems>
  <pageFields count="2">
    <pageField fld="7" hier="0"/>
    <pageField fld="0" hier="-1"/>
  </pageFields>
  <dataFields count="2">
    <dataField name="% Water needs covered (including HHWT)" fld="103" baseField="0" baseItem="0" numFmtId="166"/>
    <dataField name="% Water coverage expected" fld="104" baseField="0" baseItem="0" numFmtId="166"/>
  </dataFields>
  <formats count="9">
    <format dxfId="122">
      <pivotArea type="all" dataOnly="0" outline="0" fieldPosition="0"/>
    </format>
    <format dxfId="121">
      <pivotArea type="all" dataOnly="0" outline="0" fieldPosition="0"/>
    </format>
    <format dxfId="120">
      <pivotArea type="all" dataOnly="0" outline="0" fieldPosition="0"/>
    </format>
    <format dxfId="119">
      <pivotArea outline="0" fieldPosition="0"/>
    </format>
    <format dxfId="118">
      <pivotArea dataOnly="0" labelOnly="1" outline="0" fieldPosition="0">
        <references count="1">
          <reference field="7" count="0"/>
        </references>
      </pivotArea>
    </format>
    <format dxfId="117">
      <pivotArea type="topRight" dataOnly="0" labelOnly="1" outline="0" fieldPosition="0"/>
    </format>
    <format dxfId="116">
      <pivotArea outline="0" collapsedLevelsAreSubtotals="1" fieldPosition="0"/>
    </format>
    <format dxfId="115">
      <pivotArea dataOnly="0" outline="0" fieldPosition="0">
        <references count="1">
          <reference field="0" count="0"/>
        </references>
      </pivotArea>
    </format>
    <format dxfId="114">
      <pivotArea dataOnly="0" labelOnly="1" outline="0" fieldPosition="0">
        <references count="1">
          <reference field="4294967294" count="2">
            <x v="0"/>
            <x v="1"/>
          </reference>
        </references>
      </pivotArea>
    </format>
  </formats>
  <chartFormats count="6">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9"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1"/>
          </reference>
        </references>
      </pivotArea>
    </chartFormat>
    <chartFormat chart="42" format="13" series="1">
      <pivotArea type="data" outline="0" fieldPosition="0">
        <references count="1">
          <reference field="4294967294" count="1" selected="0">
            <x v="0"/>
          </reference>
        </references>
      </pivotArea>
    </chartFormat>
    <chartFormat chart="42" format="14"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6.xml><?xml version="1.0" encoding="utf-8"?>
<pivotTableDefinition xmlns="http://schemas.openxmlformats.org/spreadsheetml/2006/main" name="PivotTable19" cacheId="0"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4">
  <location ref="B686:D692" firstHeaderRow="1" firstDataRow="2" firstDataCol="1" rowPageCount="2" colPageCount="1"/>
  <pivotFields count="111">
    <pivotField axis="axisPage" compact="0" numFmtId="166" outline="0" subtotalTop="0" multipleItemSelectionAllowed="1"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defaultSubtotal="0">
      <items count="9">
        <item h="1" m="1" x="7"/>
        <item h="1" m="1" x="6"/>
        <item h="1" m="1" x="8"/>
        <item x="1"/>
        <item h="1" x="0"/>
        <item x="3"/>
        <item x="2"/>
        <item x="4"/>
        <item h="1" x="5"/>
      </items>
    </pivotField>
    <pivotField compact="0" numFmtId="1" outline="0" showAll="0" defaultSubtotal="0"/>
    <pivotField compact="0" numFmtId="166" outline="0" showAll="0" defaultSubtotal="0"/>
    <pivotField dataField="1"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axis="axisCol" compact="0" outline="0" showAll="0" defaultSubtotal="0">
      <items count="3">
        <item x="0"/>
        <item x="1"/>
        <item m="1" x="2"/>
      </items>
    </pivotField>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2">
    <i>
      <x/>
    </i>
    <i>
      <x v="1"/>
    </i>
  </colItems>
  <pageFields count="2">
    <pageField fld="7" hier="0"/>
    <pageField fld="0" hier="-1"/>
  </pageFields>
  <dataFields count="1">
    <dataField name="Sum of Total PoP" fld="12" showDataAs="percentOfRow" baseField="7" baseItem="1" numFmtId="9"/>
  </dataFields>
  <formats count="8">
    <format dxfId="130">
      <pivotArea type="all" dataOnly="0" outline="0" fieldPosition="0"/>
    </format>
    <format dxfId="129">
      <pivotArea type="all" dataOnly="0" outline="0" fieldPosition="0"/>
    </format>
    <format dxfId="128">
      <pivotArea type="all" dataOnly="0" outline="0" fieldPosition="0"/>
    </format>
    <format dxfId="127">
      <pivotArea outline="0" fieldPosition="0"/>
    </format>
    <format dxfId="126">
      <pivotArea dataOnly="0" labelOnly="1" outline="0" fieldPosition="0">
        <references count="1">
          <reference field="7" count="0"/>
        </references>
      </pivotArea>
    </format>
    <format dxfId="125">
      <pivotArea type="topRight" dataOnly="0" labelOnly="1" outline="0" fieldPosition="0"/>
    </format>
    <format dxfId="124">
      <pivotArea outline="0" fieldPosition="0">
        <references count="1">
          <reference field="4294967294" count="1">
            <x v="0"/>
          </reference>
        </references>
      </pivotArea>
    </format>
    <format dxfId="123">
      <pivotArea outline="0" collapsedLevelsAreSubtotals="1" fieldPosition="0"/>
    </format>
  </formats>
  <chartFormats count="10">
    <chartFormat chart="26" format="20" series="1">
      <pivotArea type="data" outline="0" fieldPosition="0">
        <references count="1">
          <reference field="18" count="1" selected="0">
            <x v="0"/>
          </reference>
        </references>
      </pivotArea>
    </chartFormat>
    <chartFormat chart="26" format="21" series="1">
      <pivotArea type="data" outline="0" fieldPosition="0">
        <references count="1">
          <reference field="18" count="1" selected="0">
            <x v="1"/>
          </reference>
        </references>
      </pivotArea>
    </chartFormat>
    <chartFormat chart="38" format="24" series="1">
      <pivotArea type="data" outline="0" fieldPosition="0">
        <references count="1">
          <reference field="18" count="1" selected="0">
            <x v="0"/>
          </reference>
        </references>
      </pivotArea>
    </chartFormat>
    <chartFormat chart="38" format="25" series="1">
      <pivotArea type="data" outline="0" fieldPosition="0">
        <references count="1">
          <reference field="18" count="1" selected="0">
            <x v="1"/>
          </reference>
        </references>
      </pivotArea>
    </chartFormat>
    <chartFormat chart="38" format="26" series="1">
      <pivotArea type="data" outline="0" fieldPosition="0">
        <references count="2">
          <reference field="4294967294" count="1" selected="0">
            <x v="0"/>
          </reference>
          <reference field="18" count="1" selected="0">
            <x v="0"/>
          </reference>
        </references>
      </pivotArea>
    </chartFormat>
    <chartFormat chart="38" format="27" series="1">
      <pivotArea type="data" outline="0" fieldPosition="0">
        <references count="2">
          <reference field="4294967294" count="1" selected="0">
            <x v="0"/>
          </reference>
          <reference field="18" count="1" selected="0">
            <x v="1"/>
          </reference>
        </references>
      </pivotArea>
    </chartFormat>
    <chartFormat chart="26" format="22" series="1">
      <pivotArea type="data" outline="0" fieldPosition="0">
        <references count="2">
          <reference field="4294967294" count="1" selected="0">
            <x v="0"/>
          </reference>
          <reference field="18" count="1" selected="0">
            <x v="0"/>
          </reference>
        </references>
      </pivotArea>
    </chartFormat>
    <chartFormat chart="26" format="23" series="1">
      <pivotArea type="data" outline="0" fieldPosition="0">
        <references count="2">
          <reference field="4294967294" count="1" selected="0">
            <x v="0"/>
          </reference>
          <reference field="18" count="1" selected="0">
            <x v="1"/>
          </reference>
        </references>
      </pivotArea>
    </chartFormat>
    <chartFormat chart="38" format="28" series="1">
      <pivotArea type="data" outline="0" fieldPosition="0">
        <references count="2">
          <reference field="4294967294" count="1" selected="0">
            <x v="0"/>
          </reference>
          <reference field="18" count="1" selected="0">
            <x v="2"/>
          </reference>
        </references>
      </pivotArea>
    </chartFormat>
    <chartFormat chart="26" format="24"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7.xml><?xml version="1.0" encoding="utf-8"?>
<pivotTableDefinition xmlns="http://schemas.openxmlformats.org/spreadsheetml/2006/main" name="PivotTable27"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5" rowHeaderCaption="Population Type">
  <location ref="B166:E170" firstHeaderRow="1" firstDataRow="2" firstDataCol="1" rowPageCount="2" colPageCount="1"/>
  <pivotFields count="111">
    <pivotField axis="axisPage"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axis="axisRow" numFmtId="166" multipleItemSelectionAllowed="1" showAll="0">
      <items count="3">
        <item x="1"/>
        <item x="0"/>
        <item t="default"/>
      </items>
    </pivotField>
    <pivotField numFmtId="166" showAll="0">
      <items count="9">
        <item x="0"/>
        <item x="2"/>
        <item x="7"/>
        <item x="5"/>
        <item x="3"/>
        <item x="4"/>
        <item x="1"/>
        <item x="6"/>
        <item t="default"/>
      </items>
    </pivotField>
    <pivotField axis="axisPage" numFmtId="166" multipleItemSelectionAllowed="1" showAll="0" defaultSubtotal="0">
      <items count="9">
        <item m="1" x="7"/>
        <item m="1" x="6"/>
        <item m="1" x="8"/>
        <item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Permanent Water point" fld="97" baseField="0" baseItem="0" numFmtId="9"/>
    <dataField name="%Wash Emergency Facilities" fld="98" baseField="0" baseItem="0" numFmtId="166"/>
    <dataField name="% Household complementary Coverage" fld="99" baseField="0" baseItem="0" numFmtId="166"/>
  </dataFields>
  <formats count="19">
    <format dxfId="149">
      <pivotArea grandRow="1" outline="0" fieldPosition="0"/>
    </format>
    <format dxfId="148">
      <pivotArea outline="0" collapsedLevelsAreSubtotals="1" fieldPosition="0"/>
    </format>
    <format dxfId="147">
      <pivotArea type="all" dataOnly="0" outline="0" fieldPosition="0"/>
    </format>
    <format dxfId="146">
      <pivotArea outline="0" collapsedLevelsAreSubtotals="1" fieldPosition="0"/>
    </format>
    <format dxfId="145">
      <pivotArea dataOnly="0" labelOnly="1" grandRow="1" outline="0" fieldPosition="0"/>
    </format>
    <format dxfId="144">
      <pivotArea outline="0" collapsedLevelsAreSubtotals="1" fieldPosition="0"/>
    </format>
    <format dxfId="143">
      <pivotArea field="8" type="button" dataOnly="0" labelOnly="1" outline="0"/>
    </format>
    <format dxfId="142">
      <pivotArea dataOnly="0" labelOnly="1" grandRow="1" outline="0" fieldPosition="0"/>
    </format>
    <format dxfId="141">
      <pivotArea field="8" type="button" dataOnly="0" labelOnly="1" outline="0"/>
    </format>
    <format dxfId="140">
      <pivotArea dataOnly="0" labelOnly="1" grandRow="1" outline="0" fieldPosition="0"/>
    </format>
    <format dxfId="139">
      <pivotArea outline="0" collapsedLevelsAreSubtotals="1" fieldPosition="0"/>
    </format>
    <format dxfId="138">
      <pivotArea field="8" type="button" dataOnly="0" labelOnly="1" outline="0"/>
    </format>
    <format dxfId="137">
      <pivotArea outline="0" collapsedLevelsAreSubtotals="1" fieldPosition="0"/>
    </format>
    <format dxfId="136">
      <pivotArea field="8" type="button" dataOnly="0" labelOnly="1" outline="0"/>
    </format>
    <format dxfId="135">
      <pivotArea dataOnly="0" labelOnly="1" grandRow="1" outline="0" fieldPosition="0"/>
    </format>
    <format dxfId="134">
      <pivotArea outline="0" collapsedLevelsAreSubtotals="1" fieldPosition="0"/>
    </format>
    <format dxfId="133">
      <pivotArea field="0" type="button" dataOnly="0" labelOnly="1" outline="0" axis="axisPage" fieldPosition="0"/>
    </format>
    <format dxfId="132">
      <pivotArea dataOnly="0" labelOnly="1" outline="0" fieldPosition="0">
        <references count="1">
          <reference field="4294967294" count="3">
            <x v="0"/>
            <x v="1"/>
            <x v="2"/>
          </reference>
        </references>
      </pivotArea>
    </format>
    <format dxfId="131">
      <pivotArea field="7" type="button" dataOnly="0" labelOnly="1" outline="0" axis="axisRow" fieldPosition="0"/>
    </format>
  </formats>
  <chartFormats count="12">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3" format="3"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1"/>
          </reference>
        </references>
      </pivotArea>
    </chartFormat>
    <chartFormat chart="23"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8.xml><?xml version="1.0" encoding="utf-8"?>
<pivotTableDefinition xmlns="http://schemas.openxmlformats.org/spreadsheetml/2006/main" name="PivotTable17" cacheId="0"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270:D276" firstHeaderRow="1" firstDataRow="2" firstDataCol="1" rowPageCount="2" colPageCount="1"/>
  <pivotFields count="111">
    <pivotField axis="axisPage" compact="0" numFmtId="166" outline="0" subtotalTop="0" showAll="0" includeNewItemsInFilter="1">
      <items count="13">
        <item x="1"/>
        <item x="2"/>
        <item x="4"/>
        <item x="5"/>
        <item x="6"/>
        <item x="7"/>
        <item x="9"/>
        <item x="10"/>
        <item x="11"/>
        <item x="8"/>
        <item x="0"/>
        <item x="3"/>
        <item t="default"/>
      </items>
    </pivotField>
    <pivotField compact="0" outline="0" showAll="0" defaultSubtotal="0"/>
    <pivotField compact="0" outline="0" showAll="0" defaultSubtotal="0"/>
    <pivotField compact="0" outline="0" showAll="0" defaultSubtotal="0"/>
    <pivotField compact="0" numFmtId="166" outline="0" subtotalTop="0" showAll="0" includeNewItemsInFilter="1"/>
    <pivotField compact="0" numFmtId="166" outline="0" showAll="0" defaultSubtotal="0"/>
    <pivotField compact="0" numFmtId="166" outline="0" showAll="0" defaultSubtotal="0"/>
    <pivotField axis="axisPage" compact="0" numFmtId="166" outline="0" subtotalTop="0" multipleItemSelectionAllowed="1" showAll="0" includeNewItemsInFilter="1">
      <items count="3">
        <item x="1"/>
        <item x="0"/>
        <item t="default"/>
      </items>
    </pivotField>
    <pivotField compact="0" numFmtId="166" outline="0" subtotalTop="0" showAll="0" includeNewItemsInFilter="1"/>
    <pivotField axis="axisRow" compact="0" numFmtId="166" outline="0" multipleItemSelectionAllowed="1" showAll="0" sortType="ascending" defaultSubtotal="0">
      <items count="9">
        <item x="2"/>
        <item h="1" m="1" x="7"/>
        <item h="1" x="5"/>
        <item h="1" m="1" x="6"/>
        <item h="1" m="1" x="8"/>
        <item x="1"/>
        <item h="1" x="0"/>
        <item x="3"/>
        <item x="4"/>
      </items>
    </pivotField>
    <pivotField compact="0" numFmtId="1"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6" outline="0" showAll="0" defaultSubtotal="0"/>
    <pivotField compact="0" numFmtId="166" outline="0" multipleItemSelectionAllowed="1" showAll="0" defaultSubtotal="0"/>
    <pivotField compact="0" outline="0" showAll="0" defaultSubtotal="0"/>
    <pivotField compact="0" outline="0" showAll="0" defaultSubtotal="0"/>
    <pivotField compact="0" numFmtId="166" outline="0" subtotalTop="0" showAll="0" includeNewItemsInFilter="1" defaultSubtotal="0"/>
    <pivotField compact="0" outline="0" showAll="0" defaultSubtotal="0"/>
    <pivotField compact="0" numFmtId="166" outline="0" showAll="0" defaultSubtotal="0"/>
    <pivotField compact="0" outline="0" showAll="0" defaultSubtotal="0"/>
    <pivotField compact="0" numFmtId="166" outline="0" showAll="0" defaultSubtotal="0"/>
    <pivotField compact="0" outline="0" showAll="0" defaultSubtotal="0"/>
    <pivotField compact="0" numFmtId="9" outline="0" showAll="0" defaultSubtotal="0"/>
    <pivotField compact="0" numFmtId="166"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6" outline="0" showAll="0" defaultSubtotal="0"/>
    <pivotField compact="0" numFmtId="1" outline="0" showAll="0" defaultSubtotal="0"/>
    <pivotField compact="0" numFmtId="166" outline="0" showAll="0" defaultSubtotal="0"/>
    <pivotField compact="0" numFmtId="9" outline="0" subtotalTop="0" showAll="0" includeNewItemsInFilter="1"/>
    <pivotField compact="0" outline="0" showAll="0" defaultSubtotal="0"/>
    <pivotField compact="0" numFmtId="166" outline="0" showAll="0" defaultSubtotal="0"/>
    <pivotField compact="0" outline="0" showAll="0" defaultSubtotal="0"/>
    <pivotField compact="0" numFmtId="166"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6" outline="0" subtotalTop="0" showAll="0" includeNewItemsInFilter="1"/>
    <pivotField compact="0" numFmtId="166" outline="0" subtotalTop="0" showAll="0" includeNewItemsInFilter="1"/>
    <pivotField compact="0" numFmtId="1" outline="0" showAll="0" defaultSubtotal="0"/>
    <pivotField compact="0" numFmtId="166" outline="0" showAll="0" defaultSubtotal="0"/>
    <pivotField compact="0" numFmtId="166" outline="0" showAll="0" defaultSubtotal="0"/>
    <pivotField compact="0" numFmtId="166" outline="0" subtotalTop="0" showAll="0" includeNewItemsInFilter="1"/>
    <pivotField compact="0" outline="0" showAll="0" defaultSubtotal="0"/>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5"/>
    </i>
    <i>
      <x v="7"/>
    </i>
    <i>
      <x v="8"/>
    </i>
    <i t="grand">
      <x/>
    </i>
  </rowItems>
  <colFields count="1">
    <field x="-2"/>
  </colFields>
  <colItems count="2">
    <i>
      <x/>
    </i>
    <i i="1">
      <x v="1"/>
    </i>
  </colItems>
  <pageFields count="2">
    <pageField fld="7" hier="0"/>
    <pageField fld="0" hier="-1"/>
  </pageFields>
  <dataFields count="2">
    <dataField name="% Latrine coverage" fld="105" baseField="0" baseItem="0" numFmtId="166"/>
    <dataField name="% Latrine coverage increase projection" fld="106" baseField="0" baseItem="0" numFmtId="166"/>
  </dataFields>
  <formats count="7">
    <format dxfId="156">
      <pivotArea type="all" dataOnly="0" outline="0" fieldPosition="0"/>
    </format>
    <format dxfId="155">
      <pivotArea type="all" dataOnly="0" outline="0" fieldPosition="0"/>
    </format>
    <format dxfId="154">
      <pivotArea type="all" dataOnly="0" outline="0" fieldPosition="0"/>
    </format>
    <format dxfId="153">
      <pivotArea outline="0" fieldPosition="0"/>
    </format>
    <format dxfId="152">
      <pivotArea dataOnly="0" labelOnly="1" outline="0" fieldPosition="0">
        <references count="1">
          <reference field="7" count="0"/>
        </references>
      </pivotArea>
    </format>
    <format dxfId="151">
      <pivotArea type="topRight" dataOnly="0" labelOnly="1" outline="0" fieldPosition="0"/>
    </format>
    <format dxfId="150">
      <pivotArea outline="0" collapsedLevelsAreSubtotals="1" fieldPosition="0"/>
    </format>
  </formats>
  <chartFormats count="2">
    <chartFormat chart="22" format="6" series="1">
      <pivotArea type="data" outline="0" fieldPosition="0">
        <references count="1">
          <reference field="4294967294" count="1" selected="0">
            <x v="0"/>
          </reference>
        </references>
      </pivotArea>
    </chartFormat>
    <chartFormat chart="22" format="7"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9.xml><?xml version="1.0" encoding="utf-8"?>
<pivotTableDefinition xmlns="http://schemas.openxmlformats.org/spreadsheetml/2006/main" name="PivotTable26"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3" rowHeaderCaption="Population Type">
  <location ref="B113:E117" firstHeaderRow="1" firstDataRow="2" firstDataCol="1" rowPageCount="2" colPageCount="1"/>
  <pivotFields count="111">
    <pivotField axis="axisPage" numFmtId="166" multipleItemSelectionAllowed="1" showAll="0">
      <items count="13">
        <item x="1"/>
        <item x="2"/>
        <item x="4"/>
        <item x="5"/>
        <item x="6"/>
        <item x="7"/>
        <item x="9"/>
        <item x="10"/>
        <item x="11"/>
        <item x="8"/>
        <item x="0"/>
        <item x="3"/>
        <item t="default"/>
      </items>
    </pivotField>
    <pivotField showAll="0" defaultSubtotal="0"/>
    <pivotField showAll="0" defaultSubtotal="0"/>
    <pivotField showAll="0" defaultSubtotal="0"/>
    <pivotField numFmtId="166" showAll="0"/>
    <pivotField numFmtId="166" showAll="0"/>
    <pivotField numFmtId="166" showAll="0"/>
    <pivotField axis="axisRow" numFmtId="166" multipleItemSelectionAllowed="1" showAll="0">
      <items count="3">
        <item x="1"/>
        <item x="0"/>
        <item t="default"/>
      </items>
    </pivotField>
    <pivotField numFmtId="166" showAll="0">
      <items count="9">
        <item x="0"/>
        <item x="2"/>
        <item x="7"/>
        <item x="5"/>
        <item x="3"/>
        <item x="4"/>
        <item x="1"/>
        <item x="6"/>
        <item t="default"/>
      </items>
    </pivotField>
    <pivotField axis="axisPage" numFmtId="166" multipleItemSelectionAllowed="1" showAll="0" defaultSubtotal="0">
      <items count="9">
        <item m="1" x="7"/>
        <item m="1" x="6"/>
        <item m="1" x="8"/>
        <item x="1"/>
        <item h="1" x="0"/>
        <item x="3"/>
        <item x="2"/>
        <item x="4"/>
        <item h="1" x="5"/>
      </items>
    </pivotField>
    <pivotField numFmtId="1" showAll="0" defaultSubtotal="0"/>
    <pivotField numFmtId="166" showAll="0" defaultSubtotal="0"/>
    <pivotField numFmtId="166" showAll="0"/>
    <pivotField showAll="0" defaultSubtotal="0"/>
    <pivotField numFmtId="166" showAll="0" defaultSubtotal="0"/>
    <pivotField showAll="0" defaultSubtotal="0"/>
    <pivotField numFmtId="166" showAll="0"/>
    <pivotField multipleItemSelectionAllowed="1" showAll="0" defaultSubtotal="0"/>
    <pivotField showAll="0" defaultSubtotal="0"/>
    <pivotField showAll="0" defaultSubtotal="0"/>
    <pivotField numFmtId="166" showAll="0"/>
    <pivotField numFmtId="166" multipleItemSelectionAllowed="1" showAll="0" defaultSubtotal="0"/>
    <pivotField showAll="0" defaultSubtotal="0"/>
    <pivotField showAll="0" defaultSubtotal="0"/>
    <pivotField numFmtId="166" showAll="0"/>
    <pivotField showAll="0" defaultSubtotal="0"/>
    <pivotField numFmtId="166" showAll="0"/>
    <pivotField showAll="0" defaultSubtotal="0"/>
    <pivotField numFmtId="166" showAll="0" defaultSubtotal="0"/>
    <pivotField showAll="0" defaultSubtotal="0"/>
    <pivotField numFmtId="9" showAll="0" defaultSubtotal="0"/>
    <pivotField numFmtId="166"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6" showAll="0" defaultSubtotal="0"/>
    <pivotField numFmtId="1" showAll="0" defaultSubtotal="0"/>
    <pivotField numFmtId="166"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6" showAll="0" defaultSubtotal="0"/>
    <pivotField numFmtId="1" showAll="0" defaultSubtotal="0"/>
    <pivotField numFmtId="166" showAll="0"/>
    <pivotField numFmtId="9" showAll="0"/>
    <pivotField showAll="0" defaultSubtotal="0"/>
    <pivotField numFmtId="166" showAll="0" defaultSubtotal="0"/>
    <pivotField showAll="0" defaultSubtotal="0"/>
    <pivotField numFmtId="166"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6" showAll="0"/>
    <pivotField numFmtId="9" showAll="0"/>
    <pivotField numFmtId="1" showAll="0" defaultSubtotal="0"/>
    <pivotField numFmtId="166" showAll="0"/>
    <pivotField numFmtId="166" showAll="0" defaultSubtotal="0"/>
    <pivotField numFmtId="166" showAll="0"/>
    <pivotField showAll="0" defaultSubtotal="0"/>
    <pivotField numFmtId="166" showAll="0"/>
    <pivotField numFmtId="166" showAll="0"/>
    <pivotField numFmtId="166"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Water coverage" fld="95" baseField="11" baseItem="0" numFmtId="9"/>
    <dataField name="% Latrine coverage" fld="94" baseField="0" baseItem="0" numFmtId="166"/>
    <dataField name="% Bathroom coverage" fld="96" baseField="0" baseItem="0" numFmtId="9"/>
  </dataFields>
  <formats count="28">
    <format dxfId="184">
      <pivotArea grandRow="1" outline="0" fieldPosition="0"/>
    </format>
    <format dxfId="183">
      <pivotArea outline="0" collapsedLevelsAreSubtotals="1" fieldPosition="0"/>
    </format>
    <format dxfId="182">
      <pivotArea type="all" dataOnly="0" outline="0" fieldPosition="0"/>
    </format>
    <format dxfId="181">
      <pivotArea outline="0" collapsedLevelsAreSubtotals="1" fieldPosition="0"/>
    </format>
    <format dxfId="180">
      <pivotArea dataOnly="0" labelOnly="1" grandRow="1" outline="0" fieldPosition="0"/>
    </format>
    <format dxfId="179">
      <pivotArea outline="0" collapsedLevelsAreSubtotals="1" fieldPosition="0"/>
    </format>
    <format dxfId="178">
      <pivotArea field="8" type="button" dataOnly="0" labelOnly="1" outline="0"/>
    </format>
    <format dxfId="177">
      <pivotArea dataOnly="0" labelOnly="1" grandRow="1" outline="0" fieldPosition="0"/>
    </format>
    <format dxfId="176">
      <pivotArea field="8" type="button" dataOnly="0" labelOnly="1" outline="0"/>
    </format>
    <format dxfId="175">
      <pivotArea dataOnly="0" labelOnly="1" grandRow="1" outline="0" fieldPosition="0"/>
    </format>
    <format dxfId="174">
      <pivotArea outline="0" collapsedLevelsAreSubtotals="1" fieldPosition="0"/>
    </format>
    <format dxfId="173">
      <pivotArea field="8" grandRow="1" outline="0" collapsedLevelsAreSubtotals="1">
        <references count="1">
          <reference field="4294967294" count="1" selected="0">
            <x v="1"/>
          </reference>
        </references>
      </pivotArea>
    </format>
    <format dxfId="172">
      <pivotArea outline="0" collapsedLevelsAreSubtotals="1" fieldPosition="0">
        <references count="1">
          <reference field="4294967294" count="1" selected="0">
            <x v="0"/>
          </reference>
        </references>
      </pivotArea>
    </format>
    <format dxfId="171">
      <pivotArea outline="0" fieldPosition="0">
        <references count="1">
          <reference field="4294967294" count="1">
            <x v="2"/>
          </reference>
        </references>
      </pivotArea>
    </format>
    <format dxfId="170">
      <pivotArea field="8" type="button" dataOnly="0" labelOnly="1" outline="0"/>
    </format>
    <format dxfId="169">
      <pivotArea dataOnly="0" labelOnly="1" outline="0" fieldPosition="0">
        <references count="1">
          <reference field="4294967294" count="3">
            <x v="0"/>
            <x v="1"/>
            <x v="2"/>
          </reference>
        </references>
      </pivotArea>
    </format>
    <format dxfId="168">
      <pivotArea outline="0" collapsedLevelsAreSubtotals="1" fieldPosition="0"/>
    </format>
    <format dxfId="167">
      <pivotArea dataOnly="0" labelOnly="1" outline="0" fieldPosition="0">
        <references count="1">
          <reference field="4294967294" count="3">
            <x v="0"/>
            <x v="1"/>
            <x v="2"/>
          </reference>
        </references>
      </pivotArea>
    </format>
    <format dxfId="166">
      <pivotArea field="8" type="button" dataOnly="0" labelOnly="1" outline="0"/>
    </format>
    <format dxfId="165">
      <pivotArea dataOnly="0" labelOnly="1" grandRow="1" outline="0" fieldPosition="0"/>
    </format>
    <format dxfId="164">
      <pivotArea outline="0" collapsedLevelsAreSubtotals="1" fieldPosition="0">
        <references count="1">
          <reference field="4294967294" count="1" selected="0">
            <x v="2"/>
          </reference>
        </references>
      </pivotArea>
    </format>
    <format dxfId="163">
      <pivotArea collapsedLevelsAreSubtotals="1" fieldPosition="0">
        <references count="2">
          <reference field="4294967294" count="1" selected="0">
            <x v="1"/>
          </reference>
          <reference field="7" count="0"/>
        </references>
      </pivotArea>
    </format>
    <format dxfId="162">
      <pivotArea type="all" dataOnly="0" outline="0" fieldPosition="0"/>
    </format>
    <format dxfId="161">
      <pivotArea outline="0" collapsedLevelsAreSubtotals="1" fieldPosition="0"/>
    </format>
    <format dxfId="160">
      <pivotArea dataOnly="0" labelOnly="1" fieldPosition="0">
        <references count="1">
          <reference field="7" count="0"/>
        </references>
      </pivotArea>
    </format>
    <format dxfId="159">
      <pivotArea dataOnly="0" labelOnly="1" grandRow="1" outline="0" fieldPosition="0"/>
    </format>
    <format dxfId="158">
      <pivotArea dataOnly="0" labelOnly="1" outline="0" fieldPosition="0">
        <references count="1">
          <reference field="4294967294" count="3">
            <x v="0"/>
            <x v="1"/>
            <x v="2"/>
          </reference>
        </references>
      </pivotArea>
    </format>
    <format dxfId="157">
      <pivotArea field="7" type="button" dataOnly="0" labelOnly="1" outline="0" axis="axisRow" fieldPosition="0"/>
    </format>
  </formats>
  <chartFormats count="2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6" series="1">
      <pivotArea type="data" outline="0" fieldPosition="0">
        <references count="1">
          <reference field="4294967294" count="1" selected="0">
            <x v="0"/>
          </reference>
        </references>
      </pivotArea>
    </chartFormat>
    <chartFormat chart="17" format="7" series="1">
      <pivotArea type="data" outline="0" fieldPosition="0">
        <references count="1">
          <reference field="4294967294" count="1" selected="0">
            <x v="1"/>
          </reference>
        </references>
      </pivotArea>
    </chartFormat>
    <chartFormat chart="17"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drawing" Target="../drawings/drawing6.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rinterSettings" Target="../printerSettings/printerSettings2.bin"/><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43.xml"/><Relationship Id="rId3" Type="http://schemas.openxmlformats.org/officeDocument/2006/relationships/pivotTable" Target="../pivotTables/pivotTable38.xml"/><Relationship Id="rId7" Type="http://schemas.openxmlformats.org/officeDocument/2006/relationships/pivotTable" Target="../pivotTables/pivotTable42.xml"/><Relationship Id="rId2" Type="http://schemas.openxmlformats.org/officeDocument/2006/relationships/pivotTable" Target="../pivotTables/pivotTable37.xml"/><Relationship Id="rId1" Type="http://schemas.openxmlformats.org/officeDocument/2006/relationships/pivotTable" Target="../pivotTables/pivotTable36.xml"/><Relationship Id="rId6" Type="http://schemas.openxmlformats.org/officeDocument/2006/relationships/pivotTable" Target="../pivotTables/pivotTable41.xml"/><Relationship Id="rId5" Type="http://schemas.openxmlformats.org/officeDocument/2006/relationships/pivotTable" Target="../pivotTables/pivotTable40.xml"/><Relationship Id="rId10" Type="http://schemas.openxmlformats.org/officeDocument/2006/relationships/drawing" Target="../drawings/drawing7.xml"/><Relationship Id="rId4" Type="http://schemas.openxmlformats.org/officeDocument/2006/relationships/pivotTable" Target="../pivotTables/pivotTable39.xml"/><Relationship Id="rId9"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52"/>
  <sheetViews>
    <sheetView tabSelected="1" zoomScale="75" zoomScaleNormal="75" workbookViewId="0">
      <selection activeCell="F50" sqref="F50"/>
    </sheetView>
  </sheetViews>
  <sheetFormatPr defaultColWidth="8.85546875" defaultRowHeight="15"/>
  <cols>
    <col min="1" max="1" width="8.140625" style="14" customWidth="1"/>
    <col min="2" max="2" width="2.5703125" style="14" customWidth="1"/>
    <col min="3" max="19" width="8.85546875" style="14"/>
    <col min="20" max="20" width="28.7109375" style="14" customWidth="1"/>
    <col min="21" max="16384" width="8.85546875" style="14"/>
  </cols>
  <sheetData>
    <row r="1" spans="2:20" ht="28.15" customHeight="1" thickBot="1"/>
    <row r="2" spans="2:20" s="15" customFormat="1" ht="35.450000000000003" customHeight="1" thickTop="1" thickBot="1">
      <c r="B2" s="1195" t="s">
        <v>105</v>
      </c>
      <c r="C2" s="1196"/>
      <c r="D2" s="1196"/>
      <c r="E2" s="1196"/>
      <c r="F2" s="1196"/>
      <c r="G2" s="1196"/>
      <c r="H2" s="1196"/>
      <c r="I2" s="1196"/>
      <c r="J2" s="1196"/>
      <c r="K2" s="1196"/>
      <c r="L2" s="1196"/>
      <c r="M2" s="1196"/>
      <c r="N2" s="1196"/>
      <c r="O2" s="1196"/>
      <c r="P2" s="1196"/>
      <c r="Q2" s="1196"/>
      <c r="R2" s="1196"/>
      <c r="S2" s="1196"/>
      <c r="T2" s="1197"/>
    </row>
    <row r="3" spans="2:20" ht="15.75" thickTop="1">
      <c r="B3" s="16"/>
      <c r="C3" s="17"/>
      <c r="D3" s="17"/>
      <c r="E3" s="17"/>
      <c r="F3" s="17"/>
      <c r="G3" s="17"/>
      <c r="H3" s="17"/>
      <c r="I3" s="17"/>
      <c r="J3" s="17"/>
      <c r="K3" s="17"/>
      <c r="L3" s="17"/>
      <c r="M3" s="17"/>
      <c r="N3" s="17"/>
      <c r="O3" s="17"/>
      <c r="P3" s="17"/>
      <c r="Q3" s="17"/>
      <c r="R3" s="17"/>
      <c r="S3" s="17"/>
      <c r="T3" s="18"/>
    </row>
    <row r="4" spans="2:20">
      <c r="B4" s="16"/>
      <c r="C4" s="19" t="s">
        <v>106</v>
      </c>
      <c r="D4" s="17"/>
      <c r="E4" s="17"/>
      <c r="F4" s="17"/>
      <c r="G4" s="17"/>
      <c r="H4" s="17"/>
      <c r="I4" s="17"/>
      <c r="J4" s="17"/>
      <c r="K4" s="17"/>
      <c r="L4" s="17"/>
      <c r="M4" s="17"/>
      <c r="N4" s="17"/>
      <c r="O4" s="17"/>
      <c r="P4" s="17"/>
      <c r="Q4" s="17"/>
      <c r="R4" s="17"/>
      <c r="S4" s="17"/>
      <c r="T4" s="18"/>
    </row>
    <row r="5" spans="2:20">
      <c r="B5" s="16"/>
      <c r="C5" s="17"/>
      <c r="D5" s="17" t="s">
        <v>107</v>
      </c>
      <c r="E5" s="17"/>
      <c r="F5" s="17"/>
      <c r="G5" s="17"/>
      <c r="H5" s="17"/>
      <c r="I5" s="17"/>
      <c r="J5" s="17"/>
      <c r="K5" s="17"/>
      <c r="L5" s="17"/>
      <c r="M5" s="17"/>
      <c r="N5" s="17"/>
      <c r="O5" s="17"/>
      <c r="P5" s="17"/>
      <c r="Q5" s="17"/>
      <c r="R5" s="17"/>
      <c r="S5" s="17"/>
      <c r="T5" s="18"/>
    </row>
    <row r="6" spans="2:20">
      <c r="B6" s="16"/>
      <c r="C6" s="17"/>
      <c r="D6" s="17" t="s">
        <v>108</v>
      </c>
      <c r="E6" s="17"/>
      <c r="F6" s="17"/>
      <c r="G6" s="17"/>
      <c r="H6" s="17"/>
      <c r="I6" s="17"/>
      <c r="J6" s="17"/>
      <c r="K6" s="17"/>
      <c r="L6" s="17"/>
      <c r="M6" s="17"/>
      <c r="N6" s="17"/>
      <c r="O6" s="17"/>
      <c r="P6" s="17"/>
      <c r="Q6" s="17"/>
      <c r="R6" s="17"/>
      <c r="S6" s="17"/>
      <c r="T6" s="18"/>
    </row>
    <row r="7" spans="2:20">
      <c r="B7" s="16"/>
      <c r="C7" s="17"/>
      <c r="D7" s="17" t="s">
        <v>109</v>
      </c>
      <c r="E7" s="17"/>
      <c r="F7" s="17"/>
      <c r="G7" s="17"/>
      <c r="H7" s="17"/>
      <c r="I7" s="17"/>
      <c r="J7" s="17"/>
      <c r="K7" s="17"/>
      <c r="L7" s="17"/>
      <c r="M7" s="17"/>
      <c r="N7" s="17"/>
      <c r="O7" s="17"/>
      <c r="P7" s="17"/>
      <c r="Q7" s="17"/>
      <c r="R7" s="17"/>
      <c r="S7" s="17"/>
      <c r="T7" s="18"/>
    </row>
    <row r="8" spans="2:20">
      <c r="B8" s="16"/>
      <c r="C8" s="17"/>
      <c r="D8" s="17" t="s">
        <v>110</v>
      </c>
      <c r="E8" s="17"/>
      <c r="F8" s="17"/>
      <c r="G8" s="17"/>
      <c r="H8" s="17"/>
      <c r="I8" s="17"/>
      <c r="J8" s="17"/>
      <c r="K8" s="17"/>
      <c r="L8" s="17"/>
      <c r="M8" s="17"/>
      <c r="N8" s="17"/>
      <c r="O8" s="17"/>
      <c r="P8" s="17"/>
      <c r="Q8" s="17"/>
      <c r="R8" s="17"/>
      <c r="S8" s="17"/>
      <c r="T8" s="18"/>
    </row>
    <row r="9" spans="2:20">
      <c r="B9" s="16"/>
      <c r="C9" s="17"/>
      <c r="D9" s="17" t="s">
        <v>111</v>
      </c>
      <c r="E9" s="17"/>
      <c r="F9" s="17"/>
      <c r="G9" s="17"/>
      <c r="H9" s="17"/>
      <c r="I9" s="17"/>
      <c r="J9" s="17"/>
      <c r="K9" s="17"/>
      <c r="L9" s="17"/>
      <c r="M9" s="17"/>
      <c r="N9" s="17"/>
      <c r="O9" s="17"/>
      <c r="P9" s="17"/>
      <c r="Q9" s="17"/>
      <c r="R9" s="17"/>
      <c r="S9" s="17"/>
      <c r="T9" s="18"/>
    </row>
    <row r="10" spans="2:20">
      <c r="B10" s="16"/>
      <c r="C10" s="17"/>
      <c r="D10" s="17" t="s">
        <v>1145</v>
      </c>
      <c r="E10" s="17"/>
      <c r="F10" s="17"/>
      <c r="G10" s="17"/>
      <c r="H10" s="17"/>
      <c r="I10" s="17"/>
      <c r="J10" s="17"/>
      <c r="K10" s="17"/>
      <c r="L10" s="17"/>
      <c r="M10" s="17"/>
      <c r="N10" s="17"/>
      <c r="O10" s="17"/>
      <c r="P10" s="17"/>
      <c r="Q10" s="17"/>
      <c r="R10" s="17"/>
      <c r="S10" s="17"/>
      <c r="T10" s="18"/>
    </row>
    <row r="11" spans="2:20">
      <c r="B11" s="16"/>
      <c r="C11" s="17"/>
      <c r="D11" s="17" t="s">
        <v>112</v>
      </c>
      <c r="E11" s="17"/>
      <c r="F11" s="17"/>
      <c r="G11" s="17"/>
      <c r="H11" s="17"/>
      <c r="I11" s="17"/>
      <c r="J11" s="17"/>
      <c r="K11" s="17"/>
      <c r="L11" s="17"/>
      <c r="M11" s="17"/>
      <c r="N11" s="17"/>
      <c r="O11" s="17"/>
      <c r="P11" s="17"/>
      <c r="Q11" s="17"/>
      <c r="R11" s="17"/>
      <c r="S11" s="17"/>
      <c r="T11" s="18"/>
    </row>
    <row r="12" spans="2:20">
      <c r="B12" s="16"/>
      <c r="C12" s="17"/>
      <c r="D12" s="17" t="s">
        <v>113</v>
      </c>
      <c r="E12" s="17"/>
      <c r="F12" s="17"/>
      <c r="G12" s="17"/>
      <c r="H12" s="17"/>
      <c r="I12" s="17"/>
      <c r="J12" s="17"/>
      <c r="K12" s="17"/>
      <c r="L12" s="17"/>
      <c r="M12" s="17"/>
      <c r="N12" s="17"/>
      <c r="O12" s="17"/>
      <c r="P12" s="17"/>
      <c r="Q12" s="17"/>
      <c r="R12" s="17"/>
      <c r="S12" s="17"/>
      <c r="T12" s="18"/>
    </row>
    <row r="13" spans="2:20">
      <c r="B13" s="16"/>
      <c r="C13" s="17"/>
      <c r="D13" s="17" t="s">
        <v>1146</v>
      </c>
      <c r="E13" s="17"/>
      <c r="F13" s="17"/>
      <c r="G13" s="17"/>
      <c r="H13" s="17"/>
      <c r="I13" s="17"/>
      <c r="J13" s="17"/>
      <c r="K13" s="17"/>
      <c r="L13" s="17"/>
      <c r="M13" s="17"/>
      <c r="N13" s="17"/>
      <c r="O13" s="17"/>
      <c r="P13" s="17"/>
      <c r="Q13" s="17"/>
      <c r="R13" s="17"/>
      <c r="S13" s="17"/>
      <c r="T13" s="18"/>
    </row>
    <row r="14" spans="2:20">
      <c r="B14" s="16"/>
      <c r="C14" s="17"/>
      <c r="D14" s="17"/>
      <c r="E14" s="17"/>
      <c r="F14" s="17"/>
      <c r="G14" s="17"/>
      <c r="H14" s="17"/>
      <c r="I14" s="17"/>
      <c r="J14" s="17"/>
      <c r="K14" s="17"/>
      <c r="L14" s="17"/>
      <c r="M14" s="17"/>
      <c r="N14" s="17"/>
      <c r="O14" s="17"/>
      <c r="P14" s="17"/>
      <c r="Q14" s="17"/>
      <c r="R14" s="17"/>
      <c r="S14" s="17"/>
      <c r="T14" s="18"/>
    </row>
    <row r="15" spans="2:20">
      <c r="B15" s="16"/>
      <c r="C15" s="19" t="s">
        <v>114</v>
      </c>
      <c r="D15" s="17"/>
      <c r="E15" s="17"/>
      <c r="F15" s="17"/>
      <c r="G15" s="17"/>
      <c r="H15" s="17"/>
      <c r="I15" s="17"/>
      <c r="J15" s="17"/>
      <c r="K15" s="17"/>
      <c r="L15" s="17"/>
      <c r="M15" s="17"/>
      <c r="N15" s="17"/>
      <c r="O15" s="17"/>
      <c r="P15" s="17"/>
      <c r="Q15" s="17"/>
      <c r="R15" s="17"/>
      <c r="S15" s="17"/>
      <c r="T15" s="18"/>
    </row>
    <row r="16" spans="2:20">
      <c r="B16" s="16"/>
      <c r="C16" s="17"/>
      <c r="D16" s="17" t="s">
        <v>115</v>
      </c>
      <c r="E16" s="17"/>
      <c r="F16" s="17"/>
      <c r="G16" s="17"/>
      <c r="H16" s="17"/>
      <c r="I16" s="17"/>
      <c r="J16" s="17"/>
      <c r="K16" s="17"/>
      <c r="L16" s="17"/>
      <c r="M16" s="17"/>
      <c r="N16" s="17"/>
      <c r="O16" s="17"/>
      <c r="P16" s="17"/>
      <c r="Q16" s="17"/>
      <c r="R16" s="17"/>
      <c r="S16" s="17"/>
      <c r="T16" s="18"/>
    </row>
    <row r="17" spans="2:20">
      <c r="B17" s="16"/>
      <c r="C17" s="17"/>
      <c r="D17" s="17" t="s">
        <v>116</v>
      </c>
      <c r="E17" s="17"/>
      <c r="F17" s="17"/>
      <c r="G17" s="17"/>
      <c r="H17" s="17"/>
      <c r="I17" s="17"/>
      <c r="J17" s="17"/>
      <c r="K17" s="17"/>
      <c r="L17" s="17"/>
      <c r="M17" s="17"/>
      <c r="N17" s="17"/>
      <c r="O17" s="17"/>
      <c r="P17" s="17"/>
      <c r="Q17" s="17"/>
      <c r="R17" s="17"/>
      <c r="S17" s="17"/>
      <c r="T17" s="18"/>
    </row>
    <row r="18" spans="2:20">
      <c r="B18" s="16"/>
      <c r="C18" s="17"/>
      <c r="D18" s="17" t="s">
        <v>1147</v>
      </c>
      <c r="E18" s="17"/>
      <c r="F18" s="17"/>
      <c r="G18" s="17"/>
      <c r="H18" s="17"/>
      <c r="I18" s="17"/>
      <c r="J18" s="17"/>
      <c r="K18" s="17"/>
      <c r="L18" s="17"/>
      <c r="M18" s="17"/>
      <c r="N18" s="17"/>
      <c r="O18" s="17"/>
      <c r="P18" s="17"/>
      <c r="Q18" s="17"/>
      <c r="R18" s="17"/>
      <c r="S18" s="17"/>
      <c r="T18" s="18"/>
    </row>
    <row r="19" spans="2:20">
      <c r="B19" s="16"/>
      <c r="C19" s="17"/>
      <c r="D19" s="17" t="s">
        <v>117</v>
      </c>
      <c r="E19" s="17"/>
      <c r="F19" s="17"/>
      <c r="G19" s="17"/>
      <c r="H19" s="17"/>
      <c r="I19" s="17"/>
      <c r="J19" s="17"/>
      <c r="K19" s="17"/>
      <c r="L19" s="17"/>
      <c r="M19" s="17"/>
      <c r="N19" s="17"/>
      <c r="O19" s="17"/>
      <c r="P19" s="17"/>
      <c r="Q19" s="17"/>
      <c r="R19" s="17"/>
      <c r="S19" s="17"/>
      <c r="T19" s="18"/>
    </row>
    <row r="20" spans="2:20">
      <c r="B20" s="16"/>
      <c r="C20" s="17"/>
      <c r="D20" s="17" t="s">
        <v>1148</v>
      </c>
      <c r="E20" s="17"/>
      <c r="F20" s="17"/>
      <c r="G20" s="17"/>
      <c r="H20" s="17"/>
      <c r="I20" s="17"/>
      <c r="J20" s="17"/>
      <c r="K20" s="17"/>
      <c r="L20" s="17"/>
      <c r="M20" s="17"/>
      <c r="N20" s="17"/>
      <c r="O20" s="17"/>
      <c r="P20" s="17"/>
      <c r="Q20" s="17"/>
      <c r="R20" s="17"/>
      <c r="S20" s="17"/>
      <c r="T20" s="18"/>
    </row>
    <row r="21" spans="2:20">
      <c r="B21" s="16"/>
      <c r="C21" s="17"/>
      <c r="D21" s="17" t="s">
        <v>118</v>
      </c>
      <c r="E21" s="17"/>
      <c r="F21" s="17"/>
      <c r="G21" s="17"/>
      <c r="H21" s="17"/>
      <c r="I21" s="17"/>
      <c r="J21" s="17"/>
      <c r="K21" s="17"/>
      <c r="L21" s="17"/>
      <c r="M21" s="17"/>
      <c r="N21" s="17"/>
      <c r="O21" s="17"/>
      <c r="P21" s="17"/>
      <c r="Q21" s="17"/>
      <c r="R21" s="17"/>
      <c r="S21" s="17"/>
      <c r="T21" s="18"/>
    </row>
    <row r="22" spans="2:20">
      <c r="B22" s="16"/>
      <c r="C22" s="17"/>
      <c r="D22" s="17" t="s">
        <v>1149</v>
      </c>
      <c r="E22" s="17"/>
      <c r="F22" s="17"/>
      <c r="G22" s="17"/>
      <c r="H22" s="17"/>
      <c r="I22" s="17"/>
      <c r="J22" s="17"/>
      <c r="K22" s="17"/>
      <c r="L22" s="17"/>
      <c r="M22" s="17"/>
      <c r="N22" s="17"/>
      <c r="O22" s="17"/>
      <c r="P22" s="17"/>
      <c r="Q22" s="17"/>
      <c r="R22" s="17"/>
      <c r="S22" s="17"/>
      <c r="T22" s="18"/>
    </row>
    <row r="23" spans="2:20">
      <c r="B23" s="16"/>
      <c r="C23" s="17"/>
      <c r="D23" s="17"/>
      <c r="E23" s="17"/>
      <c r="F23" s="17"/>
      <c r="G23" s="17"/>
      <c r="H23" s="17"/>
      <c r="I23" s="17"/>
      <c r="J23" s="17"/>
      <c r="K23" s="17"/>
      <c r="L23" s="17"/>
      <c r="M23" s="17"/>
      <c r="N23" s="17"/>
      <c r="O23" s="17"/>
      <c r="P23" s="17"/>
      <c r="Q23" s="17"/>
      <c r="R23" s="17"/>
      <c r="S23" s="17"/>
      <c r="T23" s="18"/>
    </row>
    <row r="24" spans="2:20">
      <c r="B24" s="16"/>
      <c r="C24" s="19" t="s">
        <v>119</v>
      </c>
      <c r="D24" s="17"/>
      <c r="E24" s="17"/>
      <c r="F24" s="17"/>
      <c r="G24" s="17"/>
      <c r="H24" s="17"/>
      <c r="I24" s="17"/>
      <c r="J24" s="17"/>
      <c r="K24" s="17"/>
      <c r="L24" s="17"/>
      <c r="M24" s="17"/>
      <c r="N24" s="17"/>
      <c r="O24" s="17"/>
      <c r="P24" s="17"/>
      <c r="Q24" s="17"/>
      <c r="R24" s="17"/>
      <c r="S24" s="17"/>
      <c r="T24" s="18"/>
    </row>
    <row r="25" spans="2:20">
      <c r="B25" s="16"/>
      <c r="C25" s="17"/>
      <c r="D25" s="17" t="s">
        <v>120</v>
      </c>
      <c r="E25" s="17"/>
      <c r="F25" s="17"/>
      <c r="G25" s="17"/>
      <c r="H25" s="17"/>
      <c r="I25" s="17"/>
      <c r="J25" s="17"/>
      <c r="K25" s="17"/>
      <c r="L25" s="17"/>
      <c r="M25" s="17"/>
      <c r="N25" s="17"/>
      <c r="O25" s="17"/>
      <c r="P25" s="17"/>
      <c r="Q25" s="17"/>
      <c r="R25" s="17"/>
      <c r="S25" s="17"/>
      <c r="T25" s="18"/>
    </row>
    <row r="26" spans="2:20">
      <c r="B26" s="16"/>
      <c r="C26" s="17"/>
      <c r="D26" s="17" t="s">
        <v>1150</v>
      </c>
      <c r="E26" s="17"/>
      <c r="F26" s="17"/>
      <c r="G26" s="17"/>
      <c r="H26" s="17"/>
      <c r="I26" s="17"/>
      <c r="J26" s="17"/>
      <c r="K26" s="17"/>
      <c r="L26" s="17"/>
      <c r="M26" s="17"/>
      <c r="N26" s="17"/>
      <c r="O26" s="17"/>
      <c r="P26" s="17"/>
      <c r="Q26" s="17"/>
      <c r="R26" s="17"/>
      <c r="S26" s="17"/>
      <c r="T26" s="18"/>
    </row>
    <row r="27" spans="2:20">
      <c r="B27" s="16"/>
      <c r="C27" s="17"/>
      <c r="D27" s="17" t="s">
        <v>1151</v>
      </c>
      <c r="E27" s="17"/>
      <c r="F27" s="17"/>
      <c r="G27" s="17"/>
      <c r="H27" s="17"/>
      <c r="I27" s="17"/>
      <c r="J27" s="17"/>
      <c r="K27" s="17"/>
      <c r="L27" s="17"/>
      <c r="M27" s="17"/>
      <c r="N27" s="17"/>
      <c r="O27" s="17"/>
      <c r="P27" s="17"/>
      <c r="Q27" s="17"/>
      <c r="R27" s="17"/>
      <c r="S27" s="17"/>
      <c r="T27" s="18"/>
    </row>
    <row r="28" spans="2:20">
      <c r="B28" s="16"/>
      <c r="C28" s="17"/>
      <c r="D28" s="17" t="s">
        <v>121</v>
      </c>
      <c r="E28" s="17"/>
      <c r="F28" s="17"/>
      <c r="G28" s="17"/>
      <c r="H28" s="17"/>
      <c r="I28" s="17"/>
      <c r="J28" s="17"/>
      <c r="K28" s="17"/>
      <c r="L28" s="17"/>
      <c r="M28" s="17"/>
      <c r="N28" s="17"/>
      <c r="O28" s="17"/>
      <c r="P28" s="17"/>
      <c r="Q28" s="17"/>
      <c r="R28" s="17"/>
      <c r="S28" s="17"/>
      <c r="T28" s="18"/>
    </row>
    <row r="29" spans="2:20">
      <c r="B29" s="16"/>
      <c r="C29" s="17"/>
      <c r="D29" s="17"/>
      <c r="E29" s="17"/>
      <c r="F29" s="17"/>
      <c r="G29" s="17"/>
      <c r="H29" s="17"/>
      <c r="I29" s="17"/>
      <c r="J29" s="17"/>
      <c r="K29" s="17"/>
      <c r="L29" s="17"/>
      <c r="M29" s="17"/>
      <c r="N29" s="17"/>
      <c r="O29" s="17"/>
      <c r="P29" s="17"/>
      <c r="Q29" s="17"/>
      <c r="R29" s="17"/>
      <c r="S29" s="17"/>
      <c r="T29" s="18"/>
    </row>
    <row r="30" spans="2:20">
      <c r="B30" s="16"/>
      <c r="C30" s="19" t="s">
        <v>122</v>
      </c>
      <c r="D30" s="17"/>
      <c r="E30" s="17"/>
      <c r="F30" s="17"/>
      <c r="G30" s="17"/>
      <c r="H30" s="17"/>
      <c r="I30" s="17"/>
      <c r="J30" s="17"/>
      <c r="K30" s="17"/>
      <c r="L30" s="17"/>
      <c r="M30" s="17"/>
      <c r="N30" s="17"/>
      <c r="O30" s="17"/>
      <c r="P30" s="17"/>
      <c r="Q30" s="17"/>
      <c r="R30" s="17"/>
      <c r="S30" s="17"/>
      <c r="T30" s="18"/>
    </row>
    <row r="31" spans="2:20">
      <c r="B31" s="16"/>
      <c r="C31" s="17"/>
      <c r="D31" s="17" t="s">
        <v>123</v>
      </c>
      <c r="E31" s="17"/>
      <c r="F31" s="17"/>
      <c r="G31" s="17"/>
      <c r="H31" s="17"/>
      <c r="I31" s="17"/>
      <c r="J31" s="17"/>
      <c r="K31" s="17"/>
      <c r="L31" s="17"/>
      <c r="M31" s="17"/>
      <c r="N31" s="17"/>
      <c r="O31" s="17"/>
      <c r="P31" s="17"/>
      <c r="Q31" s="17"/>
      <c r="R31" s="17"/>
      <c r="S31" s="17"/>
      <c r="T31" s="18"/>
    </row>
    <row r="32" spans="2:20">
      <c r="B32" s="16"/>
      <c r="C32" s="17"/>
      <c r="D32" s="17" t="s">
        <v>124</v>
      </c>
      <c r="E32" s="17"/>
      <c r="F32" s="17"/>
      <c r="G32" s="17"/>
      <c r="H32" s="17"/>
      <c r="I32" s="17"/>
      <c r="J32" s="17"/>
      <c r="K32" s="17"/>
      <c r="L32" s="17"/>
      <c r="M32" s="17"/>
      <c r="N32" s="17"/>
      <c r="O32" s="17"/>
      <c r="P32" s="17"/>
      <c r="Q32" s="17"/>
      <c r="R32" s="17"/>
      <c r="S32" s="17"/>
      <c r="T32" s="18"/>
    </row>
    <row r="33" spans="2:20">
      <c r="B33" s="16"/>
      <c r="C33" s="17"/>
      <c r="D33" s="17" t="s">
        <v>1152</v>
      </c>
      <c r="E33" s="17"/>
      <c r="F33" s="17"/>
      <c r="G33" s="17"/>
      <c r="H33" s="17"/>
      <c r="I33" s="17"/>
      <c r="J33" s="17"/>
      <c r="K33" s="17"/>
      <c r="L33" s="17"/>
      <c r="M33" s="17"/>
      <c r="N33" s="17"/>
      <c r="O33" s="17"/>
      <c r="P33" s="17"/>
      <c r="Q33" s="17"/>
      <c r="R33" s="17"/>
      <c r="S33" s="17"/>
      <c r="T33" s="18"/>
    </row>
    <row r="34" spans="2:20">
      <c r="B34" s="16"/>
      <c r="C34" s="17"/>
      <c r="D34" s="17" t="s">
        <v>125</v>
      </c>
      <c r="E34" s="17"/>
      <c r="F34" s="17"/>
      <c r="G34" s="17"/>
      <c r="H34" s="17"/>
      <c r="I34" s="17"/>
      <c r="J34" s="17"/>
      <c r="K34" s="17"/>
      <c r="L34" s="17"/>
      <c r="M34" s="17"/>
      <c r="N34" s="17"/>
      <c r="O34" s="17"/>
      <c r="P34" s="17"/>
      <c r="Q34" s="17"/>
      <c r="R34" s="17"/>
      <c r="S34" s="17"/>
      <c r="T34" s="18"/>
    </row>
    <row r="35" spans="2:20">
      <c r="B35" s="16"/>
      <c r="C35" s="17"/>
      <c r="D35" s="17"/>
      <c r="E35" s="17"/>
      <c r="F35" s="17"/>
      <c r="G35" s="17"/>
      <c r="H35" s="17"/>
      <c r="I35" s="17"/>
      <c r="J35" s="17"/>
      <c r="K35" s="17"/>
      <c r="L35" s="17"/>
      <c r="M35" s="17"/>
      <c r="N35" s="17"/>
      <c r="O35" s="17"/>
      <c r="P35" s="17"/>
      <c r="Q35" s="17"/>
      <c r="R35" s="17"/>
      <c r="S35" s="17"/>
      <c r="T35" s="18"/>
    </row>
    <row r="36" spans="2:20">
      <c r="B36" s="16"/>
      <c r="C36" s="19" t="s">
        <v>126</v>
      </c>
      <c r="D36" s="17"/>
      <c r="E36" s="17"/>
      <c r="F36" s="17"/>
      <c r="G36" s="17"/>
      <c r="H36" s="17"/>
      <c r="I36" s="17"/>
      <c r="J36" s="17"/>
      <c r="K36" s="17"/>
      <c r="L36" s="17"/>
      <c r="M36" s="17"/>
      <c r="N36" s="17"/>
      <c r="O36" s="17"/>
      <c r="P36" s="17"/>
      <c r="Q36" s="17"/>
      <c r="R36" s="17"/>
      <c r="S36" s="17"/>
      <c r="T36" s="18"/>
    </row>
    <row r="37" spans="2:20">
      <c r="B37" s="16"/>
      <c r="C37" s="17"/>
      <c r="D37" s="17" t="s">
        <v>127</v>
      </c>
      <c r="E37" s="17"/>
      <c r="F37" s="17"/>
      <c r="G37" s="17"/>
      <c r="H37" s="17"/>
      <c r="I37" s="17"/>
      <c r="J37" s="17"/>
      <c r="K37" s="17"/>
      <c r="L37" s="17"/>
      <c r="M37" s="17"/>
      <c r="N37" s="17"/>
      <c r="O37" s="17"/>
      <c r="P37" s="17"/>
      <c r="Q37" s="17"/>
      <c r="R37" s="17"/>
      <c r="S37" s="17"/>
      <c r="T37" s="18"/>
    </row>
    <row r="38" spans="2:20">
      <c r="B38" s="16"/>
      <c r="C38" s="17"/>
      <c r="D38" s="17" t="s">
        <v>128</v>
      </c>
      <c r="E38" s="17"/>
      <c r="F38" s="17"/>
      <c r="G38" s="17"/>
      <c r="H38" s="17"/>
      <c r="I38" s="17"/>
      <c r="J38" s="17"/>
      <c r="K38" s="17"/>
      <c r="L38" s="17"/>
      <c r="M38" s="17"/>
      <c r="N38" s="17"/>
      <c r="O38" s="17"/>
      <c r="P38" s="17"/>
      <c r="Q38" s="17"/>
      <c r="R38" s="17"/>
      <c r="S38" s="17"/>
      <c r="T38" s="18"/>
    </row>
    <row r="39" spans="2:20">
      <c r="B39" s="16"/>
      <c r="C39" s="17"/>
      <c r="D39" s="17" t="s">
        <v>129</v>
      </c>
      <c r="E39" s="17"/>
      <c r="F39" s="17"/>
      <c r="G39" s="17"/>
      <c r="H39" s="17"/>
      <c r="I39" s="17"/>
      <c r="J39" s="17"/>
      <c r="K39" s="17"/>
      <c r="L39" s="17"/>
      <c r="M39" s="17"/>
      <c r="N39" s="17"/>
      <c r="O39" s="17"/>
      <c r="P39" s="17"/>
      <c r="Q39" s="17"/>
      <c r="R39" s="17"/>
      <c r="S39" s="17"/>
      <c r="T39" s="18"/>
    </row>
    <row r="40" spans="2:20">
      <c r="B40" s="16"/>
      <c r="C40" s="17"/>
      <c r="D40" s="17" t="s">
        <v>1153</v>
      </c>
      <c r="E40" s="17"/>
      <c r="F40" s="17"/>
      <c r="G40" s="17"/>
      <c r="H40" s="17"/>
      <c r="I40" s="17"/>
      <c r="J40" s="17"/>
      <c r="K40" s="17"/>
      <c r="L40" s="17"/>
      <c r="M40" s="17"/>
      <c r="N40" s="17"/>
      <c r="O40" s="17"/>
      <c r="P40" s="17"/>
      <c r="Q40" s="17"/>
      <c r="R40" s="17"/>
      <c r="S40" s="17"/>
      <c r="T40" s="18"/>
    </row>
    <row r="41" spans="2:20">
      <c r="B41" s="16"/>
      <c r="C41" s="17"/>
      <c r="D41" s="17"/>
      <c r="E41" s="17"/>
      <c r="F41" s="17"/>
      <c r="G41" s="17"/>
      <c r="H41" s="17"/>
      <c r="I41" s="17"/>
      <c r="J41" s="17"/>
      <c r="K41" s="17"/>
      <c r="L41" s="17"/>
      <c r="M41" s="17"/>
      <c r="N41" s="17"/>
      <c r="O41" s="17"/>
      <c r="P41" s="17"/>
      <c r="Q41" s="17"/>
      <c r="R41" s="17"/>
      <c r="S41" s="17"/>
      <c r="T41" s="18"/>
    </row>
    <row r="42" spans="2:20">
      <c r="B42" s="16"/>
      <c r="C42" s="19" t="s">
        <v>130</v>
      </c>
      <c r="D42" s="17"/>
      <c r="E42" s="17"/>
      <c r="F42" s="17"/>
      <c r="G42" s="17"/>
      <c r="H42" s="17"/>
      <c r="I42" s="17"/>
      <c r="J42" s="17"/>
      <c r="K42" s="17"/>
      <c r="L42" s="17"/>
      <c r="M42" s="17"/>
      <c r="N42" s="17"/>
      <c r="O42" s="17"/>
      <c r="P42" s="17"/>
      <c r="Q42" s="17"/>
      <c r="R42" s="17"/>
      <c r="S42" s="17"/>
      <c r="T42" s="18"/>
    </row>
    <row r="43" spans="2:20">
      <c r="B43" s="16"/>
      <c r="C43" s="17"/>
      <c r="D43" s="17" t="s">
        <v>131</v>
      </c>
      <c r="E43" s="17"/>
      <c r="F43" s="17"/>
      <c r="G43" s="17"/>
      <c r="H43" s="17"/>
      <c r="I43" s="17"/>
      <c r="J43" s="17"/>
      <c r="K43" s="17"/>
      <c r="L43" s="17"/>
      <c r="M43" s="17"/>
      <c r="N43" s="17"/>
      <c r="O43" s="17"/>
      <c r="P43" s="17"/>
      <c r="Q43" s="17"/>
      <c r="R43" s="17"/>
      <c r="S43" s="17"/>
      <c r="T43" s="18"/>
    </row>
    <row r="44" spans="2:20">
      <c r="B44" s="16"/>
      <c r="C44" s="17"/>
      <c r="D44" s="17" t="s">
        <v>1154</v>
      </c>
      <c r="E44" s="17"/>
      <c r="F44" s="17"/>
      <c r="G44" s="17"/>
      <c r="H44" s="17"/>
      <c r="I44" s="17"/>
      <c r="J44" s="17"/>
      <c r="K44" s="17"/>
      <c r="L44" s="17"/>
      <c r="M44" s="17"/>
      <c r="N44" s="17"/>
      <c r="O44" s="17"/>
      <c r="P44" s="17"/>
      <c r="Q44" s="17"/>
      <c r="R44" s="17"/>
      <c r="S44" s="17"/>
      <c r="T44" s="18"/>
    </row>
    <row r="45" spans="2:20">
      <c r="B45" s="16"/>
      <c r="C45" s="17"/>
      <c r="D45" s="17" t="s">
        <v>132</v>
      </c>
      <c r="E45" s="17"/>
      <c r="F45" s="17"/>
      <c r="G45" s="17"/>
      <c r="H45" s="17"/>
      <c r="I45" s="17"/>
      <c r="J45" s="17"/>
      <c r="K45" s="17"/>
      <c r="L45" s="17"/>
      <c r="M45" s="17"/>
      <c r="N45" s="17"/>
      <c r="O45" s="17"/>
      <c r="P45" s="17"/>
      <c r="Q45" s="17"/>
      <c r="R45" s="17"/>
      <c r="S45" s="17"/>
      <c r="T45" s="18"/>
    </row>
    <row r="46" spans="2:20">
      <c r="B46" s="16"/>
      <c r="C46" s="17"/>
      <c r="D46" s="17" t="s">
        <v>133</v>
      </c>
      <c r="E46" s="17"/>
      <c r="F46" s="17"/>
      <c r="G46" s="17"/>
      <c r="H46" s="17"/>
      <c r="I46" s="17"/>
      <c r="J46" s="17"/>
      <c r="K46" s="17"/>
      <c r="L46" s="17"/>
      <c r="M46" s="17"/>
      <c r="N46" s="17"/>
      <c r="O46" s="17"/>
      <c r="P46" s="17"/>
      <c r="Q46" s="17"/>
      <c r="R46" s="17"/>
      <c r="S46" s="17"/>
      <c r="T46" s="18"/>
    </row>
    <row r="47" spans="2:20">
      <c r="B47" s="16"/>
      <c r="C47" s="17"/>
      <c r="D47" s="17" t="s">
        <v>134</v>
      </c>
      <c r="E47" s="17"/>
      <c r="F47" s="17"/>
      <c r="G47" s="17"/>
      <c r="H47" s="17"/>
      <c r="I47" s="17"/>
      <c r="J47" s="17"/>
      <c r="K47" s="17"/>
      <c r="L47" s="17"/>
      <c r="M47" s="17"/>
      <c r="N47" s="17"/>
      <c r="O47" s="17"/>
      <c r="P47" s="17"/>
      <c r="Q47" s="17"/>
      <c r="R47" s="17"/>
      <c r="S47" s="17"/>
      <c r="T47" s="18"/>
    </row>
    <row r="48" spans="2:20">
      <c r="B48" s="16"/>
      <c r="C48" s="17"/>
      <c r="D48" s="17" t="s">
        <v>1155</v>
      </c>
      <c r="E48" s="17"/>
      <c r="F48" s="17"/>
      <c r="G48" s="17"/>
      <c r="H48" s="17"/>
      <c r="I48" s="17"/>
      <c r="J48" s="17"/>
      <c r="K48" s="17"/>
      <c r="L48" s="17"/>
      <c r="M48" s="17"/>
      <c r="N48" s="17"/>
      <c r="O48" s="17"/>
      <c r="P48" s="17"/>
      <c r="Q48" s="17"/>
      <c r="R48" s="17"/>
      <c r="S48" s="17"/>
      <c r="T48" s="18"/>
    </row>
    <row r="49" spans="2:20">
      <c r="B49" s="16"/>
      <c r="C49" s="17"/>
      <c r="D49" s="17" t="s">
        <v>135</v>
      </c>
      <c r="E49" s="17"/>
      <c r="F49" s="17"/>
      <c r="G49" s="17"/>
      <c r="H49" s="17"/>
      <c r="I49" s="17"/>
      <c r="J49" s="17"/>
      <c r="K49" s="17"/>
      <c r="L49" s="17"/>
      <c r="M49" s="17"/>
      <c r="N49" s="17"/>
      <c r="O49" s="17"/>
      <c r="P49" s="17"/>
      <c r="Q49" s="17"/>
      <c r="R49" s="17"/>
      <c r="S49" s="17"/>
      <c r="T49" s="18"/>
    </row>
    <row r="50" spans="2:20">
      <c r="B50" s="16"/>
      <c r="C50" s="17"/>
      <c r="D50" s="17" t="s">
        <v>136</v>
      </c>
      <c r="E50" s="17"/>
      <c r="F50" s="17"/>
      <c r="G50" s="17"/>
      <c r="H50" s="17"/>
      <c r="I50" s="17"/>
      <c r="J50" s="17"/>
      <c r="K50" s="17"/>
      <c r="L50" s="17"/>
      <c r="M50" s="17"/>
      <c r="N50" s="17"/>
      <c r="O50" s="17"/>
      <c r="P50" s="17"/>
      <c r="Q50" s="17"/>
      <c r="R50" s="17"/>
      <c r="S50" s="17"/>
      <c r="T50" s="18"/>
    </row>
    <row r="51" spans="2:20" ht="15.75" thickBot="1">
      <c r="B51" s="20"/>
      <c r="C51" s="21"/>
      <c r="D51" s="21"/>
      <c r="E51" s="21"/>
      <c r="F51" s="21"/>
      <c r="G51" s="21"/>
      <c r="H51" s="21"/>
      <c r="I51" s="21"/>
      <c r="J51" s="21"/>
      <c r="K51" s="21"/>
      <c r="L51" s="21"/>
      <c r="M51" s="21"/>
      <c r="N51" s="21"/>
      <c r="O51" s="21"/>
      <c r="P51" s="21"/>
      <c r="Q51" s="21"/>
      <c r="R51" s="21"/>
      <c r="S51" s="21"/>
      <c r="T51" s="22"/>
    </row>
    <row r="52" spans="2:20" ht="15.75" thickTop="1"/>
  </sheetData>
  <mergeCells count="1">
    <mergeCell ref="B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7"/>
  <sheetViews>
    <sheetView workbookViewId="0">
      <selection activeCell="B38" sqref="B38"/>
    </sheetView>
  </sheetViews>
  <sheetFormatPr defaultRowHeight="15"/>
  <cols>
    <col min="5" max="5" width="39.85546875" bestFit="1" customWidth="1"/>
    <col min="6" max="6" width="23.85546875" bestFit="1" customWidth="1"/>
    <col min="7" max="7" width="17.7109375" customWidth="1"/>
    <col min="8" max="8" width="38.42578125" bestFit="1" customWidth="1"/>
    <col min="12" max="12" width="35.140625" customWidth="1"/>
  </cols>
  <sheetData>
    <row r="2" spans="2:15">
      <c r="E2" t="s">
        <v>169</v>
      </c>
      <c r="H2" t="s">
        <v>166</v>
      </c>
      <c r="L2" t="s">
        <v>146</v>
      </c>
      <c r="O2" t="s">
        <v>152</v>
      </c>
    </row>
    <row r="3" spans="2:15">
      <c r="B3" t="s">
        <v>35</v>
      </c>
      <c r="E3" t="s">
        <v>38</v>
      </c>
      <c r="H3" t="s">
        <v>167</v>
      </c>
      <c r="L3" t="s">
        <v>147</v>
      </c>
      <c r="O3" t="s">
        <v>153</v>
      </c>
    </row>
    <row r="4" spans="2:15">
      <c r="B4" t="s">
        <v>43</v>
      </c>
      <c r="E4" t="s">
        <v>170</v>
      </c>
      <c r="H4" t="s">
        <v>36</v>
      </c>
      <c r="L4" t="s">
        <v>148</v>
      </c>
      <c r="O4" t="s">
        <v>154</v>
      </c>
    </row>
    <row r="5" spans="2:15">
      <c r="B5" t="s">
        <v>37</v>
      </c>
      <c r="E5" t="s">
        <v>41</v>
      </c>
      <c r="H5" t="s">
        <v>168</v>
      </c>
      <c r="L5" t="s">
        <v>149</v>
      </c>
    </row>
    <row r="6" spans="2:15">
      <c r="B6" t="s">
        <v>40</v>
      </c>
      <c r="E6" t="s">
        <v>475</v>
      </c>
      <c r="H6" s="327" t="s">
        <v>526</v>
      </c>
      <c r="I6" s="327"/>
      <c r="J6" s="327"/>
      <c r="K6" s="327"/>
    </row>
    <row r="7" spans="2:15">
      <c r="H7" t="s">
        <v>475</v>
      </c>
    </row>
    <row r="8" spans="2:15">
      <c r="H8" t="s">
        <v>807</v>
      </c>
    </row>
    <row r="9" spans="2:15">
      <c r="H9" t="s">
        <v>808</v>
      </c>
    </row>
    <row r="12" spans="2:15">
      <c r="B12" t="s">
        <v>35</v>
      </c>
      <c r="E12" s="23">
        <v>41275</v>
      </c>
    </row>
    <row r="13" spans="2:15">
      <c r="B13" t="s">
        <v>43</v>
      </c>
      <c r="E13" s="23" t="e">
        <f>DATE+DATE(2013,1,1)</f>
        <v>#NAME?</v>
      </c>
      <c r="G13" t="s">
        <v>983</v>
      </c>
      <c r="H13" s="1072" t="s">
        <v>958</v>
      </c>
      <c r="I13" s="1072" t="s">
        <v>959</v>
      </c>
      <c r="L13" t="s">
        <v>642</v>
      </c>
    </row>
    <row r="14" spans="2:15">
      <c r="B14" t="s">
        <v>475</v>
      </c>
      <c r="G14" t="s">
        <v>984</v>
      </c>
      <c r="H14" s="1071" t="s">
        <v>44</v>
      </c>
      <c r="I14" s="1071">
        <v>1</v>
      </c>
      <c r="J14" t="s">
        <v>34</v>
      </c>
      <c r="L14" t="s">
        <v>640</v>
      </c>
    </row>
    <row r="15" spans="2:15">
      <c r="G15" t="s">
        <v>985</v>
      </c>
      <c r="H15" s="1071" t="s">
        <v>33</v>
      </c>
      <c r="I15" s="1071">
        <v>2</v>
      </c>
      <c r="J15" t="s">
        <v>45</v>
      </c>
      <c r="L15" t="s">
        <v>641</v>
      </c>
    </row>
    <row r="16" spans="2:15">
      <c r="B16" t="s">
        <v>475</v>
      </c>
      <c r="J16" t="s">
        <v>525</v>
      </c>
      <c r="L16" s="327" t="s">
        <v>508</v>
      </c>
    </row>
    <row r="17" spans="2:12">
      <c r="B17" s="326" t="s">
        <v>491</v>
      </c>
      <c r="J17" t="s">
        <v>47</v>
      </c>
      <c r="L17" t="s">
        <v>607</v>
      </c>
    </row>
    <row r="18" spans="2:12">
      <c r="B18" t="s">
        <v>492</v>
      </c>
      <c r="J18" t="s">
        <v>831</v>
      </c>
    </row>
    <row r="19" spans="2:12">
      <c r="B19" t="s">
        <v>493</v>
      </c>
      <c r="J19" t="s">
        <v>859</v>
      </c>
    </row>
    <row r="20" spans="2:12">
      <c r="B20" s="27" t="s">
        <v>494</v>
      </c>
      <c r="J20" t="s">
        <v>820</v>
      </c>
    </row>
    <row r="21" spans="2:12">
      <c r="E21" s="1073">
        <v>1</v>
      </c>
      <c r="F21" s="1073">
        <v>2</v>
      </c>
    </row>
    <row r="22" spans="2:12">
      <c r="E22" s="1072" t="s">
        <v>44</v>
      </c>
      <c r="F22" s="1072" t="s">
        <v>33</v>
      </c>
    </row>
    <row r="23" spans="2:12">
      <c r="E23" s="1071" t="s">
        <v>960</v>
      </c>
      <c r="F23" s="1071" t="s">
        <v>961</v>
      </c>
    </row>
    <row r="24" spans="2:12">
      <c r="E24" s="1071" t="s">
        <v>962</v>
      </c>
      <c r="F24" s="1071" t="s">
        <v>963</v>
      </c>
    </row>
    <row r="25" spans="2:12">
      <c r="E25" s="1071" t="s">
        <v>964</v>
      </c>
      <c r="F25" s="1071" t="s">
        <v>965</v>
      </c>
    </row>
    <row r="26" spans="2:12">
      <c r="E26" s="1071" t="s">
        <v>973</v>
      </c>
    </row>
    <row r="29" spans="2:12">
      <c r="B29" t="s">
        <v>1176</v>
      </c>
    </row>
    <row r="30" spans="2:12">
      <c r="B30" t="s">
        <v>1179</v>
      </c>
    </row>
    <row r="31" spans="2:12">
      <c r="B31" t="s">
        <v>1178</v>
      </c>
    </row>
    <row r="32" spans="2:12">
      <c r="B32" t="s">
        <v>1177</v>
      </c>
    </row>
    <row r="33" spans="2:2">
      <c r="B33" t="s">
        <v>1180</v>
      </c>
    </row>
    <row r="34" spans="2:2" s="1187" customFormat="1">
      <c r="B34" s="1187" t="s">
        <v>1184</v>
      </c>
    </row>
    <row r="35" spans="2:2">
      <c r="B35" t="s">
        <v>1181</v>
      </c>
    </row>
    <row r="36" spans="2:2">
      <c r="B36" t="s">
        <v>1182</v>
      </c>
    </row>
    <row r="37" spans="2:2">
      <c r="B37" t="s">
        <v>1183</v>
      </c>
    </row>
  </sheetData>
  <sortState ref="L13:L17">
    <sortCondition ref="L1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K19" sqref="K19"/>
    </sheetView>
  </sheetViews>
  <sheetFormatPr defaultColWidth="9.140625" defaultRowHeight="15"/>
  <cols>
    <col min="1" max="14" width="9.140625" style="14"/>
    <col min="15" max="15" width="16.42578125" style="14" customWidth="1"/>
    <col min="16" max="16384" width="9.140625" style="14"/>
  </cols>
  <sheetData/>
  <printOptions horizontalCentered="1" verticalCentered="1"/>
  <pageMargins left="0.17" right="0" top="0" bottom="0" header="0" footer="0"/>
  <pageSetup paperSize="9"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24"/>
  <sheetViews>
    <sheetView showGridLines="0" zoomScale="90" zoomScaleNormal="90" zoomScaleSheetLayoutView="80" zoomScalePageLayoutView="40" workbookViewId="0">
      <selection activeCell="B809" sqref="B809"/>
    </sheetView>
  </sheetViews>
  <sheetFormatPr defaultColWidth="8.85546875" defaultRowHeight="15"/>
  <cols>
    <col min="1" max="1" width="5.5703125" style="12" customWidth="1"/>
    <col min="2" max="2" width="26" style="12" customWidth="1"/>
    <col min="3" max="3" width="19.28515625" style="12" customWidth="1"/>
    <col min="4" max="4" width="9.140625" style="12" customWidth="1"/>
    <col min="5" max="5" width="9.85546875" style="12" customWidth="1"/>
    <col min="6" max="6" width="22.7109375" style="12" customWidth="1"/>
    <col min="7" max="7" width="16.5703125" style="12" customWidth="1"/>
    <col min="8" max="11" width="18.42578125" style="12" customWidth="1"/>
    <col min="12" max="12" width="11.28515625" style="12" customWidth="1"/>
    <col min="13" max="13" width="10.28515625" style="12" customWidth="1"/>
    <col min="14" max="14" width="8.85546875" style="12" customWidth="1"/>
    <col min="15" max="15" width="8.42578125" style="12" customWidth="1"/>
    <col min="16" max="16" width="8.5703125" style="12" customWidth="1"/>
    <col min="17" max="17" width="11.5703125" style="12" customWidth="1"/>
    <col min="18" max="18" width="6.85546875" style="12" customWidth="1"/>
    <col min="19" max="19" width="28" style="12" bestFit="1" customWidth="1"/>
    <col min="20" max="20" width="24.7109375" style="12" customWidth="1"/>
    <col min="21" max="21" width="7.7109375" style="12" customWidth="1"/>
    <col min="22" max="22" width="8.85546875" style="12" customWidth="1"/>
    <col min="23" max="23" width="8.5703125" style="12" customWidth="1"/>
    <col min="24" max="24" width="6.85546875" style="12" customWidth="1"/>
    <col min="25" max="25" width="27.85546875" style="12" bestFit="1" customWidth="1"/>
    <col min="26" max="26" width="17.85546875" style="12" bestFit="1" customWidth="1"/>
    <col min="27" max="27" width="7.85546875" style="12" customWidth="1"/>
    <col min="28" max="28" width="11.5703125" style="12" bestFit="1" customWidth="1"/>
    <col min="29" max="29" width="6.85546875" style="12" customWidth="1"/>
    <col min="30" max="30" width="21" style="12" bestFit="1" customWidth="1"/>
    <col min="31" max="31" width="11.28515625" style="12" bestFit="1" customWidth="1"/>
    <col min="32" max="36" width="8.85546875" style="12"/>
    <col min="37" max="37" width="21.85546875" style="12" customWidth="1"/>
    <col min="38" max="40" width="15.28515625" style="12" customWidth="1"/>
    <col min="41" max="44" width="8.85546875" style="12"/>
    <col min="45" max="48" width="15" style="12" customWidth="1"/>
    <col min="49" max="16384" width="8.85546875" style="12"/>
  </cols>
  <sheetData>
    <row r="1" spans="2:14" s="9" customFormat="1" ht="15.75" thickBot="1">
      <c r="C1" s="10"/>
      <c r="D1" s="10"/>
      <c r="E1" s="10"/>
    </row>
    <row r="2" spans="2:14" s="9" customFormat="1" ht="70.150000000000006" customHeight="1" thickBot="1">
      <c r="B2" s="1223" t="s">
        <v>93</v>
      </c>
      <c r="C2" s="1224"/>
      <c r="D2" s="1224"/>
      <c r="E2" s="1224"/>
      <c r="F2" s="1224"/>
      <c r="G2" s="1224"/>
      <c r="H2" s="1224"/>
      <c r="I2" s="1224"/>
      <c r="J2" s="1225"/>
      <c r="K2" s="24"/>
      <c r="L2" s="24"/>
      <c r="M2" s="24"/>
    </row>
    <row r="3" spans="2:14" s="9" customFormat="1" ht="54" customHeight="1">
      <c r="C3" s="10"/>
      <c r="D3" s="10"/>
      <c r="E3" s="10"/>
    </row>
    <row r="4" spans="2:14" s="9" customFormat="1" ht="36.75" customHeight="1">
      <c r="B4" s="1208" t="s">
        <v>94</v>
      </c>
      <c r="C4" s="1209"/>
      <c r="D4" s="1209"/>
      <c r="E4" s="1209"/>
      <c r="F4" s="1209"/>
      <c r="G4" s="1209"/>
      <c r="H4" s="1209"/>
      <c r="I4" s="1209"/>
      <c r="J4" s="1210"/>
      <c r="K4" s="32"/>
      <c r="L4"/>
      <c r="M4"/>
    </row>
    <row r="5" spans="2:14">
      <c r="L5" s="327"/>
      <c r="M5" s="327"/>
    </row>
    <row r="6" spans="2:14">
      <c r="L6" s="327"/>
      <c r="M6" s="327"/>
      <c r="N6" s="327"/>
    </row>
    <row r="7" spans="2:14" ht="15.75" thickBot="1">
      <c r="B7"/>
      <c r="C7"/>
      <c r="D7" s="360"/>
      <c r="E7" s="360"/>
      <c r="L7" s="327"/>
      <c r="M7" s="327"/>
      <c r="N7" s="327"/>
    </row>
    <row r="8" spans="2:14" ht="29.25" customHeight="1" thickBot="1">
      <c r="B8" s="384" t="s">
        <v>163</v>
      </c>
      <c r="C8" s="401" t="s">
        <v>640</v>
      </c>
      <c r="D8" s="1226" t="s">
        <v>543</v>
      </c>
      <c r="E8" s="1227"/>
      <c r="L8" s="327"/>
      <c r="M8" s="327"/>
      <c r="N8" s="327"/>
    </row>
    <row r="9" spans="2:14">
      <c r="B9" s="56"/>
      <c r="C9" s="379"/>
      <c r="D9" s="379"/>
      <c r="E9" s="379"/>
      <c r="L9" s="327"/>
      <c r="M9" s="327"/>
      <c r="N9" s="327"/>
    </row>
    <row r="10" spans="2:14">
      <c r="B10" s="15"/>
      <c r="C10" s="15" t="s">
        <v>140</v>
      </c>
      <c r="D10" s="15"/>
      <c r="E10" s="15"/>
      <c r="L10" s="327"/>
      <c r="M10" s="327"/>
      <c r="N10" s="327"/>
    </row>
    <row r="11" spans="2:14" ht="60">
      <c r="B11" s="400" t="s">
        <v>530</v>
      </c>
      <c r="C11" s="380" t="s">
        <v>540</v>
      </c>
      <c r="D11" s="380" t="s">
        <v>541</v>
      </c>
      <c r="E11" s="380" t="s">
        <v>542</v>
      </c>
      <c r="F11" s="363"/>
      <c r="L11" s="327"/>
      <c r="M11" s="327"/>
      <c r="N11" s="327"/>
    </row>
    <row r="12" spans="2:14" ht="23.25" customHeight="1">
      <c r="B12" s="401" t="s">
        <v>34</v>
      </c>
      <c r="C12" s="382">
        <v>0.91794301286694957</v>
      </c>
      <c r="D12" s="382">
        <v>0.77824347166166474</v>
      </c>
      <c r="E12" s="382">
        <v>0.3203894580703025</v>
      </c>
      <c r="L12" s="327"/>
      <c r="M12" s="327"/>
      <c r="N12" s="327"/>
    </row>
    <row r="13" spans="2:14" ht="23.25" customHeight="1">
      <c r="B13" s="401" t="s">
        <v>45</v>
      </c>
      <c r="C13" s="382">
        <v>0.97441811700566161</v>
      </c>
      <c r="D13" s="382">
        <v>0.95198154749423358</v>
      </c>
      <c r="E13" s="382">
        <v>0.49536590480184517</v>
      </c>
      <c r="L13" s="327"/>
      <c r="M13" s="327"/>
      <c r="N13" s="327"/>
    </row>
    <row r="14" spans="2:14" ht="23.25" customHeight="1">
      <c r="B14" s="401" t="s">
        <v>47</v>
      </c>
      <c r="C14" s="382">
        <v>1</v>
      </c>
      <c r="D14" s="382">
        <v>1</v>
      </c>
      <c r="E14" s="382">
        <v>0</v>
      </c>
      <c r="L14" s="327"/>
      <c r="M14" s="327"/>
      <c r="N14" s="327"/>
    </row>
    <row r="15" spans="2:14" ht="23.25" customHeight="1">
      <c r="B15" s="399" t="s">
        <v>86</v>
      </c>
      <c r="C15" s="382">
        <v>0.92047826912127539</v>
      </c>
      <c r="D15" s="382">
        <v>0.78592588313928058</v>
      </c>
      <c r="E15" s="382">
        <v>0.32605378464686796</v>
      </c>
      <c r="L15" s="327"/>
      <c r="M15" s="327"/>
      <c r="N15" s="327"/>
    </row>
    <row r="16" spans="2:14">
      <c r="B16"/>
      <c r="C16"/>
      <c r="D16"/>
      <c r="E16"/>
      <c r="L16" s="327"/>
      <c r="M16" s="327"/>
      <c r="N16" s="327"/>
    </row>
    <row r="17" spans="2:14">
      <c r="B17"/>
      <c r="C17"/>
      <c r="D17"/>
      <c r="E17"/>
      <c r="L17" s="327"/>
      <c r="M17" s="327"/>
      <c r="N17" s="327"/>
    </row>
    <row r="18" spans="2:14">
      <c r="B18"/>
      <c r="C18"/>
      <c r="D18"/>
      <c r="E18"/>
      <c r="L18" s="327"/>
      <c r="M18" s="327"/>
      <c r="N18" s="327"/>
    </row>
    <row r="19" spans="2:14">
      <c r="B19"/>
      <c r="C19"/>
      <c r="D19"/>
      <c r="E19"/>
      <c r="L19" s="327"/>
      <c r="M19" s="327"/>
      <c r="N19" s="327"/>
    </row>
    <row r="20" spans="2:14">
      <c r="B20"/>
      <c r="C20"/>
      <c r="D20"/>
      <c r="E20"/>
      <c r="L20"/>
      <c r="M20"/>
      <c r="N20"/>
    </row>
    <row r="21" spans="2:14">
      <c r="B21"/>
      <c r="C21"/>
      <c r="D21"/>
      <c r="E21"/>
      <c r="L21"/>
      <c r="M21"/>
      <c r="N21"/>
    </row>
    <row r="22" spans="2:14">
      <c r="L22" s="327"/>
      <c r="M22" s="327"/>
      <c r="N22" s="327"/>
    </row>
    <row r="23" spans="2:14" ht="15.75" thickBot="1">
      <c r="B23"/>
      <c r="C23"/>
      <c r="D23" s="360"/>
      <c r="E23" s="360"/>
      <c r="L23" s="327"/>
      <c r="M23" s="327"/>
      <c r="N23" s="327"/>
    </row>
    <row r="24" spans="2:14" ht="33" customHeight="1" thickBot="1">
      <c r="B24" s="384" t="s">
        <v>163</v>
      </c>
      <c r="C24" s="56" t="s">
        <v>85</v>
      </c>
      <c r="D24" s="1226" t="s">
        <v>544</v>
      </c>
      <c r="E24" s="1227"/>
      <c r="L24" s="327"/>
      <c r="M24" s="327"/>
      <c r="N24" s="327"/>
    </row>
    <row r="25" spans="2:14">
      <c r="B25" s="56"/>
      <c r="C25" s="379"/>
      <c r="D25" s="379"/>
      <c r="E25" s="379"/>
      <c r="L25" s="327"/>
      <c r="M25" s="327"/>
      <c r="N25" s="327"/>
    </row>
    <row r="26" spans="2:14">
      <c r="B26" s="56"/>
      <c r="C26" s="56" t="s">
        <v>140</v>
      </c>
      <c r="D26" s="56"/>
      <c r="E26" s="56"/>
      <c r="L26" s="327"/>
      <c r="M26" s="327"/>
      <c r="N26" s="327"/>
    </row>
    <row r="27" spans="2:14" ht="45">
      <c r="B27" s="384" t="s">
        <v>530</v>
      </c>
      <c r="C27" s="380" t="s">
        <v>540</v>
      </c>
      <c r="D27" s="380" t="s">
        <v>541</v>
      </c>
      <c r="E27" s="380" t="s">
        <v>542</v>
      </c>
      <c r="F27" s="363"/>
      <c r="L27" s="327"/>
      <c r="M27" s="327"/>
      <c r="N27" s="327"/>
    </row>
    <row r="28" spans="2:14" ht="23.25" customHeight="1">
      <c r="B28" s="550" t="s">
        <v>70</v>
      </c>
      <c r="C28" s="382">
        <v>0.98977115117891812</v>
      </c>
      <c r="D28" s="382">
        <v>0.46601941747572817</v>
      </c>
      <c r="E28" s="382">
        <v>3.8834951456310678E-3</v>
      </c>
      <c r="L28" s="327"/>
      <c r="M28" s="327"/>
      <c r="N28" s="327"/>
    </row>
    <row r="29" spans="2:14" ht="23.25" customHeight="1">
      <c r="B29" s="550" t="s">
        <v>415</v>
      </c>
      <c r="C29" s="382">
        <v>0</v>
      </c>
      <c r="D29" s="382">
        <v>9.942351412796363E-2</v>
      </c>
      <c r="E29" s="382">
        <v>0</v>
      </c>
      <c r="L29" s="327"/>
      <c r="M29" s="327"/>
      <c r="N29" s="327"/>
    </row>
    <row r="30" spans="2:14" ht="23.25" customHeight="1">
      <c r="B30" s="550" t="s">
        <v>32</v>
      </c>
      <c r="C30" s="382">
        <v>0.70732689210950084</v>
      </c>
      <c r="D30" s="382">
        <v>0.1878690284487386</v>
      </c>
      <c r="E30" s="382">
        <v>3.7573805689747712E-3</v>
      </c>
      <c r="L30" s="327"/>
      <c r="M30" s="327"/>
      <c r="N30" s="327"/>
    </row>
    <row r="31" spans="2:14" ht="23.25" customHeight="1">
      <c r="B31" s="550" t="s">
        <v>46</v>
      </c>
      <c r="C31" s="382">
        <v>0.6476879521862221</v>
      </c>
      <c r="D31" s="382">
        <v>9.0437244416483167E-2</v>
      </c>
      <c r="E31" s="382">
        <v>0</v>
      </c>
      <c r="L31" s="327"/>
      <c r="M31" s="327"/>
      <c r="N31" s="327"/>
    </row>
    <row r="32" spans="2:14">
      <c r="B32" s="550" t="s">
        <v>171</v>
      </c>
      <c r="C32" s="382">
        <v>0.20605395016816527</v>
      </c>
      <c r="D32" s="382">
        <v>0.20845631134600864</v>
      </c>
      <c r="E32" s="382">
        <v>0.18519321847758938</v>
      </c>
      <c r="L32" s="327"/>
      <c r="M32" s="327"/>
      <c r="N32" s="327"/>
    </row>
    <row r="33" spans="2:14">
      <c r="B33" s="550" t="s">
        <v>51</v>
      </c>
      <c r="C33" s="382">
        <v>0.63190244590117706</v>
      </c>
      <c r="D33" s="382">
        <v>0.8147247480087404</v>
      </c>
      <c r="E33" s="382">
        <v>8.8905335870867699E-2</v>
      </c>
      <c r="L33" s="327"/>
      <c r="M33" s="327"/>
      <c r="N33" s="327"/>
    </row>
    <row r="34" spans="2:14">
      <c r="B34" s="550" t="s">
        <v>72</v>
      </c>
      <c r="C34" s="382">
        <v>6.8283470827949513E-2</v>
      </c>
      <c r="D34" s="382">
        <v>3.0513865420932314E-2</v>
      </c>
      <c r="E34" s="382">
        <v>4.4528376900904477E-3</v>
      </c>
      <c r="L34" s="327"/>
      <c r="M34" s="327"/>
      <c r="N34" s="327"/>
    </row>
    <row r="35" spans="2:14">
      <c r="B35" s="550" t="s">
        <v>64</v>
      </c>
      <c r="C35" s="382">
        <v>0.33970307578284237</v>
      </c>
      <c r="D35" s="382">
        <v>0.15155642023346302</v>
      </c>
      <c r="E35" s="382">
        <v>3.1128404669260701E-2</v>
      </c>
      <c r="L35" s="327"/>
      <c r="M35" s="327"/>
      <c r="N35" s="327"/>
    </row>
    <row r="36" spans="2:14">
      <c r="B36" s="550" t="s">
        <v>75</v>
      </c>
      <c r="C36" s="382">
        <v>1</v>
      </c>
      <c r="D36" s="382">
        <v>0.61656669182589807</v>
      </c>
      <c r="E36" s="382">
        <v>0.21918722440710284</v>
      </c>
      <c r="L36" s="327"/>
      <c r="M36" s="327"/>
      <c r="N36" s="327"/>
    </row>
    <row r="37" spans="2:14">
      <c r="B37" s="381" t="s">
        <v>598</v>
      </c>
      <c r="C37" s="382">
        <v>9.9413460582562882E-2</v>
      </c>
      <c r="D37" s="382">
        <v>0.1025946913212049</v>
      </c>
      <c r="E37" s="382">
        <v>0</v>
      </c>
      <c r="L37" s="327"/>
      <c r="M37" s="327"/>
      <c r="N37" s="327"/>
    </row>
    <row r="38" spans="2:14">
      <c r="B38" s="381" t="s">
        <v>817</v>
      </c>
      <c r="C38" s="382">
        <v>0.31157623445340416</v>
      </c>
      <c r="D38" s="382">
        <v>0.66932854325712166</v>
      </c>
      <c r="E38" s="382">
        <v>0</v>
      </c>
      <c r="L38" s="327"/>
      <c r="M38" s="327"/>
      <c r="N38" s="327"/>
    </row>
    <row r="39" spans="2:14">
      <c r="B39" s="381" t="s">
        <v>749</v>
      </c>
      <c r="C39" s="382">
        <v>0.82740176073509408</v>
      </c>
      <c r="D39" s="382">
        <v>0.42476322476322476</v>
      </c>
      <c r="E39" s="382">
        <v>0</v>
      </c>
      <c r="L39" s="327"/>
      <c r="M39" s="327"/>
      <c r="N39" s="327"/>
    </row>
    <row r="40" spans="2:14" ht="15.75" thickBot="1">
      <c r="B40" s="383" t="s">
        <v>86</v>
      </c>
      <c r="C40" s="382">
        <v>0.65943980041077566</v>
      </c>
      <c r="D40" s="382">
        <v>0.47520849423671496</v>
      </c>
      <c r="E40" s="382">
        <v>9.6338541527081725E-2</v>
      </c>
    </row>
    <row r="41" spans="2:14" ht="15.75" customHeight="1">
      <c r="B41" s="56" t="s">
        <v>163</v>
      </c>
      <c r="C41" s="56" t="s">
        <v>345</v>
      </c>
      <c r="D41" s="1215" t="s">
        <v>545</v>
      </c>
      <c r="E41" s="1216"/>
    </row>
    <row r="42" spans="2:14" ht="15.75" thickBot="1">
      <c r="B42" s="56" t="s">
        <v>8</v>
      </c>
      <c r="C42" s="385" t="s">
        <v>415</v>
      </c>
      <c r="D42" s="1217"/>
      <c r="E42" s="1218"/>
    </row>
    <row r="43" spans="2:14">
      <c r="B43" s="56"/>
      <c r="C43" s="379"/>
      <c r="D43" s="379"/>
      <c r="E43" s="379"/>
    </row>
    <row r="44" spans="2:14">
      <c r="B44" s="56"/>
      <c r="C44" s="56" t="s">
        <v>140</v>
      </c>
      <c r="D44" s="56"/>
      <c r="E44" s="56"/>
    </row>
    <row r="45" spans="2:14" ht="45">
      <c r="B45" s="56" t="s">
        <v>686</v>
      </c>
      <c r="C45" s="380" t="s">
        <v>531</v>
      </c>
      <c r="D45" s="380" t="s">
        <v>532</v>
      </c>
      <c r="E45" s="380" t="s">
        <v>533</v>
      </c>
    </row>
    <row r="46" spans="2:14">
      <c r="B46" s="381" t="s">
        <v>59</v>
      </c>
      <c r="C46" s="382">
        <v>0</v>
      </c>
      <c r="D46" s="382">
        <v>0.17204301075268819</v>
      </c>
      <c r="E46" s="382">
        <v>0</v>
      </c>
    </row>
    <row r="47" spans="2:14">
      <c r="B47" s="381" t="s">
        <v>518</v>
      </c>
      <c r="C47" s="382">
        <v>0</v>
      </c>
      <c r="D47" s="382">
        <v>8.43585237258348E-2</v>
      </c>
      <c r="E47" s="382">
        <v>0</v>
      </c>
    </row>
    <row r="48" spans="2:14">
      <c r="B48" s="381" t="s">
        <v>60</v>
      </c>
      <c r="C48" s="382">
        <v>0</v>
      </c>
      <c r="D48" s="382">
        <v>0.14566929133858267</v>
      </c>
      <c r="E48" s="382">
        <v>0</v>
      </c>
    </row>
    <row r="49" spans="2:7">
      <c r="B49" s="381" t="s">
        <v>58</v>
      </c>
      <c r="C49" s="382">
        <v>0</v>
      </c>
      <c r="D49" s="382">
        <v>0.23400936037441497</v>
      </c>
      <c r="E49" s="382">
        <v>0</v>
      </c>
      <c r="F49" s="357"/>
      <c r="G49" s="357"/>
    </row>
    <row r="50" spans="2:7">
      <c r="B50" s="381" t="s">
        <v>57</v>
      </c>
      <c r="C50" s="382">
        <v>0</v>
      </c>
      <c r="D50" s="382">
        <v>6.3104753891459822E-2</v>
      </c>
      <c r="E50" s="382">
        <v>0</v>
      </c>
      <c r="F50" s="357"/>
      <c r="G50" s="357"/>
    </row>
    <row r="51" spans="2:7">
      <c r="B51" s="381" t="s">
        <v>63</v>
      </c>
      <c r="C51" s="382">
        <v>0</v>
      </c>
      <c r="D51" s="382">
        <v>0.11392405063291139</v>
      </c>
      <c r="E51" s="382">
        <v>0</v>
      </c>
      <c r="F51" s="357"/>
      <c r="G51" s="357"/>
    </row>
    <row r="52" spans="2:7">
      <c r="B52" s="381" t="s">
        <v>61</v>
      </c>
      <c r="C52" s="382">
        <v>0</v>
      </c>
      <c r="D52" s="382">
        <v>0.122568093385214</v>
      </c>
      <c r="E52" s="382">
        <v>0</v>
      </c>
      <c r="F52" s="357"/>
      <c r="G52" s="357"/>
    </row>
    <row r="53" spans="2:7">
      <c r="B53" s="381" t="s">
        <v>62</v>
      </c>
      <c r="C53" s="382">
        <v>0</v>
      </c>
      <c r="D53" s="382">
        <v>0.32653061224489793</v>
      </c>
      <c r="E53" s="382">
        <v>0</v>
      </c>
      <c r="F53" s="357"/>
      <c r="G53" s="357"/>
    </row>
    <row r="54" spans="2:7">
      <c r="B54" s="381" t="s">
        <v>633</v>
      </c>
      <c r="C54" s="382">
        <v>0</v>
      </c>
      <c r="D54" s="382">
        <v>0</v>
      </c>
      <c r="E54" s="382">
        <v>0</v>
      </c>
      <c r="F54" s="357"/>
      <c r="G54" s="357"/>
    </row>
    <row r="55" spans="2:7">
      <c r="B55" s="381" t="s">
        <v>634</v>
      </c>
      <c r="C55" s="382">
        <v>0</v>
      </c>
      <c r="D55" s="382">
        <v>7.7195239626889674E-3</v>
      </c>
      <c r="E55" s="382">
        <v>0</v>
      </c>
      <c r="F55" s="357"/>
      <c r="G55" s="357"/>
    </row>
    <row r="56" spans="2:7">
      <c r="B56" s="381" t="s">
        <v>735</v>
      </c>
      <c r="C56" s="382">
        <v>0</v>
      </c>
      <c r="D56" s="382">
        <v>0</v>
      </c>
      <c r="E56" s="382">
        <v>0</v>
      </c>
      <c r="F56" s="357"/>
      <c r="G56" s="357"/>
    </row>
    <row r="57" spans="2:7">
      <c r="B57" s="383" t="s">
        <v>86</v>
      </c>
      <c r="C57" s="382">
        <v>0</v>
      </c>
      <c r="D57" s="382">
        <v>0.11119565217391304</v>
      </c>
      <c r="E57" s="382">
        <v>0</v>
      </c>
      <c r="F57" s="357"/>
      <c r="G57" s="357"/>
    </row>
    <row r="58" spans="2:7">
      <c r="B58"/>
      <c r="C58"/>
      <c r="D58"/>
      <c r="E58"/>
    </row>
    <row r="59" spans="2:7">
      <c r="B59"/>
      <c r="C59"/>
      <c r="D59"/>
      <c r="E59"/>
    </row>
    <row r="60" spans="2:7">
      <c r="B60"/>
      <c r="C60"/>
      <c r="D60"/>
      <c r="E60"/>
    </row>
    <row r="61" spans="2:7">
      <c r="B61"/>
      <c r="C61"/>
      <c r="D61"/>
      <c r="E61"/>
    </row>
    <row r="62" spans="2:7">
      <c r="B62"/>
      <c r="C62"/>
      <c r="D62"/>
      <c r="E62"/>
    </row>
    <row r="63" spans="2:7">
      <c r="B63"/>
      <c r="C63"/>
      <c r="D63"/>
      <c r="E63"/>
    </row>
    <row r="64" spans="2:7">
      <c r="B64"/>
      <c r="C64"/>
      <c r="D64"/>
      <c r="E64"/>
    </row>
    <row r="65" spans="2:5">
      <c r="B65"/>
      <c r="C65"/>
      <c r="D65"/>
      <c r="E65"/>
    </row>
    <row r="66" spans="2:5">
      <c r="B66"/>
      <c r="C66"/>
      <c r="D66"/>
      <c r="E66"/>
    </row>
    <row r="67" spans="2:5">
      <c r="B67"/>
      <c r="C67"/>
      <c r="D67"/>
      <c r="E67"/>
    </row>
    <row r="68" spans="2:5">
      <c r="B68"/>
      <c r="C68"/>
      <c r="D68"/>
      <c r="E68"/>
    </row>
    <row r="73" spans="2:5" ht="15.75" thickBot="1"/>
    <row r="74" spans="2:5">
      <c r="B74" s="56" t="s">
        <v>8</v>
      </c>
      <c r="C74" s="56" t="s">
        <v>345</v>
      </c>
      <c r="D74" s="1215" t="s">
        <v>546</v>
      </c>
      <c r="E74" s="1216"/>
    </row>
    <row r="75" spans="2:5" ht="15.75" thickBot="1">
      <c r="B75" s="56" t="s">
        <v>12</v>
      </c>
      <c r="C75" s="385" t="s">
        <v>44</v>
      </c>
      <c r="D75" s="1217"/>
      <c r="E75" s="1218"/>
    </row>
    <row r="76" spans="2:5">
      <c r="B76" s="56"/>
      <c r="C76" s="379"/>
      <c r="D76" s="379"/>
      <c r="E76" s="379"/>
    </row>
    <row r="77" spans="2:5">
      <c r="B77" s="56"/>
      <c r="C77" s="56" t="s">
        <v>140</v>
      </c>
      <c r="D77" s="56"/>
      <c r="E77" s="56"/>
    </row>
    <row r="78" spans="2:5" ht="45">
      <c r="B78" s="384" t="s">
        <v>530</v>
      </c>
      <c r="C78" s="380" t="s">
        <v>531</v>
      </c>
      <c r="D78" s="380" t="s">
        <v>639</v>
      </c>
      <c r="E78" s="380" t="s">
        <v>533</v>
      </c>
    </row>
    <row r="79" spans="2:5">
      <c r="B79" s="381" t="s">
        <v>87</v>
      </c>
      <c r="C79" s="382">
        <v>0.79216354344122653</v>
      </c>
      <c r="D79" s="382">
        <v>0.88756388415672915</v>
      </c>
      <c r="E79" s="382">
        <v>0.28620102214650761</v>
      </c>
    </row>
    <row r="80" spans="2:5">
      <c r="B80" s="381" t="s">
        <v>88</v>
      </c>
      <c r="C80" s="382">
        <v>1</v>
      </c>
      <c r="D80" s="382">
        <v>0.8272939801285798</v>
      </c>
      <c r="E80" s="382">
        <v>0.17346580946814727</v>
      </c>
    </row>
    <row r="81" spans="2:5">
      <c r="B81" s="381" t="s">
        <v>89</v>
      </c>
      <c r="C81" s="382">
        <v>1</v>
      </c>
      <c r="D81" s="382">
        <v>0.99040066777963276</v>
      </c>
      <c r="E81" s="382">
        <v>0.35607679465776293</v>
      </c>
    </row>
    <row r="82" spans="2:5">
      <c r="B82" s="381" t="s">
        <v>90</v>
      </c>
      <c r="C82" s="382">
        <v>0.7956108090821874</v>
      </c>
      <c r="D82" s="382">
        <v>0.83686440677966101</v>
      </c>
      <c r="E82" s="382">
        <v>0.5566949152542372</v>
      </c>
    </row>
    <row r="83" spans="2:5">
      <c r="B83" s="381" t="s">
        <v>91</v>
      </c>
      <c r="C83" s="382">
        <v>0.94323515757982157</v>
      </c>
      <c r="D83" s="382">
        <v>0.73353277969773556</v>
      </c>
      <c r="E83" s="382">
        <v>0.25782998916799921</v>
      </c>
    </row>
    <row r="84" spans="2:5">
      <c r="B84" s="383" t="s">
        <v>86</v>
      </c>
      <c r="C84" s="382">
        <v>0.92099200655872104</v>
      </c>
      <c r="D84" s="382">
        <v>0.78595613855298219</v>
      </c>
      <c r="E84" s="382">
        <v>0.32417692150030747</v>
      </c>
    </row>
    <row r="85" spans="2:5">
      <c r="B85"/>
      <c r="C85"/>
      <c r="D85"/>
      <c r="E85"/>
    </row>
    <row r="86" spans="2:5">
      <c r="B86"/>
      <c r="C86"/>
      <c r="D86"/>
      <c r="E86"/>
    </row>
    <row r="87" spans="2:5">
      <c r="B87"/>
      <c r="C87"/>
      <c r="D87"/>
      <c r="E87"/>
    </row>
    <row r="88" spans="2:5">
      <c r="B88"/>
      <c r="C88"/>
      <c r="D88"/>
      <c r="E88"/>
    </row>
    <row r="91" spans="2:5" ht="15.75" thickBot="1">
      <c r="B91"/>
      <c r="C91"/>
    </row>
    <row r="92" spans="2:5">
      <c r="B92"/>
      <c r="C92"/>
      <c r="D92" s="1215" t="s">
        <v>547</v>
      </c>
      <c r="E92" s="1216"/>
    </row>
    <row r="93" spans="2:5" ht="15.75" thickBot="1">
      <c r="B93" s="387" t="s">
        <v>8</v>
      </c>
      <c r="C93" s="386" t="s">
        <v>345</v>
      </c>
      <c r="D93" s="1217"/>
      <c r="E93" s="1218"/>
    </row>
    <row r="94" spans="2:5">
      <c r="B94" s="386"/>
      <c r="C94" s="360"/>
      <c r="D94" s="360"/>
      <c r="E94" s="360"/>
    </row>
    <row r="95" spans="2:5">
      <c r="B95" s="386"/>
      <c r="C95" s="386" t="s">
        <v>140</v>
      </c>
      <c r="D95" s="386"/>
      <c r="E95" s="386"/>
    </row>
    <row r="96" spans="2:5" ht="45">
      <c r="B96" s="387" t="s">
        <v>530</v>
      </c>
      <c r="C96" s="361" t="s">
        <v>540</v>
      </c>
      <c r="D96" s="361" t="s">
        <v>541</v>
      </c>
      <c r="E96" s="361" t="s">
        <v>542</v>
      </c>
    </row>
    <row r="97" spans="2:5">
      <c r="B97" s="359" t="s">
        <v>640</v>
      </c>
      <c r="C97" s="362">
        <v>0.92047826912127539</v>
      </c>
      <c r="D97" s="362">
        <v>0.78592588313928058</v>
      </c>
      <c r="E97" s="362">
        <v>0.32605378464686802</v>
      </c>
    </row>
    <row r="98" spans="2:5">
      <c r="B98" s="359" t="s">
        <v>508</v>
      </c>
      <c r="C98" s="362">
        <v>0.49171675655771435</v>
      </c>
      <c r="D98" s="362">
        <v>0.28510624472025475</v>
      </c>
      <c r="E98" s="362">
        <v>0</v>
      </c>
    </row>
    <row r="99" spans="2:5">
      <c r="B99" s="359" t="s">
        <v>607</v>
      </c>
      <c r="C99" s="362">
        <v>4.617097824224773E-2</v>
      </c>
      <c r="D99" s="362">
        <v>0.10047969847524413</v>
      </c>
      <c r="E99" s="362">
        <v>0</v>
      </c>
    </row>
    <row r="100" spans="2:5">
      <c r="B100" s="359" t="s">
        <v>642</v>
      </c>
      <c r="C100" s="362">
        <v>0.25637374247783545</v>
      </c>
      <c r="D100" s="362">
        <v>0.28186871238917727</v>
      </c>
      <c r="E100" s="362">
        <v>0</v>
      </c>
    </row>
    <row r="101" spans="2:5">
      <c r="B101" s="359" t="s">
        <v>641</v>
      </c>
      <c r="C101" s="362">
        <v>0.76969407835887649</v>
      </c>
      <c r="D101" s="362">
        <v>0.19712962410797702</v>
      </c>
      <c r="E101" s="362">
        <v>0</v>
      </c>
    </row>
    <row r="102" spans="2:5">
      <c r="B102" s="364" t="s">
        <v>86</v>
      </c>
      <c r="C102" s="362">
        <v>0.70042784113153689</v>
      </c>
      <c r="D102" s="362">
        <v>0.48789274014702072</v>
      </c>
      <c r="E102" s="362">
        <v>0.14827211221307876</v>
      </c>
    </row>
    <row r="109" spans="2:5" ht="15.75" thickBot="1">
      <c r="B109"/>
      <c r="C109"/>
    </row>
    <row r="110" spans="2:5">
      <c r="B110" s="56" t="s">
        <v>8</v>
      </c>
      <c r="C110" s="56" t="s">
        <v>85</v>
      </c>
      <c r="D110" s="1219" t="s">
        <v>549</v>
      </c>
      <c r="E110" s="1220"/>
    </row>
    <row r="111" spans="2:5" ht="15.75" thickBot="1">
      <c r="B111" s="56" t="s">
        <v>163</v>
      </c>
      <c r="C111" s="56" t="s">
        <v>345</v>
      </c>
      <c r="D111" s="1221"/>
      <c r="E111" s="1222"/>
    </row>
    <row r="112" spans="2:5">
      <c r="B112" s="56"/>
      <c r="C112" s="379"/>
      <c r="D112" s="379"/>
      <c r="E112" s="379"/>
    </row>
    <row r="113" spans="2:13">
      <c r="B113" s="56"/>
      <c r="C113" s="56" t="s">
        <v>140</v>
      </c>
      <c r="D113" s="56"/>
      <c r="E113" s="56"/>
    </row>
    <row r="114" spans="2:13" ht="45">
      <c r="B114" s="384" t="s">
        <v>530</v>
      </c>
      <c r="C114" s="380" t="s">
        <v>540</v>
      </c>
      <c r="D114" s="380" t="s">
        <v>541</v>
      </c>
      <c r="E114" s="380" t="s">
        <v>542</v>
      </c>
    </row>
    <row r="115" spans="2:13">
      <c r="B115" s="381" t="s">
        <v>44</v>
      </c>
      <c r="C115" s="382">
        <v>0.92047826912127539</v>
      </c>
      <c r="D115" s="382">
        <v>0.78592588313928058</v>
      </c>
      <c r="E115" s="382">
        <v>0.32605378464686802</v>
      </c>
    </row>
    <row r="116" spans="2:13">
      <c r="B116" s="381" t="s">
        <v>33</v>
      </c>
      <c r="C116" s="382">
        <v>0.55802589699074079</v>
      </c>
      <c r="D116" s="382">
        <v>0.25145923132183906</v>
      </c>
      <c r="E116" s="382">
        <v>0</v>
      </c>
    </row>
    <row r="117" spans="2:13">
      <c r="B117" s="383" t="s">
        <v>86</v>
      </c>
      <c r="C117" s="382">
        <v>0.73040125213059726</v>
      </c>
      <c r="D117" s="382">
        <v>0.5056412590897853</v>
      </c>
      <c r="E117" s="382">
        <v>0.15506488919586059</v>
      </c>
    </row>
    <row r="118" spans="2:13">
      <c r="B118"/>
      <c r="C118"/>
      <c r="D118"/>
      <c r="E118"/>
    </row>
    <row r="119" spans="2:13">
      <c r="B119"/>
      <c r="C119"/>
      <c r="D119"/>
      <c r="E119"/>
    </row>
    <row r="122" spans="2:13" s="9" customFormat="1" ht="36" customHeight="1">
      <c r="B122" s="1208" t="s">
        <v>95</v>
      </c>
      <c r="C122" s="1209"/>
      <c r="D122" s="1209"/>
      <c r="E122" s="1209"/>
      <c r="F122" s="1209"/>
      <c r="G122" s="1209"/>
      <c r="H122" s="1209"/>
      <c r="I122" s="1209"/>
      <c r="J122" s="1210"/>
      <c r="K122" s="1211"/>
      <c r="L122" s="1211"/>
      <c r="M122" s="1211"/>
    </row>
    <row r="125" spans="2:13" ht="15.75" thickBot="1"/>
    <row r="126" spans="2:13">
      <c r="B126" s="14" t="s">
        <v>163</v>
      </c>
      <c r="C126" s="14" t="s">
        <v>345</v>
      </c>
      <c r="D126" s="1219" t="s">
        <v>550</v>
      </c>
      <c r="E126" s="1220"/>
    </row>
    <row r="127" spans="2:13" ht="15.75" thickBot="1">
      <c r="B127" s="14" t="s">
        <v>12</v>
      </c>
      <c r="C127" s="14" t="s">
        <v>85</v>
      </c>
      <c r="D127" s="1221"/>
      <c r="E127" s="1222"/>
    </row>
    <row r="128" spans="2:13">
      <c r="B128" s="14"/>
      <c r="C128" s="360"/>
      <c r="D128" s="360"/>
      <c r="E128" s="360"/>
    </row>
    <row r="129" spans="2:5">
      <c r="B129" s="14"/>
      <c r="C129" s="14" t="s">
        <v>140</v>
      </c>
      <c r="D129" s="14"/>
      <c r="E129" s="14"/>
    </row>
    <row r="130" spans="2:5" ht="60">
      <c r="B130" s="388" t="s">
        <v>530</v>
      </c>
      <c r="C130" s="361" t="s">
        <v>570</v>
      </c>
      <c r="D130" s="361" t="s">
        <v>571</v>
      </c>
      <c r="E130" s="361" t="s">
        <v>569</v>
      </c>
    </row>
    <row r="131" spans="2:5">
      <c r="B131" s="359" t="s">
        <v>70</v>
      </c>
      <c r="C131" s="362">
        <v>0.98977115117891812</v>
      </c>
      <c r="D131" s="362">
        <v>0</v>
      </c>
      <c r="E131" s="362">
        <v>0</v>
      </c>
    </row>
    <row r="132" spans="2:5">
      <c r="B132" s="359" t="s">
        <v>415</v>
      </c>
      <c r="C132" s="362">
        <v>0</v>
      </c>
      <c r="D132" s="362">
        <v>0</v>
      </c>
      <c r="E132" s="362">
        <v>0</v>
      </c>
    </row>
    <row r="133" spans="2:5">
      <c r="B133" s="359" t="s">
        <v>46</v>
      </c>
      <c r="C133" s="362">
        <v>0.81168831168831168</v>
      </c>
      <c r="D133" s="362">
        <v>0</v>
      </c>
      <c r="E133" s="362">
        <v>0.18831168831168832</v>
      </c>
    </row>
    <row r="134" spans="2:5">
      <c r="B134" s="359" t="s">
        <v>171</v>
      </c>
      <c r="C134" s="362">
        <v>1.0790990047145102E-2</v>
      </c>
      <c r="D134" s="362">
        <v>0</v>
      </c>
      <c r="E134" s="362">
        <v>0.30371922472498691</v>
      </c>
    </row>
    <row r="135" spans="2:5">
      <c r="B135" s="359" t="s">
        <v>51</v>
      </c>
      <c r="C135" s="362">
        <v>0.29738492986536968</v>
      </c>
      <c r="D135" s="362">
        <v>0.16916895749629943</v>
      </c>
      <c r="E135" s="362">
        <v>0.16534855853950794</v>
      </c>
    </row>
    <row r="136" spans="2:5">
      <c r="B136" s="359" t="s">
        <v>72</v>
      </c>
      <c r="C136" s="362">
        <v>6.8283470827949513E-2</v>
      </c>
      <c r="D136" s="362">
        <v>0</v>
      </c>
      <c r="E136" s="362">
        <v>0</v>
      </c>
    </row>
    <row r="137" spans="2:5">
      <c r="B137" s="359" t="s">
        <v>64</v>
      </c>
      <c r="C137" s="362">
        <v>0.12986165492038632</v>
      </c>
      <c r="D137" s="362">
        <v>6.3730096580527265E-2</v>
      </c>
      <c r="E137" s="362">
        <v>0.11547311406943353</v>
      </c>
    </row>
    <row r="138" spans="2:5">
      <c r="B138" s="359" t="s">
        <v>75</v>
      </c>
      <c r="C138" s="362">
        <v>0.99015877442875078</v>
      </c>
      <c r="D138" s="362">
        <v>0</v>
      </c>
      <c r="E138" s="362">
        <v>9.8412255712492774E-3</v>
      </c>
    </row>
    <row r="139" spans="2:5">
      <c r="B139" s="364" t="s">
        <v>86</v>
      </c>
      <c r="C139" s="362">
        <v>0.6577714639279908</v>
      </c>
      <c r="D139" s="362">
        <v>2.522444035439534E-2</v>
      </c>
      <c r="E139" s="362">
        <v>4.7405347848211182E-2</v>
      </c>
    </row>
    <row r="140" spans="2:5">
      <c r="B140"/>
      <c r="C140"/>
      <c r="D140"/>
      <c r="E140"/>
    </row>
    <row r="141" spans="2:5">
      <c r="B141"/>
      <c r="C141"/>
      <c r="D141"/>
      <c r="E141"/>
    </row>
    <row r="146" spans="2:5" ht="15.75" thickBot="1">
      <c r="B146"/>
      <c r="C146"/>
    </row>
    <row r="147" spans="2:5">
      <c r="B147" s="56" t="s">
        <v>12</v>
      </c>
      <c r="C147" s="56" t="s">
        <v>85</v>
      </c>
      <c r="D147" s="1219" t="s">
        <v>551</v>
      </c>
      <c r="E147" s="1220"/>
    </row>
    <row r="148" spans="2:5" ht="15.75" thickBot="1">
      <c r="B148" s="389" t="s">
        <v>8</v>
      </c>
      <c r="C148" s="56" t="s">
        <v>85</v>
      </c>
      <c r="D148" s="1221"/>
      <c r="E148" s="1222"/>
    </row>
    <row r="149" spans="2:5">
      <c r="B149" s="56"/>
      <c r="C149" s="379"/>
      <c r="D149" s="379"/>
      <c r="E149" s="379"/>
    </row>
    <row r="150" spans="2:5">
      <c r="B150" s="56"/>
      <c r="C150" s="56" t="s">
        <v>140</v>
      </c>
      <c r="D150" s="56"/>
      <c r="E150" s="56"/>
    </row>
    <row r="151" spans="2:5" ht="60">
      <c r="B151" s="384" t="s">
        <v>530</v>
      </c>
      <c r="C151" s="380" t="s">
        <v>570</v>
      </c>
      <c r="D151" s="380" t="s">
        <v>631</v>
      </c>
      <c r="E151" s="380" t="s">
        <v>569</v>
      </c>
    </row>
    <row r="152" spans="2:5">
      <c r="B152" s="381" t="s">
        <v>640</v>
      </c>
      <c r="C152" s="382">
        <v>0.80630760725160289</v>
      </c>
      <c r="D152" s="382">
        <v>5.3039242382983867E-2</v>
      </c>
      <c r="E152" s="382">
        <v>6.1131419486688696E-2</v>
      </c>
    </row>
    <row r="153" spans="2:5">
      <c r="B153" s="381" t="s">
        <v>1157</v>
      </c>
      <c r="C153" s="382">
        <v>0.42183888607024073</v>
      </c>
      <c r="D153" s="382">
        <v>0</v>
      </c>
      <c r="E153" s="382">
        <v>0.32893624217825129</v>
      </c>
    </row>
    <row r="154" spans="2:5">
      <c r="B154" s="381" t="s">
        <v>508</v>
      </c>
      <c r="C154" s="382">
        <v>0.41582732254640764</v>
      </c>
      <c r="D154" s="382">
        <v>0</v>
      </c>
      <c r="E154" s="382">
        <v>7.5889434011306794E-2</v>
      </c>
    </row>
    <row r="155" spans="2:5">
      <c r="B155" s="381" t="s">
        <v>607</v>
      </c>
      <c r="C155" s="382">
        <v>0.51588159214804608</v>
      </c>
      <c r="D155" s="382">
        <v>0</v>
      </c>
      <c r="E155" s="382">
        <v>6.6722268557130944E-4</v>
      </c>
    </row>
    <row r="156" spans="2:5">
      <c r="B156" s="381" t="s">
        <v>642</v>
      </c>
      <c r="C156" s="382">
        <v>0.25637374247783545</v>
      </c>
      <c r="D156" s="382">
        <v>0</v>
      </c>
      <c r="E156" s="382">
        <v>0</v>
      </c>
    </row>
    <row r="157" spans="2:5">
      <c r="B157" s="381" t="s">
        <v>641</v>
      </c>
      <c r="C157" s="382">
        <v>0.76969407835887649</v>
      </c>
      <c r="D157" s="382">
        <v>0</v>
      </c>
      <c r="E157" s="382">
        <v>0</v>
      </c>
    </row>
    <row r="158" spans="2:5">
      <c r="B158" s="383" t="s">
        <v>86</v>
      </c>
      <c r="C158" s="382">
        <v>0.59990790438623642</v>
      </c>
      <c r="D158" s="382">
        <v>1.566031499298725E-2</v>
      </c>
      <c r="E158" s="382">
        <v>4.3871581031552143E-2</v>
      </c>
    </row>
    <row r="159" spans="2:5">
      <c r="B159"/>
      <c r="C159"/>
      <c r="D159"/>
      <c r="E159"/>
    </row>
    <row r="160" spans="2:5">
      <c r="B160" s="327"/>
      <c r="C160" s="327"/>
      <c r="D160" s="327"/>
      <c r="E160" s="327"/>
    </row>
    <row r="161" spans="2:5">
      <c r="B161" s="327"/>
      <c r="C161" s="327"/>
      <c r="D161" s="327"/>
      <c r="E161" s="327"/>
    </row>
    <row r="162" spans="2:5" ht="15.75" thickBot="1">
      <c r="B162"/>
      <c r="C162"/>
    </row>
    <row r="163" spans="2:5">
      <c r="B163" s="365" t="s">
        <v>8</v>
      </c>
      <c r="C163" s="14" t="s">
        <v>85</v>
      </c>
      <c r="D163" s="1219" t="s">
        <v>550</v>
      </c>
      <c r="E163" s="1220"/>
    </row>
    <row r="164" spans="2:5" ht="15.75" thickBot="1">
      <c r="B164" s="14" t="s">
        <v>163</v>
      </c>
      <c r="C164" s="14" t="s">
        <v>345</v>
      </c>
      <c r="D164" s="1221"/>
      <c r="E164" s="1222"/>
    </row>
    <row r="165" spans="2:5">
      <c r="B165" s="14"/>
      <c r="C165" s="360"/>
      <c r="D165" s="360"/>
      <c r="E165" s="360"/>
    </row>
    <row r="166" spans="2:5">
      <c r="B166" s="14"/>
      <c r="C166" s="14" t="s">
        <v>140</v>
      </c>
      <c r="D166" s="14"/>
      <c r="E166" s="14"/>
    </row>
    <row r="167" spans="2:5" ht="90">
      <c r="B167" s="387" t="s">
        <v>530</v>
      </c>
      <c r="C167" s="365" t="s">
        <v>552</v>
      </c>
      <c r="D167" s="365" t="s">
        <v>561</v>
      </c>
      <c r="E167" s="365" t="s">
        <v>548</v>
      </c>
    </row>
    <row r="168" spans="2:5">
      <c r="B168" s="359" t="s">
        <v>44</v>
      </c>
      <c r="C168" s="362">
        <v>0.80630760725160289</v>
      </c>
      <c r="D168" s="362">
        <v>5.3039242382983867E-2</v>
      </c>
      <c r="E168" s="362">
        <v>6.1131419486688578E-2</v>
      </c>
    </row>
    <row r="169" spans="2:5">
      <c r="B169" s="359" t="s">
        <v>33</v>
      </c>
      <c r="C169" s="362">
        <v>0.52306832694763727</v>
      </c>
      <c r="D169" s="362">
        <v>0</v>
      </c>
      <c r="E169" s="362">
        <v>3.4957570043103535E-2</v>
      </c>
    </row>
    <row r="170" spans="2:5">
      <c r="B170" s="364" t="s">
        <v>86</v>
      </c>
      <c r="C170" s="362">
        <v>0.65777146392799068</v>
      </c>
      <c r="D170" s="362">
        <v>2.522444035439534E-2</v>
      </c>
      <c r="E170" s="362">
        <v>4.7405347848211182E-2</v>
      </c>
    </row>
    <row r="171" spans="2:5">
      <c r="B171"/>
      <c r="C171"/>
      <c r="D171"/>
      <c r="E171"/>
    </row>
    <row r="172" spans="2:5">
      <c r="B172"/>
      <c r="C172"/>
      <c r="D172"/>
      <c r="E172"/>
    </row>
    <row r="173" spans="2:5">
      <c r="B173" s="327"/>
      <c r="C173" s="327"/>
      <c r="D173" s="327"/>
      <c r="E173" s="327"/>
    </row>
    <row r="174" spans="2:5">
      <c r="B174" s="327"/>
      <c r="C174" s="327"/>
      <c r="D174" s="327"/>
      <c r="E174" s="327"/>
    </row>
    <row r="175" spans="2:5">
      <c r="B175" s="327"/>
      <c r="C175" s="327"/>
      <c r="D175" s="327"/>
      <c r="E175" s="327"/>
    </row>
    <row r="178" spans="2:16" ht="15.75" thickBot="1">
      <c r="B178" s="327"/>
      <c r="C178" s="327"/>
    </row>
    <row r="179" spans="2:16">
      <c r="B179" s="389" t="s">
        <v>12</v>
      </c>
      <c r="C179" s="380" t="s">
        <v>85</v>
      </c>
      <c r="D179" s="1202" t="s">
        <v>563</v>
      </c>
      <c r="E179" s="1203"/>
    </row>
    <row r="180" spans="2:16" ht="15.75" thickBot="1">
      <c r="B180" s="389" t="s">
        <v>8</v>
      </c>
      <c r="C180" s="380" t="s">
        <v>85</v>
      </c>
      <c r="D180" s="1204"/>
      <c r="E180" s="1205"/>
    </row>
    <row r="181" spans="2:16">
      <c r="B181" s="9"/>
      <c r="C181" s="10"/>
      <c r="N181" s="521"/>
      <c r="O181" s="521"/>
      <c r="P181" s="521"/>
    </row>
    <row r="182" spans="2:16">
      <c r="B182" s="389"/>
      <c r="C182" s="389" t="s">
        <v>92</v>
      </c>
      <c r="D182" s="380"/>
      <c r="E182"/>
      <c r="F182"/>
      <c r="G182"/>
      <c r="H182"/>
      <c r="N182" s="521"/>
      <c r="O182" s="521"/>
      <c r="P182" s="521"/>
    </row>
    <row r="183" spans="2:16" ht="60">
      <c r="B183" s="389" t="s">
        <v>163</v>
      </c>
      <c r="C183" s="380" t="s">
        <v>562</v>
      </c>
      <c r="D183" s="380" t="s">
        <v>568</v>
      </c>
      <c r="E183"/>
      <c r="F183"/>
      <c r="G183"/>
      <c r="H183"/>
      <c r="N183" s="521"/>
      <c r="O183" s="521"/>
      <c r="P183" s="521"/>
    </row>
    <row r="184" spans="2:16">
      <c r="B184" s="396" t="s">
        <v>640</v>
      </c>
      <c r="C184" s="397">
        <v>0.92047826912127539</v>
      </c>
      <c r="D184" s="397">
        <v>7.6227235594576975E-2</v>
      </c>
      <c r="E184"/>
      <c r="F184"/>
      <c r="G184"/>
      <c r="H184"/>
      <c r="N184" s="521"/>
      <c r="O184" s="521"/>
      <c r="P184" s="521"/>
    </row>
    <row r="185" spans="2:16">
      <c r="B185" s="396" t="s">
        <v>508</v>
      </c>
      <c r="C185" s="397">
        <v>0.49171675655771441</v>
      </c>
      <c r="D185" s="397">
        <v>-3.8473368423332738E-2</v>
      </c>
      <c r="E185"/>
      <c r="F185"/>
      <c r="G185"/>
      <c r="H185"/>
    </row>
    <row r="186" spans="2:16">
      <c r="B186" s="396" t="s">
        <v>607</v>
      </c>
      <c r="C186" s="397">
        <v>0.51654881483361736</v>
      </c>
      <c r="D186" s="397">
        <v>0.12387530671695039</v>
      </c>
      <c r="E186"/>
      <c r="F186"/>
      <c r="G186"/>
      <c r="H186"/>
    </row>
    <row r="187" spans="2:16">
      <c r="B187" s="396" t="s">
        <v>642</v>
      </c>
      <c r="C187" s="397">
        <v>0.25637374247783545</v>
      </c>
      <c r="D187" s="397">
        <v>0</v>
      </c>
      <c r="E187"/>
      <c r="F187"/>
      <c r="G187"/>
      <c r="H187"/>
    </row>
    <row r="188" spans="2:16">
      <c r="B188" s="396" t="s">
        <v>641</v>
      </c>
      <c r="C188" s="397">
        <v>0.76969407835887649</v>
      </c>
      <c r="D188" s="397">
        <v>0.18633589758880473</v>
      </c>
      <c r="E188"/>
      <c r="F188"/>
      <c r="G188"/>
      <c r="H188"/>
    </row>
    <row r="189" spans="2:16">
      <c r="B189" s="396" t="s">
        <v>86</v>
      </c>
      <c r="C189" s="397">
        <v>0.65531405333279025</v>
      </c>
      <c r="D189" s="397">
        <v>8.4857882781942631E-2</v>
      </c>
      <c r="E189" s="327"/>
      <c r="F189" s="327"/>
      <c r="G189" s="327"/>
      <c r="H189" s="327"/>
    </row>
    <row r="190" spans="2:16">
      <c r="B190" s="396"/>
      <c r="C190" s="397"/>
      <c r="D190" s="397"/>
      <c r="E190" s="327"/>
      <c r="F190" s="327"/>
      <c r="G190" s="327"/>
      <c r="H190" s="327"/>
    </row>
    <row r="191" spans="2:16">
      <c r="B191" s="396"/>
      <c r="C191" s="397"/>
      <c r="D191" s="397"/>
      <c r="E191" s="327"/>
      <c r="F191" s="327"/>
      <c r="G191" s="327"/>
      <c r="H191" s="327"/>
    </row>
    <row r="192" spans="2:16">
      <c r="B192"/>
      <c r="C192"/>
      <c r="D192"/>
      <c r="E192"/>
      <c r="F192"/>
      <c r="G192"/>
      <c r="H192"/>
      <c r="I192"/>
      <c r="J192"/>
      <c r="K192"/>
      <c r="L192"/>
    </row>
    <row r="193" spans="2:31">
      <c r="B193" s="524" t="s">
        <v>12</v>
      </c>
      <c r="C193" s="522" t="s">
        <v>85</v>
      </c>
      <c r="D193"/>
      <c r="E193"/>
      <c r="F193"/>
      <c r="G193"/>
      <c r="H193"/>
      <c r="I193"/>
      <c r="J193"/>
      <c r="K193"/>
      <c r="L193"/>
    </row>
    <row r="194" spans="2:31">
      <c r="B194" s="396"/>
      <c r="E194"/>
      <c r="F194"/>
      <c r="G194"/>
      <c r="H194"/>
      <c r="I194"/>
      <c r="J194"/>
      <c r="K194"/>
      <c r="L194"/>
    </row>
    <row r="195" spans="2:31">
      <c r="B195" s="529" t="s">
        <v>163</v>
      </c>
      <c r="C195" s="529" t="s">
        <v>647</v>
      </c>
      <c r="D195"/>
      <c r="E195"/>
      <c r="F195"/>
      <c r="G195"/>
      <c r="H195"/>
      <c r="I195"/>
      <c r="J195"/>
      <c r="K195"/>
      <c r="L195"/>
      <c r="M195"/>
      <c r="N195"/>
      <c r="O195"/>
      <c r="P195"/>
      <c r="Q195"/>
      <c r="R195"/>
      <c r="S195"/>
      <c r="T195"/>
      <c r="U195"/>
      <c r="V195"/>
      <c r="W195"/>
      <c r="X195"/>
      <c r="Y195"/>
      <c r="Z195"/>
      <c r="AA195"/>
      <c r="AB195"/>
      <c r="AC195"/>
      <c r="AD195"/>
      <c r="AE195"/>
    </row>
    <row r="196" spans="2:31">
      <c r="B196" s="530" t="s">
        <v>640</v>
      </c>
      <c r="C196" s="534">
        <v>0.33048335613315094</v>
      </c>
      <c r="D196"/>
      <c r="E196"/>
      <c r="F196"/>
      <c r="G196"/>
      <c r="H196"/>
      <c r="I196"/>
      <c r="J196"/>
      <c r="K196"/>
      <c r="L196"/>
      <c r="M196"/>
      <c r="N196"/>
      <c r="O196"/>
      <c r="P196"/>
      <c r="Q196"/>
      <c r="R196"/>
      <c r="S196"/>
      <c r="T196"/>
      <c r="U196"/>
      <c r="V196"/>
      <c r="W196"/>
      <c r="X196"/>
      <c r="Y196"/>
      <c r="Z196"/>
      <c r="AA196"/>
      <c r="AB196"/>
      <c r="AC196"/>
      <c r="AD196"/>
      <c r="AE196"/>
    </row>
    <row r="197" spans="2:31">
      <c r="B197" s="531" t="s">
        <v>508</v>
      </c>
      <c r="C197" s="535">
        <v>1.7749092375958047E-2</v>
      </c>
      <c r="D197"/>
      <c r="E197"/>
      <c r="F197"/>
      <c r="G197"/>
      <c r="H197"/>
      <c r="I197"/>
      <c r="J197"/>
      <c r="K197"/>
      <c r="L197"/>
      <c r="M197"/>
      <c r="N197"/>
      <c r="O197"/>
      <c r="P197"/>
      <c r="Q197"/>
      <c r="R197"/>
      <c r="S197"/>
      <c r="T197"/>
      <c r="U197"/>
      <c r="V197"/>
      <c r="W197"/>
      <c r="X197"/>
      <c r="Y197"/>
      <c r="Z197"/>
      <c r="AA197"/>
      <c r="AB197"/>
      <c r="AC197"/>
      <c r="AD197"/>
      <c r="AE197"/>
    </row>
    <row r="198" spans="2:31">
      <c r="B198" s="531" t="s">
        <v>607</v>
      </c>
      <c r="C198" s="535">
        <v>0</v>
      </c>
      <c r="D198"/>
      <c r="E198"/>
      <c r="F198"/>
      <c r="G198"/>
      <c r="H198"/>
      <c r="I198"/>
      <c r="J198"/>
      <c r="K198"/>
      <c r="L198"/>
      <c r="M198"/>
      <c r="N198"/>
      <c r="O198"/>
      <c r="P198"/>
      <c r="Q198"/>
      <c r="R198"/>
      <c r="S198"/>
      <c r="T198"/>
      <c r="U198"/>
      <c r="V198"/>
      <c r="W198"/>
      <c r="X198"/>
      <c r="Y198"/>
      <c r="Z198"/>
      <c r="AA198"/>
      <c r="AB198"/>
      <c r="AC198"/>
      <c r="AD198"/>
      <c r="AE198"/>
    </row>
    <row r="199" spans="2:31">
      <c r="B199" s="531" t="s">
        <v>642</v>
      </c>
      <c r="C199" s="535">
        <v>0</v>
      </c>
      <c r="D199"/>
      <c r="E199"/>
      <c r="F199"/>
      <c r="G199"/>
      <c r="H199"/>
      <c r="I199"/>
      <c r="J199"/>
      <c r="K199"/>
      <c r="L199"/>
    </row>
    <row r="200" spans="2:31">
      <c r="B200" s="532" t="s">
        <v>641</v>
      </c>
      <c r="C200" s="536">
        <v>0</v>
      </c>
      <c r="D200"/>
      <c r="E200"/>
      <c r="F200"/>
      <c r="G200"/>
      <c r="H200"/>
      <c r="I200"/>
      <c r="J200"/>
      <c r="K200"/>
      <c r="L200"/>
    </row>
    <row r="201" spans="2:31">
      <c r="B201" s="533" t="s">
        <v>86</v>
      </c>
      <c r="C201" s="537">
        <v>1.9354137874846862E-2</v>
      </c>
      <c r="D201"/>
      <c r="E201"/>
      <c r="F201"/>
      <c r="G201"/>
      <c r="H201"/>
      <c r="I201"/>
      <c r="J201"/>
      <c r="K201"/>
      <c r="L201"/>
    </row>
    <row r="202" spans="2:31">
      <c r="B202"/>
      <c r="C202"/>
      <c r="D202"/>
      <c r="E202"/>
      <c r="F202"/>
      <c r="G202"/>
      <c r="H202"/>
      <c r="I202"/>
      <c r="J202"/>
      <c r="K202"/>
      <c r="L202"/>
    </row>
    <row r="203" spans="2:31">
      <c r="B203"/>
      <c r="C203"/>
      <c r="D203"/>
      <c r="E203"/>
      <c r="F203"/>
      <c r="G203"/>
      <c r="H203"/>
      <c r="I203"/>
      <c r="J203"/>
      <c r="K203"/>
      <c r="L203"/>
    </row>
    <row r="204" spans="2:31">
      <c r="B204"/>
      <c r="C204"/>
      <c r="D204"/>
      <c r="E204"/>
      <c r="F204"/>
      <c r="G204"/>
      <c r="H204"/>
      <c r="I204"/>
      <c r="J204"/>
      <c r="K204"/>
      <c r="L204"/>
    </row>
    <row r="205" spans="2:31">
      <c r="B205"/>
      <c r="C205"/>
      <c r="D205"/>
      <c r="E205"/>
      <c r="F205"/>
      <c r="G205"/>
      <c r="H205"/>
      <c r="I205"/>
    </row>
    <row r="206" spans="2:31">
      <c r="B206"/>
      <c r="C206"/>
      <c r="D206"/>
      <c r="E206"/>
      <c r="F206"/>
      <c r="G206"/>
      <c r="H206" s="327"/>
    </row>
    <row r="207" spans="2:31">
      <c r="B207"/>
      <c r="C207"/>
      <c r="D207"/>
      <c r="E207" s="327"/>
      <c r="F207" s="327"/>
      <c r="G207" s="327"/>
      <c r="H207" s="327"/>
    </row>
    <row r="208" spans="2:31">
      <c r="B208"/>
      <c r="C208"/>
      <c r="D208"/>
      <c r="E208"/>
      <c r="F208"/>
      <c r="G208"/>
      <c r="H208"/>
    </row>
    <row r="209" spans="2:13">
      <c r="B209"/>
      <c r="C209"/>
      <c r="D209"/>
      <c r="E209"/>
      <c r="F209"/>
      <c r="G209"/>
      <c r="H209"/>
    </row>
    <row r="211" spans="2:13" ht="25.15" customHeight="1">
      <c r="B211" s="1212" t="s">
        <v>97</v>
      </c>
      <c r="C211" s="1213"/>
      <c r="D211" s="1213"/>
      <c r="E211" s="1213"/>
      <c r="F211" s="1213"/>
      <c r="G211" s="1213"/>
      <c r="H211" s="1213"/>
      <c r="I211" s="1213"/>
      <c r="J211" s="1214"/>
    </row>
    <row r="212" spans="2:13" ht="25.15" customHeight="1"/>
    <row r="213" spans="2:13">
      <c r="B213"/>
      <c r="C213"/>
    </row>
    <row r="214" spans="2:13">
      <c r="B214"/>
      <c r="C214"/>
    </row>
    <row r="215" spans="2:13">
      <c r="B215" s="69" t="s">
        <v>12</v>
      </c>
      <c r="C215" s="1126" t="s">
        <v>44</v>
      </c>
      <c r="D215" s="9"/>
      <c r="E215" s="10"/>
      <c r="F215" s="9"/>
      <c r="G215" s="9"/>
      <c r="H215" s="9"/>
      <c r="I215" s="9"/>
      <c r="J215" s="9"/>
      <c r="K215" s="9"/>
      <c r="L215" s="9"/>
    </row>
    <row r="216" spans="2:13" ht="15.75" thickBot="1">
      <c r="B216" s="9"/>
      <c r="C216" s="10"/>
      <c r="D216" s="9"/>
      <c r="E216" s="10"/>
      <c r="F216" s="9"/>
      <c r="G216" s="9"/>
      <c r="H216" s="9"/>
      <c r="I216" s="9"/>
      <c r="J216" s="9"/>
      <c r="K216" s="9"/>
      <c r="L216" s="9"/>
    </row>
    <row r="217" spans="2:13" ht="30.75" thickBot="1">
      <c r="B217" s="52" t="s">
        <v>98</v>
      </c>
      <c r="C217" s="366" t="s">
        <v>141</v>
      </c>
      <c r="D217" s="494"/>
      <c r="E217"/>
      <c r="F217"/>
      <c r="G217"/>
      <c r="H217"/>
      <c r="I217"/>
      <c r="J217"/>
      <c r="K217"/>
      <c r="L217"/>
      <c r="M217"/>
    </row>
    <row r="218" spans="2:13" ht="30">
      <c r="B218" s="65" t="s">
        <v>137</v>
      </c>
      <c r="C218" s="370" t="s">
        <v>640</v>
      </c>
      <c r="D218" s="371" t="s">
        <v>86</v>
      </c>
      <c r="E218"/>
      <c r="F218"/>
      <c r="G218"/>
      <c r="H218"/>
      <c r="I218"/>
      <c r="J218"/>
      <c r="K218"/>
      <c r="L218"/>
      <c r="M218"/>
    </row>
    <row r="219" spans="2:13">
      <c r="B219" s="68" t="s">
        <v>70</v>
      </c>
      <c r="C219" s="372">
        <v>8.3500000000000014</v>
      </c>
      <c r="D219" s="373">
        <v>8.3500000000000014</v>
      </c>
      <c r="E219"/>
      <c r="F219"/>
      <c r="G219"/>
      <c r="H219"/>
      <c r="I219"/>
      <c r="J219"/>
      <c r="K219"/>
      <c r="L219"/>
      <c r="M219"/>
    </row>
    <row r="220" spans="2:13">
      <c r="B220" s="66" t="s">
        <v>171</v>
      </c>
      <c r="C220" s="374">
        <v>0</v>
      </c>
      <c r="D220" s="367">
        <v>0</v>
      </c>
      <c r="E220"/>
      <c r="F220"/>
      <c r="G220"/>
      <c r="H220"/>
      <c r="I220"/>
      <c r="J220"/>
      <c r="K220"/>
      <c r="L220"/>
      <c r="M220"/>
    </row>
    <row r="221" spans="2:13">
      <c r="B221" s="66" t="s">
        <v>51</v>
      </c>
      <c r="C221" s="374">
        <v>258.34999999999997</v>
      </c>
      <c r="D221" s="367">
        <v>258.34999999999997</v>
      </c>
      <c r="E221"/>
      <c r="F221"/>
      <c r="G221"/>
      <c r="H221"/>
      <c r="I221"/>
      <c r="J221"/>
      <c r="K221"/>
      <c r="L221"/>
      <c r="M221"/>
    </row>
    <row r="222" spans="2:13">
      <c r="B222" s="66" t="s">
        <v>72</v>
      </c>
      <c r="C222" s="374">
        <v>0</v>
      </c>
      <c r="D222" s="367">
        <v>0</v>
      </c>
      <c r="E222"/>
      <c r="F222"/>
      <c r="G222"/>
      <c r="H222"/>
      <c r="I222"/>
      <c r="J222"/>
      <c r="K222"/>
      <c r="L222"/>
      <c r="M222"/>
    </row>
    <row r="223" spans="2:13">
      <c r="B223" s="66" t="s">
        <v>64</v>
      </c>
      <c r="C223" s="374">
        <v>47.25</v>
      </c>
      <c r="D223" s="367">
        <v>47.25</v>
      </c>
      <c r="E223"/>
      <c r="F223"/>
      <c r="G223"/>
      <c r="H223"/>
      <c r="I223"/>
      <c r="J223"/>
      <c r="K223"/>
      <c r="L223"/>
      <c r="M223"/>
    </row>
    <row r="224" spans="2:13">
      <c r="B224" s="54" t="s">
        <v>75</v>
      </c>
      <c r="C224" s="375">
        <v>987.74999999999989</v>
      </c>
      <c r="D224" s="376">
        <v>987.74999999999989</v>
      </c>
      <c r="E224"/>
      <c r="F224"/>
      <c r="G224"/>
      <c r="H224"/>
    </row>
    <row r="225" spans="2:8">
      <c r="B225" s="53" t="s">
        <v>86</v>
      </c>
      <c r="C225" s="377">
        <v>1301.6999999999998</v>
      </c>
      <c r="D225" s="378">
        <v>1301.6999999999998</v>
      </c>
      <c r="E225"/>
      <c r="F225"/>
      <c r="G225"/>
      <c r="H225"/>
    </row>
    <row r="226" spans="2:8">
      <c r="B226"/>
      <c r="C226"/>
      <c r="D226"/>
      <c r="E226"/>
      <c r="F226"/>
      <c r="G226"/>
      <c r="H226"/>
    </row>
    <row r="227" spans="2:8">
      <c r="B227"/>
      <c r="C227"/>
      <c r="D227"/>
      <c r="E227"/>
      <c r="F227"/>
      <c r="G227"/>
      <c r="H227"/>
    </row>
    <row r="228" spans="2:8">
      <c r="B228"/>
      <c r="C228"/>
      <c r="D228"/>
      <c r="E228"/>
      <c r="F228"/>
      <c r="G228"/>
      <c r="H228"/>
    </row>
    <row r="229" spans="2:8">
      <c r="B229"/>
      <c r="C229"/>
      <c r="D229"/>
      <c r="E229"/>
      <c r="F229"/>
      <c r="G229"/>
      <c r="H229"/>
    </row>
    <row r="232" spans="2:8" ht="15.75" thickBot="1"/>
    <row r="233" spans="2:8">
      <c r="B233" s="56" t="s">
        <v>12</v>
      </c>
      <c r="C233" s="56" t="s">
        <v>85</v>
      </c>
      <c r="D233" s="1215" t="s">
        <v>556</v>
      </c>
      <c r="E233" s="1216"/>
    </row>
    <row r="234" spans="2:8" ht="15.75" thickBot="1">
      <c r="B234" s="56" t="s">
        <v>163</v>
      </c>
      <c r="C234" s="385" t="s">
        <v>640</v>
      </c>
      <c r="D234" s="1217"/>
      <c r="E234" s="1218"/>
    </row>
    <row r="235" spans="2:8">
      <c r="B235" s="56"/>
      <c r="C235" s="379"/>
      <c r="D235" s="379"/>
      <c r="E235" s="379"/>
    </row>
    <row r="236" spans="2:8">
      <c r="B236" s="56"/>
      <c r="C236" s="56" t="s">
        <v>140</v>
      </c>
      <c r="D236" s="56"/>
      <c r="E236" s="395"/>
    </row>
    <row r="237" spans="2:8" ht="60">
      <c r="B237" s="390" t="s">
        <v>530</v>
      </c>
      <c r="C237" s="380" t="s">
        <v>555</v>
      </c>
      <c r="D237" s="380" t="s">
        <v>554</v>
      </c>
      <c r="E237" s="395"/>
    </row>
    <row r="238" spans="2:8">
      <c r="B238" s="381" t="s">
        <v>70</v>
      </c>
      <c r="C238" s="382">
        <v>0.89569019362898183</v>
      </c>
      <c r="D238" s="382">
        <v>0</v>
      </c>
      <c r="E238" s="395"/>
    </row>
    <row r="239" spans="2:8">
      <c r="B239" s="381" t="s">
        <v>171</v>
      </c>
      <c r="C239" s="382">
        <v>1</v>
      </c>
      <c r="D239" s="382">
        <v>0</v>
      </c>
      <c r="E239" s="395"/>
    </row>
    <row r="240" spans="2:8">
      <c r="B240" s="381" t="s">
        <v>51</v>
      </c>
      <c r="C240" s="382">
        <v>0.73327482965104274</v>
      </c>
      <c r="D240" s="382">
        <v>0</v>
      </c>
      <c r="E240" s="395"/>
    </row>
    <row r="241" spans="2:5">
      <c r="B241" s="381" t="s">
        <v>72</v>
      </c>
      <c r="C241" s="382">
        <v>1</v>
      </c>
      <c r="D241" s="382">
        <v>0</v>
      </c>
      <c r="E241" s="395"/>
    </row>
    <row r="242" spans="2:5">
      <c r="B242" s="381" t="s">
        <v>64</v>
      </c>
      <c r="C242" s="382">
        <v>0.72408759124087596</v>
      </c>
      <c r="D242" s="382">
        <v>2.6569343065693422E-2</v>
      </c>
      <c r="E242" s="395"/>
    </row>
    <row r="243" spans="2:5">
      <c r="B243" s="381" t="s">
        <v>75</v>
      </c>
      <c r="C243" s="382">
        <v>0.78917430605210082</v>
      </c>
      <c r="D243" s="382">
        <v>0</v>
      </c>
      <c r="E243" s="395"/>
    </row>
    <row r="244" spans="2:5">
      <c r="B244" s="383" t="s">
        <v>86</v>
      </c>
      <c r="C244" s="382">
        <v>0.78517497751408982</v>
      </c>
      <c r="D244" s="382">
        <v>7.5090562519082062E-4</v>
      </c>
      <c r="E244" s="395"/>
    </row>
    <row r="245" spans="2:5">
      <c r="B245"/>
      <c r="C245"/>
      <c r="D245"/>
      <c r="E245" s="395"/>
    </row>
    <row r="246" spans="2:5">
      <c r="B246"/>
      <c r="C246"/>
      <c r="D246"/>
      <c r="E246" s="395"/>
    </row>
    <row r="247" spans="2:5">
      <c r="B247"/>
      <c r="C247"/>
      <c r="D247"/>
      <c r="E247" s="395"/>
    </row>
    <row r="251" spans="2:5" s="357" customFormat="1"/>
    <row r="252" spans="2:5" s="357" customFormat="1" ht="15.75" thickBot="1">
      <c r="B252" s="14"/>
      <c r="C252" s="14"/>
    </row>
    <row r="253" spans="2:5" s="357" customFormat="1">
      <c r="B253" s="14" t="s">
        <v>12</v>
      </c>
      <c r="C253" s="14" t="s">
        <v>85</v>
      </c>
      <c r="D253" s="1215" t="s">
        <v>557</v>
      </c>
      <c r="E253" s="1216"/>
    </row>
    <row r="254" spans="2:5" s="357" customFormat="1" ht="15.75" thickBot="1">
      <c r="B254" s="365" t="s">
        <v>8</v>
      </c>
      <c r="C254" s="14" t="s">
        <v>345</v>
      </c>
      <c r="D254" s="1217"/>
      <c r="E254" s="1218"/>
    </row>
    <row r="255" spans="2:5" s="357" customFormat="1">
      <c r="B255" s="14"/>
      <c r="C255" s="360"/>
      <c r="D255" s="360"/>
    </row>
    <row r="256" spans="2:5" s="357" customFormat="1">
      <c r="B256" s="14"/>
      <c r="C256" s="14" t="s">
        <v>140</v>
      </c>
      <c r="D256" s="14"/>
    </row>
    <row r="257" spans="2:8" s="357" customFormat="1" ht="60">
      <c r="B257" s="387" t="s">
        <v>530</v>
      </c>
      <c r="C257" s="361" t="s">
        <v>553</v>
      </c>
      <c r="D257" s="361" t="s">
        <v>554</v>
      </c>
    </row>
    <row r="258" spans="2:8" s="357" customFormat="1">
      <c r="B258" s="359" t="s">
        <v>640</v>
      </c>
      <c r="C258" s="362">
        <v>0.78517497751408982</v>
      </c>
      <c r="D258" s="362">
        <v>7.5090562519082062E-4</v>
      </c>
    </row>
    <row r="259" spans="2:8" s="357" customFormat="1">
      <c r="B259" s="359" t="s">
        <v>508</v>
      </c>
      <c r="C259" s="362">
        <v>0.28510624472025475</v>
      </c>
      <c r="D259" s="362">
        <v>0</v>
      </c>
    </row>
    <row r="260" spans="2:8" s="357" customFormat="1">
      <c r="B260" s="359" t="s">
        <v>642</v>
      </c>
      <c r="C260" s="362">
        <v>0.28186871238917727</v>
      </c>
      <c r="D260" s="362">
        <v>0</v>
      </c>
    </row>
    <row r="261" spans="2:8" s="357" customFormat="1">
      <c r="B261" s="359" t="s">
        <v>641</v>
      </c>
      <c r="C261" s="362">
        <v>0.19712962410797702</v>
      </c>
      <c r="D261" s="362">
        <v>0</v>
      </c>
    </row>
    <row r="262" spans="2:8" s="357" customFormat="1">
      <c r="B262" s="364" t="s">
        <v>86</v>
      </c>
      <c r="C262" s="362">
        <v>0.50528414286218848</v>
      </c>
      <c r="D262" s="362">
        <v>3.5711622759684316E-4</v>
      </c>
    </row>
    <row r="266" spans="2:8">
      <c r="B266" s="327"/>
      <c r="C266" s="327"/>
    </row>
    <row r="267" spans="2:8">
      <c r="B267" s="389" t="s">
        <v>12</v>
      </c>
      <c r="C267" s="380" t="s">
        <v>85</v>
      </c>
    </row>
    <row r="268" spans="2:8">
      <c r="B268" s="389" t="s">
        <v>8</v>
      </c>
      <c r="C268" s="389" t="s">
        <v>85</v>
      </c>
    </row>
    <row r="269" spans="2:8">
      <c r="B269" s="9"/>
      <c r="C269" s="10"/>
    </row>
    <row r="270" spans="2:8">
      <c r="B270" s="389"/>
      <c r="C270" s="389" t="s">
        <v>92</v>
      </c>
      <c r="D270" s="380"/>
      <c r="E270"/>
      <c r="F270"/>
      <c r="G270"/>
      <c r="H270"/>
    </row>
    <row r="271" spans="2:8" ht="75">
      <c r="B271" s="389" t="s">
        <v>163</v>
      </c>
      <c r="C271" s="389" t="s">
        <v>541</v>
      </c>
      <c r="D271" s="389" t="s">
        <v>564</v>
      </c>
      <c r="E271"/>
      <c r="F271"/>
      <c r="G271"/>
      <c r="H271"/>
    </row>
    <row r="272" spans="2:8">
      <c r="B272" s="396" t="s">
        <v>640</v>
      </c>
      <c r="C272" s="397">
        <v>0.78592588313928058</v>
      </c>
      <c r="D272" s="397">
        <v>0.18144256397138314</v>
      </c>
      <c r="E272"/>
      <c r="F272"/>
      <c r="G272"/>
      <c r="H272"/>
    </row>
    <row r="273" spans="2:8">
      <c r="B273" s="396" t="s">
        <v>508</v>
      </c>
      <c r="C273" s="397">
        <v>0.28510624472025475</v>
      </c>
      <c r="D273" s="397">
        <v>0.11296867892650603</v>
      </c>
      <c r="E273"/>
      <c r="F273"/>
      <c r="G273"/>
      <c r="H273"/>
    </row>
    <row r="274" spans="2:8">
      <c r="B274" s="396" t="s">
        <v>642</v>
      </c>
      <c r="C274" s="397">
        <v>0.28186871238917727</v>
      </c>
      <c r="D274" s="397">
        <v>0.32572649180026642</v>
      </c>
      <c r="E274"/>
      <c r="F274"/>
      <c r="G274"/>
      <c r="H274"/>
    </row>
    <row r="275" spans="2:8">
      <c r="B275" s="396" t="s">
        <v>641</v>
      </c>
      <c r="C275" s="397">
        <v>0.19712962410797702</v>
      </c>
      <c r="D275" s="397">
        <v>0.45331067247102791</v>
      </c>
      <c r="E275"/>
      <c r="F275"/>
      <c r="G275"/>
      <c r="H275"/>
    </row>
    <row r="276" spans="2:8">
      <c r="B276" s="396" t="s">
        <v>86</v>
      </c>
      <c r="C276" s="397">
        <v>0.5056412590897853</v>
      </c>
      <c r="D276" s="397">
        <v>0.23090044305958374</v>
      </c>
    </row>
    <row r="278" spans="2:8" s="357" customFormat="1">
      <c r="B278" s="14"/>
      <c r="C278" s="14"/>
      <c r="D278" s="14"/>
    </row>
    <row r="280" spans="2:8">
      <c r="B280" s="327"/>
      <c r="C280" s="327"/>
    </row>
    <row r="281" spans="2:8">
      <c r="B281" s="495" t="s">
        <v>12</v>
      </c>
      <c r="C281" s="515" t="s">
        <v>85</v>
      </c>
    </row>
    <row r="282" spans="2:8">
      <c r="B282" s="495" t="s">
        <v>8</v>
      </c>
      <c r="C282" s="495" t="s">
        <v>85</v>
      </c>
    </row>
    <row r="283" spans="2:8">
      <c r="B283" s="9"/>
      <c r="C283" s="10"/>
    </row>
    <row r="284" spans="2:8">
      <c r="B284" s="496"/>
      <c r="C284" s="496" t="s">
        <v>92</v>
      </c>
      <c r="D284" s="504"/>
      <c r="E284"/>
      <c r="F284"/>
      <c r="G284"/>
      <c r="H284"/>
    </row>
    <row r="285" spans="2:8" ht="105">
      <c r="B285" s="496" t="s">
        <v>163</v>
      </c>
      <c r="C285" s="496" t="s">
        <v>565</v>
      </c>
      <c r="D285" s="514" t="s">
        <v>566</v>
      </c>
      <c r="E285"/>
      <c r="F285"/>
      <c r="G285"/>
      <c r="H285"/>
    </row>
    <row r="286" spans="2:8">
      <c r="B286" s="497" t="s">
        <v>640</v>
      </c>
      <c r="C286" s="500">
        <v>0.32605378464686802</v>
      </c>
      <c r="D286" s="516">
        <v>0.20654682934504781</v>
      </c>
      <c r="E286"/>
      <c r="F286"/>
      <c r="G286"/>
      <c r="H286"/>
    </row>
    <row r="287" spans="2:8">
      <c r="B287" s="498" t="s">
        <v>508</v>
      </c>
      <c r="C287" s="501">
        <v>0</v>
      </c>
      <c r="D287" s="517">
        <v>0</v>
      </c>
      <c r="E287"/>
      <c r="F287"/>
      <c r="G287"/>
      <c r="H287"/>
    </row>
    <row r="288" spans="2:8">
      <c r="B288" s="498" t="s">
        <v>642</v>
      </c>
      <c r="C288" s="501">
        <v>0</v>
      </c>
      <c r="D288" s="517">
        <v>0</v>
      </c>
      <c r="E288"/>
      <c r="F288"/>
      <c r="G288"/>
      <c r="H288"/>
    </row>
    <row r="289" spans="2:8">
      <c r="B289" s="498" t="s">
        <v>641</v>
      </c>
      <c r="C289" s="501">
        <v>0</v>
      </c>
      <c r="D289" s="517">
        <v>0</v>
      </c>
      <c r="E289"/>
      <c r="F289"/>
      <c r="G289"/>
      <c r="H289"/>
    </row>
    <row r="290" spans="2:8">
      <c r="B290" s="499" t="s">
        <v>86</v>
      </c>
      <c r="C290" s="502">
        <v>0.15506488919586059</v>
      </c>
      <c r="D290" s="518">
        <v>9.8229686985029804E-2</v>
      </c>
    </row>
    <row r="293" spans="2:8">
      <c r="B293"/>
      <c r="C293"/>
      <c r="D293"/>
      <c r="E293"/>
      <c r="F293"/>
      <c r="G293"/>
      <c r="H293"/>
    </row>
    <row r="294" spans="2:8">
      <c r="B294"/>
      <c r="C294"/>
      <c r="F294"/>
      <c r="G294"/>
      <c r="H294"/>
    </row>
    <row r="295" spans="2:8" ht="15.75" thickBot="1">
      <c r="B295"/>
      <c r="C295"/>
      <c r="F295"/>
      <c r="G295"/>
      <c r="H295"/>
    </row>
    <row r="296" spans="2:8">
      <c r="B296" s="389" t="s">
        <v>12</v>
      </c>
      <c r="C296" s="391" t="s">
        <v>44</v>
      </c>
      <c r="D296" s="1198" t="s">
        <v>497</v>
      </c>
      <c r="E296" s="1199"/>
      <c r="F296"/>
      <c r="G296"/>
      <c r="H296"/>
    </row>
    <row r="297" spans="2:8" ht="15.75" thickBot="1">
      <c r="B297" s="389" t="s">
        <v>163</v>
      </c>
      <c r="C297" s="389" t="s">
        <v>345</v>
      </c>
      <c r="D297" s="1200"/>
      <c r="E297" s="1201"/>
      <c r="F297"/>
      <c r="G297"/>
      <c r="H297"/>
    </row>
    <row r="298" spans="2:8">
      <c r="B298" s="9"/>
      <c r="C298" s="10"/>
      <c r="F298"/>
      <c r="G298"/>
      <c r="H298"/>
    </row>
    <row r="299" spans="2:8" ht="30">
      <c r="B299" s="389" t="s">
        <v>498</v>
      </c>
      <c r="C299" s="380"/>
      <c r="D299"/>
      <c r="E299"/>
      <c r="F299"/>
      <c r="G299"/>
      <c r="H299"/>
    </row>
    <row r="300" spans="2:8">
      <c r="B300" s="389" t="s">
        <v>490</v>
      </c>
      <c r="C300" s="389" t="s">
        <v>84</v>
      </c>
      <c r="D300"/>
      <c r="E300"/>
      <c r="F300"/>
      <c r="G300"/>
      <c r="H300"/>
    </row>
    <row r="301" spans="2:8">
      <c r="B301" s="389" t="s">
        <v>491</v>
      </c>
      <c r="C301" s="397">
        <v>0.22580645161290322</v>
      </c>
      <c r="D301"/>
      <c r="E301"/>
      <c r="F301"/>
      <c r="G301"/>
      <c r="H301"/>
    </row>
    <row r="302" spans="2:8">
      <c r="B302" s="389" t="s">
        <v>494</v>
      </c>
      <c r="C302" s="397">
        <v>0.61290322580645162</v>
      </c>
      <c r="D302"/>
      <c r="E302"/>
      <c r="F302"/>
      <c r="G302"/>
      <c r="H302"/>
    </row>
    <row r="303" spans="2:8">
      <c r="B303" s="389" t="s">
        <v>475</v>
      </c>
      <c r="C303" s="397">
        <v>0.12903225806451613</v>
      </c>
      <c r="D303"/>
      <c r="E303"/>
      <c r="F303"/>
      <c r="G303"/>
      <c r="H303"/>
    </row>
    <row r="304" spans="2:8">
      <c r="B304" s="389" t="s">
        <v>493</v>
      </c>
      <c r="C304" s="397">
        <v>3.2258064516129031E-2</v>
      </c>
      <c r="D304"/>
      <c r="E304"/>
      <c r="F304"/>
      <c r="G304"/>
      <c r="H304"/>
    </row>
    <row r="305" spans="2:11">
      <c r="B305" s="389" t="s">
        <v>86</v>
      </c>
      <c r="C305" s="397">
        <v>1</v>
      </c>
      <c r="D305"/>
      <c r="E305"/>
      <c r="F305"/>
      <c r="G305"/>
      <c r="H305"/>
    </row>
    <row r="306" spans="2:11">
      <c r="B306"/>
      <c r="C306"/>
      <c r="F306" s="321"/>
      <c r="G306" s="321"/>
      <c r="H306" s="321"/>
    </row>
    <row r="307" spans="2:11">
      <c r="B307" s="321"/>
      <c r="C307" s="321"/>
      <c r="F307" s="321"/>
      <c r="G307" s="321"/>
      <c r="H307" s="321"/>
    </row>
    <row r="308" spans="2:11">
      <c r="B308" s="327"/>
      <c r="C308" s="327"/>
      <c r="F308" s="327"/>
      <c r="G308" s="327"/>
      <c r="H308" s="327"/>
    </row>
    <row r="309" spans="2:11" ht="15.75" thickBot="1">
      <c r="B309" s="389" t="s">
        <v>163</v>
      </c>
      <c r="C309" s="389" t="s">
        <v>85</v>
      </c>
      <c r="F309" s="321"/>
      <c r="G309" s="321"/>
      <c r="H309" s="321"/>
    </row>
    <row r="310" spans="2:11">
      <c r="B310" s="389" t="s">
        <v>12</v>
      </c>
      <c r="C310" s="391" t="s">
        <v>44</v>
      </c>
      <c r="D310" s="1198" t="s">
        <v>499</v>
      </c>
      <c r="E310" s="1199"/>
      <c r="F310" s="321"/>
      <c r="G310" s="321"/>
      <c r="H310" s="321"/>
    </row>
    <row r="311" spans="2:11" ht="15.75" thickBot="1">
      <c r="B311" s="9"/>
      <c r="C311" s="10"/>
      <c r="D311" s="1200"/>
      <c r="E311" s="1201"/>
      <c r="F311" s="321"/>
      <c r="G311" s="321"/>
      <c r="H311" s="321"/>
    </row>
    <row r="312" spans="2:11" ht="30">
      <c r="B312" s="389" t="s">
        <v>138</v>
      </c>
      <c r="C312" s="389" t="s">
        <v>481</v>
      </c>
      <c r="D312" s="380"/>
      <c r="E312" s="380"/>
      <c r="F312"/>
      <c r="G312"/>
      <c r="H312"/>
      <c r="I312"/>
      <c r="J312"/>
      <c r="K312"/>
    </row>
    <row r="313" spans="2:11" ht="30">
      <c r="B313" s="389" t="s">
        <v>8</v>
      </c>
      <c r="C313" s="389" t="s">
        <v>43</v>
      </c>
      <c r="D313" s="389" t="s">
        <v>35</v>
      </c>
      <c r="E313" s="389" t="s">
        <v>86</v>
      </c>
      <c r="F313"/>
      <c r="G313"/>
      <c r="H313"/>
      <c r="I313"/>
      <c r="J313"/>
      <c r="K313"/>
    </row>
    <row r="314" spans="2:11">
      <c r="B314" s="396" t="s">
        <v>70</v>
      </c>
      <c r="C314" s="397">
        <v>1</v>
      </c>
      <c r="D314" s="397">
        <v>0</v>
      </c>
      <c r="E314" s="397">
        <v>1</v>
      </c>
      <c r="F314"/>
      <c r="G314"/>
      <c r="H314"/>
      <c r="I314"/>
      <c r="J314"/>
      <c r="K314"/>
    </row>
    <row r="315" spans="2:11">
      <c r="B315" s="396" t="s">
        <v>171</v>
      </c>
      <c r="C315" s="397">
        <v>0</v>
      </c>
      <c r="D315" s="397">
        <v>1</v>
      </c>
      <c r="E315" s="397">
        <v>1</v>
      </c>
      <c r="F315"/>
      <c r="G315"/>
      <c r="H315"/>
      <c r="I315"/>
      <c r="J315"/>
      <c r="K315"/>
    </row>
    <row r="316" spans="2:11">
      <c r="B316" s="396" t="s">
        <v>51</v>
      </c>
      <c r="C316" s="397">
        <v>0.8750649350649351</v>
      </c>
      <c r="D316" s="397">
        <v>0.12493506493506494</v>
      </c>
      <c r="E316" s="397">
        <v>1</v>
      </c>
      <c r="F316"/>
      <c r="G316"/>
      <c r="H316"/>
      <c r="I316"/>
      <c r="J316"/>
      <c r="K316"/>
    </row>
    <row r="317" spans="2:11">
      <c r="B317" s="396" t="s">
        <v>72</v>
      </c>
      <c r="C317" s="397">
        <v>1</v>
      </c>
      <c r="D317" s="397">
        <v>0</v>
      </c>
      <c r="E317" s="397">
        <v>1</v>
      </c>
      <c r="F317"/>
      <c r="G317"/>
      <c r="H317"/>
    </row>
    <row r="318" spans="2:11">
      <c r="B318" s="396" t="s">
        <v>64</v>
      </c>
      <c r="C318" s="397">
        <v>1</v>
      </c>
      <c r="D318" s="397">
        <v>0</v>
      </c>
      <c r="E318" s="397">
        <v>1</v>
      </c>
      <c r="F318"/>
      <c r="G318"/>
      <c r="H318"/>
    </row>
    <row r="319" spans="2:11">
      <c r="B319" s="396" t="s">
        <v>75</v>
      </c>
      <c r="C319" s="397">
        <v>0.39526572899249207</v>
      </c>
      <c r="D319" s="397">
        <v>0.60473427100750798</v>
      </c>
      <c r="E319" s="397">
        <v>1</v>
      </c>
      <c r="F319"/>
      <c r="G319"/>
      <c r="H319"/>
    </row>
    <row r="320" spans="2:11">
      <c r="B320" s="396" t="s">
        <v>86</v>
      </c>
      <c r="C320" s="397">
        <v>0.51575178175892022</v>
      </c>
      <c r="D320" s="397">
        <v>0.48424821824107972</v>
      </c>
      <c r="E320" s="397">
        <v>1</v>
      </c>
      <c r="F320"/>
      <c r="G320"/>
      <c r="H320"/>
    </row>
    <row r="321" spans="2:8" s="357" customFormat="1">
      <c r="B321"/>
      <c r="C321"/>
      <c r="D321"/>
      <c r="E321"/>
      <c r="F321"/>
      <c r="G321"/>
      <c r="H321"/>
    </row>
    <row r="322" spans="2:8">
      <c r="B322"/>
      <c r="C322"/>
      <c r="D322"/>
      <c r="E322"/>
      <c r="F322"/>
      <c r="G322"/>
      <c r="H322"/>
    </row>
    <row r="323" spans="2:8">
      <c r="B323" s="396"/>
      <c r="C323" s="474"/>
      <c r="D323" s="474"/>
      <c r="E323" s="474"/>
      <c r="F323" s="327"/>
      <c r="G323" s="327"/>
      <c r="H323" s="327"/>
    </row>
    <row r="324" spans="2:8">
      <c r="B324" s="396"/>
      <c r="C324" s="474"/>
      <c r="D324" s="474"/>
      <c r="E324" s="474"/>
      <c r="F324" s="327"/>
      <c r="G324" s="327"/>
      <c r="H324" s="327"/>
    </row>
    <row r="325" spans="2:8">
      <c r="B325" s="396"/>
      <c r="C325" s="474"/>
      <c r="D325" s="474"/>
      <c r="E325" s="474"/>
      <c r="F325" s="327"/>
      <c r="G325" s="327"/>
      <c r="H325" s="327"/>
    </row>
    <row r="326" spans="2:8">
      <c r="B326" s="396"/>
      <c r="C326" s="474"/>
      <c r="D326" s="474"/>
      <c r="E326" s="474"/>
      <c r="F326" s="327"/>
      <c r="G326" s="327"/>
      <c r="H326" s="327"/>
    </row>
    <row r="327" spans="2:8">
      <c r="B327" s="396"/>
      <c r="C327" s="474"/>
      <c r="D327" s="474"/>
      <c r="E327" s="474"/>
      <c r="F327" s="327"/>
      <c r="G327" s="327"/>
      <c r="H327" s="327"/>
    </row>
    <row r="328" spans="2:8">
      <c r="B328" s="396"/>
      <c r="C328" s="474"/>
      <c r="D328" s="474"/>
      <c r="E328" s="474"/>
      <c r="F328" s="327"/>
      <c r="G328" s="327"/>
      <c r="H328" s="327"/>
    </row>
    <row r="329" spans="2:8">
      <c r="B329" s="396"/>
      <c r="C329" s="474"/>
      <c r="D329" s="474"/>
      <c r="E329" s="474"/>
      <c r="F329" s="327"/>
      <c r="G329" s="327"/>
      <c r="H329" s="327"/>
    </row>
    <row r="330" spans="2:8">
      <c r="B330" s="396"/>
      <c r="C330" s="474"/>
      <c r="D330" s="474"/>
      <c r="E330" s="474"/>
      <c r="F330" s="327"/>
      <c r="G330" s="327"/>
      <c r="H330" s="327"/>
    </row>
    <row r="331" spans="2:8">
      <c r="B331" s="396"/>
      <c r="C331" s="474"/>
      <c r="D331" s="474"/>
      <c r="E331" s="474"/>
      <c r="F331" s="327"/>
      <c r="G331" s="327"/>
      <c r="H331" s="327"/>
    </row>
    <row r="332" spans="2:8">
      <c r="B332" s="396"/>
      <c r="C332" s="474"/>
      <c r="D332" s="474"/>
      <c r="E332" s="474"/>
      <c r="F332" s="327"/>
      <c r="G332" s="327"/>
      <c r="H332" s="327"/>
    </row>
    <row r="333" spans="2:8">
      <c r="B333" s="396"/>
      <c r="C333" s="474"/>
      <c r="D333" s="474"/>
      <c r="E333" s="474"/>
      <c r="F333" s="327"/>
      <c r="G333" s="327"/>
      <c r="H333" s="327"/>
    </row>
    <row r="334" spans="2:8">
      <c r="B334" s="396"/>
      <c r="C334" s="474"/>
      <c r="D334" s="474"/>
      <c r="E334" s="474"/>
      <c r="F334" s="327"/>
      <c r="G334" s="327"/>
      <c r="H334" s="327"/>
    </row>
    <row r="335" spans="2:8">
      <c r="B335" s="396"/>
      <c r="C335" s="474"/>
      <c r="D335" s="474"/>
      <c r="E335" s="474"/>
      <c r="F335" s="327"/>
      <c r="G335" s="327"/>
      <c r="H335" s="327"/>
    </row>
    <row r="336" spans="2:8">
      <c r="B336" s="396"/>
      <c r="C336" s="474"/>
      <c r="D336" s="474"/>
      <c r="E336" s="474"/>
      <c r="F336" s="327"/>
      <c r="G336" s="327"/>
      <c r="H336" s="327"/>
    </row>
    <row r="337" spans="2:10">
      <c r="B337" s="396"/>
      <c r="C337" s="474"/>
      <c r="D337" s="474"/>
      <c r="E337" s="474"/>
      <c r="F337" s="327"/>
      <c r="G337" s="327"/>
      <c r="H337" s="327"/>
    </row>
    <row r="338" spans="2:10">
      <c r="B338" s="396"/>
      <c r="C338" s="474"/>
      <c r="D338" s="474"/>
      <c r="E338" s="474"/>
      <c r="F338" s="327"/>
      <c r="G338" s="327"/>
      <c r="H338" s="327"/>
    </row>
    <row r="339" spans="2:10">
      <c r="B339" s="396"/>
      <c r="C339" s="474"/>
      <c r="D339" s="474"/>
      <c r="E339" s="474"/>
      <c r="F339" s="327"/>
      <c r="G339" s="327"/>
      <c r="H339" s="327"/>
    </row>
    <row r="340" spans="2:10">
      <c r="B340" s="396"/>
      <c r="C340" s="474"/>
      <c r="D340" s="474"/>
      <c r="E340" s="474"/>
      <c r="F340" s="327"/>
      <c r="G340" s="327"/>
      <c r="H340" s="327"/>
    </row>
    <row r="341" spans="2:10">
      <c r="B341" s="396"/>
      <c r="C341" s="474"/>
      <c r="D341" s="474"/>
      <c r="E341" s="474"/>
      <c r="F341" s="327"/>
      <c r="G341" s="327"/>
      <c r="H341" s="327"/>
    </row>
    <row r="342" spans="2:10" ht="33" customHeight="1">
      <c r="B342" s="1208" t="s">
        <v>99</v>
      </c>
      <c r="C342" s="1209"/>
      <c r="D342" s="1209"/>
      <c r="E342" s="1209"/>
      <c r="F342" s="1209"/>
      <c r="G342" s="1209"/>
      <c r="H342" s="1209"/>
      <c r="I342" s="1209"/>
      <c r="J342" s="1210"/>
    </row>
    <row r="343" spans="2:10" s="51" customFormat="1" ht="18.75">
      <c r="B343" s="55"/>
      <c r="C343" s="55"/>
      <c r="D343" s="55"/>
      <c r="E343" s="55"/>
      <c r="F343" s="55"/>
      <c r="G343" s="55"/>
      <c r="H343" s="55"/>
      <c r="I343" s="55"/>
      <c r="J343" s="55"/>
    </row>
    <row r="344" spans="2:10" ht="15.75" thickBot="1">
      <c r="B344" s="389" t="s">
        <v>12</v>
      </c>
      <c r="C344" s="380" t="s">
        <v>85</v>
      </c>
    </row>
    <row r="345" spans="2:10">
      <c r="B345" s="389" t="s">
        <v>163</v>
      </c>
      <c r="C345" s="389" t="s">
        <v>345</v>
      </c>
      <c r="D345" s="1202" t="s">
        <v>151</v>
      </c>
      <c r="E345" s="1203"/>
    </row>
    <row r="346" spans="2:10" ht="15.75" thickBot="1">
      <c r="B346" s="389" t="s">
        <v>8</v>
      </c>
      <c r="C346" s="389" t="s">
        <v>85</v>
      </c>
      <c r="D346" s="1206"/>
      <c r="E346" s="1207"/>
    </row>
    <row r="347" spans="2:10">
      <c r="B347" s="9"/>
      <c r="C347" s="10"/>
    </row>
    <row r="348" spans="2:10" ht="30">
      <c r="B348" s="389" t="s">
        <v>368</v>
      </c>
      <c r="C348" s="380"/>
      <c r="D348"/>
      <c r="E348"/>
      <c r="F348"/>
      <c r="G348"/>
      <c r="H348"/>
    </row>
    <row r="349" spans="2:10" ht="30">
      <c r="B349" s="389" t="s">
        <v>657</v>
      </c>
      <c r="C349" s="389" t="s">
        <v>84</v>
      </c>
      <c r="D349"/>
      <c r="E349"/>
      <c r="F349"/>
      <c r="G349"/>
      <c r="H349"/>
    </row>
    <row r="350" spans="2:10">
      <c r="B350" s="11">
        <v>3</v>
      </c>
      <c r="C350" s="11">
        <v>1939</v>
      </c>
      <c r="D350"/>
      <c r="E350"/>
      <c r="F350"/>
      <c r="G350"/>
      <c r="H350"/>
    </row>
    <row r="351" spans="2:10">
      <c r="B351" s="11">
        <v>4</v>
      </c>
      <c r="C351" s="11">
        <v>1569</v>
      </c>
      <c r="D351"/>
      <c r="E351"/>
      <c r="F351"/>
      <c r="G351"/>
      <c r="H351"/>
    </row>
    <row r="352" spans="2:10">
      <c r="B352" s="389" t="s">
        <v>86</v>
      </c>
      <c r="C352" s="397">
        <v>3508</v>
      </c>
      <c r="D352"/>
      <c r="E352"/>
      <c r="F352"/>
      <c r="G352"/>
      <c r="H352"/>
    </row>
    <row r="353" spans="2:8">
      <c r="B353"/>
      <c r="C353"/>
      <c r="D353"/>
      <c r="E353"/>
      <c r="F353"/>
      <c r="G353"/>
      <c r="H353"/>
    </row>
    <row r="354" spans="2:8">
      <c r="B354"/>
      <c r="C354"/>
      <c r="D354"/>
      <c r="E354"/>
      <c r="F354"/>
      <c r="G354"/>
      <c r="H354"/>
    </row>
    <row r="355" spans="2:8">
      <c r="B355"/>
      <c r="C355"/>
      <c r="D355"/>
      <c r="E355"/>
      <c r="F355"/>
      <c r="G355"/>
      <c r="H355"/>
    </row>
    <row r="356" spans="2:8">
      <c r="B356"/>
      <c r="C356"/>
      <c r="D356"/>
      <c r="E356"/>
      <c r="F356"/>
      <c r="G356"/>
      <c r="H356"/>
    </row>
    <row r="357" spans="2:8">
      <c r="B357"/>
      <c r="C357"/>
      <c r="D357"/>
      <c r="E357"/>
      <c r="F357"/>
      <c r="G357"/>
      <c r="H357"/>
    </row>
    <row r="358" spans="2:8">
      <c r="B358"/>
      <c r="C358"/>
      <c r="D358" s="482"/>
    </row>
    <row r="359" spans="2:8">
      <c r="B359"/>
      <c r="C359"/>
      <c r="D359" s="482"/>
    </row>
    <row r="360" spans="2:8">
      <c r="B360"/>
      <c r="C360"/>
      <c r="D360" s="482"/>
    </row>
    <row r="361" spans="2:8">
      <c r="B361"/>
      <c r="C361"/>
    </row>
    <row r="362" spans="2:8">
      <c r="B362"/>
      <c r="C362"/>
    </row>
    <row r="363" spans="2:8">
      <c r="B363"/>
      <c r="C363"/>
    </row>
    <row r="364" spans="2:8">
      <c r="B364"/>
      <c r="C364"/>
    </row>
    <row r="367" spans="2:8" ht="15.75" thickBot="1"/>
    <row r="368" spans="2:8">
      <c r="B368" s="14" t="s">
        <v>12</v>
      </c>
      <c r="C368" s="14" t="s">
        <v>85</v>
      </c>
      <c r="D368" s="1198" t="s">
        <v>559</v>
      </c>
      <c r="E368" s="1199"/>
    </row>
    <row r="369" spans="2:5" ht="15.75" thickBot="1">
      <c r="B369" s="14" t="s">
        <v>163</v>
      </c>
      <c r="C369" s="481" t="s">
        <v>640</v>
      </c>
      <c r="D369" s="1200"/>
      <c r="E369" s="1201"/>
    </row>
    <row r="370" spans="2:5">
      <c r="B370" s="14"/>
      <c r="C370" s="360"/>
      <c r="D370" s="360"/>
      <c r="E370" s="360"/>
    </row>
    <row r="371" spans="2:5">
      <c r="B371" s="388" t="s">
        <v>530</v>
      </c>
      <c r="C371" s="14" t="s">
        <v>558</v>
      </c>
      <c r="D371"/>
      <c r="E371" s="327"/>
    </row>
    <row r="372" spans="2:5">
      <c r="B372" s="359" t="s">
        <v>70</v>
      </c>
      <c r="C372" s="362">
        <v>0.20424734540911929</v>
      </c>
      <c r="D372"/>
      <c r="E372" s="327"/>
    </row>
    <row r="373" spans="2:5">
      <c r="B373" s="359" t="s">
        <v>171</v>
      </c>
      <c r="C373" s="362">
        <v>1</v>
      </c>
      <c r="D373"/>
      <c r="E373" s="327"/>
    </row>
    <row r="374" spans="2:5">
      <c r="B374" s="359" t="s">
        <v>51</v>
      </c>
      <c r="C374" s="362">
        <v>0.37038530697226241</v>
      </c>
      <c r="D374"/>
      <c r="E374" s="327"/>
    </row>
    <row r="375" spans="2:5">
      <c r="B375" s="359" t="s">
        <v>72</v>
      </c>
      <c r="C375" s="362">
        <v>0</v>
      </c>
      <c r="D375"/>
      <c r="E375" s="327"/>
    </row>
    <row r="376" spans="2:5">
      <c r="B376" s="359" t="s">
        <v>64</v>
      </c>
      <c r="C376" s="362">
        <v>0</v>
      </c>
      <c r="D376"/>
      <c r="E376" s="327"/>
    </row>
    <row r="377" spans="2:5">
      <c r="B377" s="359" t="s">
        <v>75</v>
      </c>
      <c r="C377" s="362">
        <v>0.56808349870140473</v>
      </c>
      <c r="D377"/>
      <c r="E377" s="327"/>
    </row>
    <row r="378" spans="2:5">
      <c r="B378" s="364" t="s">
        <v>86</v>
      </c>
      <c r="C378" s="362">
        <v>0.52507473776464808</v>
      </c>
      <c r="D378"/>
      <c r="E378" s="327"/>
    </row>
    <row r="379" spans="2:5">
      <c r="B379"/>
      <c r="C379"/>
      <c r="D379"/>
      <c r="E379" s="327"/>
    </row>
    <row r="380" spans="2:5">
      <c r="B380"/>
      <c r="C380"/>
      <c r="D380"/>
      <c r="E380" s="327"/>
    </row>
    <row r="381" spans="2:5">
      <c r="B381"/>
      <c r="C381"/>
      <c r="D381"/>
      <c r="E381" s="327"/>
    </row>
    <row r="382" spans="2:5">
      <c r="B382"/>
      <c r="C382"/>
      <c r="D382"/>
      <c r="E382" s="327"/>
    </row>
    <row r="387" spans="2:8" ht="15.75" thickBot="1">
      <c r="B387"/>
      <c r="C387"/>
    </row>
    <row r="388" spans="2:8">
      <c r="B388" s="389" t="s">
        <v>13</v>
      </c>
      <c r="C388" s="380" t="s">
        <v>85</v>
      </c>
      <c r="D388" s="1202" t="s">
        <v>100</v>
      </c>
      <c r="E388" s="1203"/>
    </row>
    <row r="389" spans="2:8" ht="15.75" thickBot="1">
      <c r="B389" s="389" t="s">
        <v>155</v>
      </c>
      <c r="C389" s="389" t="s">
        <v>85</v>
      </c>
      <c r="D389" s="1204"/>
      <c r="E389" s="1205"/>
    </row>
    <row r="390" spans="2:8">
      <c r="B390" s="9"/>
      <c r="C390" s="10"/>
    </row>
    <row r="391" spans="2:8" ht="30">
      <c r="B391" s="389" t="s">
        <v>535</v>
      </c>
      <c r="C391" s="380"/>
      <c r="D391"/>
      <c r="E391"/>
      <c r="F391"/>
      <c r="G391"/>
      <c r="H391"/>
    </row>
    <row r="392" spans="2:8">
      <c r="B392" s="389" t="s">
        <v>163</v>
      </c>
      <c r="C392" s="389" t="s">
        <v>84</v>
      </c>
      <c r="D392"/>
      <c r="E392"/>
      <c r="F392"/>
      <c r="G392"/>
      <c r="H392"/>
    </row>
    <row r="393" spans="2:8">
      <c r="B393" s="396" t="s">
        <v>640</v>
      </c>
      <c r="C393" s="397">
        <v>0.83755677606428613</v>
      </c>
      <c r="D393"/>
      <c r="E393"/>
      <c r="F393"/>
      <c r="G393"/>
      <c r="H393"/>
    </row>
    <row r="394" spans="2:8">
      <c r="B394" s="396" t="s">
        <v>508</v>
      </c>
      <c r="C394" s="397">
        <v>0.21003404723385827</v>
      </c>
      <c r="D394"/>
      <c r="E394"/>
      <c r="F394"/>
      <c r="G394"/>
      <c r="H394"/>
    </row>
    <row r="395" spans="2:8">
      <c r="B395" s="396" t="s">
        <v>642</v>
      </c>
      <c r="C395" s="397">
        <v>0.14756075152740136</v>
      </c>
      <c r="D395"/>
      <c r="E395"/>
      <c r="F395"/>
      <c r="G395"/>
      <c r="H395"/>
    </row>
    <row r="396" spans="2:8">
      <c r="B396" s="396" t="s">
        <v>641</v>
      </c>
      <c r="C396" s="397">
        <v>0.18993877591587652</v>
      </c>
      <c r="D396"/>
      <c r="E396"/>
      <c r="F396"/>
      <c r="G396"/>
      <c r="H396"/>
    </row>
    <row r="397" spans="2:8">
      <c r="B397" s="396" t="s">
        <v>86</v>
      </c>
      <c r="C397" s="397">
        <v>0.49916744368524335</v>
      </c>
      <c r="D397"/>
      <c r="E397"/>
      <c r="F397"/>
      <c r="G397"/>
      <c r="H397"/>
    </row>
    <row r="398" spans="2:8">
      <c r="B398" s="396"/>
      <c r="C398" s="397"/>
      <c r="D398" s="327"/>
      <c r="E398" s="327"/>
      <c r="F398" s="327"/>
      <c r="G398" s="327"/>
      <c r="H398" s="327"/>
    </row>
    <row r="399" spans="2:8">
      <c r="B399" s="327"/>
      <c r="C399" s="327"/>
    </row>
    <row r="400" spans="2:8">
      <c r="B400" s="327"/>
      <c r="C400" s="327"/>
    </row>
    <row r="401" spans="2:8">
      <c r="E401" s="398"/>
    </row>
    <row r="402" spans="2:8" ht="15.75" thickBot="1">
      <c r="B402"/>
      <c r="C402"/>
      <c r="D402"/>
    </row>
    <row r="403" spans="2:8">
      <c r="B403" s="389" t="s">
        <v>12</v>
      </c>
      <c r="C403" s="389" t="s">
        <v>85</v>
      </c>
      <c r="D403" s="1202" t="s">
        <v>100</v>
      </c>
      <c r="E403" s="1203"/>
    </row>
    <row r="404" spans="2:8" ht="15.75" thickBot="1">
      <c r="B404" s="389" t="s">
        <v>163</v>
      </c>
      <c r="C404" s="389" t="s">
        <v>345</v>
      </c>
      <c r="D404" s="1204"/>
      <c r="E404" s="1205"/>
    </row>
    <row r="405" spans="2:8">
      <c r="B405" s="9"/>
      <c r="C405" s="10"/>
    </row>
    <row r="406" spans="2:8" ht="30">
      <c r="B406" s="389" t="s">
        <v>535</v>
      </c>
      <c r="C406" s="380"/>
      <c r="D406"/>
      <c r="E406"/>
      <c r="F406"/>
      <c r="G406"/>
      <c r="H406" s="327"/>
    </row>
    <row r="407" spans="2:8">
      <c r="B407" s="389" t="s">
        <v>8</v>
      </c>
      <c r="C407" s="389" t="s">
        <v>84</v>
      </c>
      <c r="D407"/>
      <c r="E407"/>
      <c r="F407"/>
      <c r="G407"/>
      <c r="H407" s="327"/>
    </row>
    <row r="408" spans="2:8">
      <c r="B408" s="396" t="s">
        <v>70</v>
      </c>
      <c r="C408" s="397">
        <v>0.2081744105409154</v>
      </c>
      <c r="D408"/>
      <c r="E408"/>
      <c r="F408"/>
      <c r="G408"/>
      <c r="H408" s="327"/>
    </row>
    <row r="409" spans="2:8">
      <c r="B409" s="396" t="s">
        <v>415</v>
      </c>
      <c r="C409" s="397">
        <v>0</v>
      </c>
      <c r="D409"/>
      <c r="E409"/>
      <c r="F409"/>
      <c r="G409"/>
      <c r="H409" s="327"/>
    </row>
    <row r="410" spans="2:8">
      <c r="B410" s="396" t="s">
        <v>46</v>
      </c>
      <c r="C410" s="397">
        <v>0</v>
      </c>
      <c r="D410"/>
      <c r="E410"/>
      <c r="F410"/>
      <c r="G410"/>
      <c r="H410" s="327"/>
    </row>
    <row r="411" spans="2:8">
      <c r="B411" s="396" t="s">
        <v>171</v>
      </c>
      <c r="C411" s="397">
        <v>0.30371922472498691</v>
      </c>
      <c r="D411"/>
      <c r="E411"/>
      <c r="F411"/>
      <c r="G411"/>
      <c r="H411" s="327"/>
    </row>
    <row r="412" spans="2:8">
      <c r="B412" s="396" t="s">
        <v>51</v>
      </c>
      <c r="C412" s="397">
        <v>0.49636381308345812</v>
      </c>
      <c r="D412"/>
      <c r="E412"/>
      <c r="F412"/>
      <c r="G412"/>
      <c r="H412" s="327"/>
    </row>
    <row r="413" spans="2:8">
      <c r="B413" s="396" t="s">
        <v>72</v>
      </c>
      <c r="C413" s="397">
        <v>1.393996620614253E-2</v>
      </c>
      <c r="D413"/>
      <c r="E413"/>
      <c r="F413"/>
      <c r="G413"/>
      <c r="H413" s="327"/>
    </row>
    <row r="414" spans="2:8">
      <c r="B414" s="396" t="s">
        <v>64</v>
      </c>
      <c r="C414" s="397">
        <v>0.23631840250587313</v>
      </c>
      <c r="D414"/>
      <c r="E414"/>
      <c r="F414"/>
      <c r="G414"/>
    </row>
    <row r="415" spans="2:8">
      <c r="B415" s="396" t="s">
        <v>75</v>
      </c>
      <c r="C415" s="397">
        <v>0.68289572418006383</v>
      </c>
      <c r="D415"/>
      <c r="E415"/>
      <c r="F415"/>
      <c r="G415"/>
    </row>
    <row r="416" spans="2:8">
      <c r="B416" s="396" t="s">
        <v>86</v>
      </c>
      <c r="C416" s="397">
        <v>0.49916744368524341</v>
      </c>
      <c r="D416"/>
      <c r="E416"/>
      <c r="F416"/>
      <c r="G416"/>
    </row>
    <row r="417" spans="2:9">
      <c r="B417"/>
      <c r="C417"/>
      <c r="D417"/>
      <c r="E417"/>
      <c r="F417"/>
      <c r="G417"/>
    </row>
    <row r="418" spans="2:9">
      <c r="B418"/>
      <c r="C418"/>
      <c r="D418"/>
    </row>
    <row r="419" spans="2:9">
      <c r="B419"/>
      <c r="C419"/>
      <c r="D419"/>
    </row>
    <row r="421" spans="2:9" ht="15.75" thickBot="1"/>
    <row r="422" spans="2:9">
      <c r="B422" s="389" t="s">
        <v>12</v>
      </c>
      <c r="C422" s="396" t="s">
        <v>44</v>
      </c>
      <c r="D422" s="1202" t="s">
        <v>643</v>
      </c>
      <c r="E422" s="1203"/>
    </row>
    <row r="423" spans="2:9" ht="15.75" thickBot="1">
      <c r="B423" s="389" t="s">
        <v>163</v>
      </c>
      <c r="C423" s="396" t="s">
        <v>640</v>
      </c>
      <c r="D423" s="1204"/>
      <c r="E423" s="1205"/>
    </row>
    <row r="424" spans="2:9">
      <c r="B424" s="9"/>
      <c r="C424" s="10"/>
    </row>
    <row r="425" spans="2:9" ht="45">
      <c r="B425" s="389" t="s">
        <v>138</v>
      </c>
      <c r="C425" s="389" t="s">
        <v>28</v>
      </c>
      <c r="D425" s="380"/>
      <c r="E425" s="380"/>
      <c r="F425" s="380"/>
      <c r="G425" s="380"/>
      <c r="H425" s="380"/>
      <c r="I425"/>
    </row>
    <row r="426" spans="2:9" ht="45">
      <c r="B426" s="389" t="s">
        <v>8</v>
      </c>
      <c r="C426" s="396" t="s">
        <v>38</v>
      </c>
      <c r="D426" s="396" t="s">
        <v>170</v>
      </c>
      <c r="E426" s="396" t="s">
        <v>41</v>
      </c>
      <c r="F426" s="396" t="s">
        <v>35</v>
      </c>
      <c r="G426" s="396" t="s">
        <v>43</v>
      </c>
      <c r="H426" s="396" t="s">
        <v>86</v>
      </c>
      <c r="I426"/>
    </row>
    <row r="427" spans="2:9">
      <c r="B427" s="396" t="s">
        <v>70</v>
      </c>
      <c r="C427" s="397">
        <v>0</v>
      </c>
      <c r="D427" s="397">
        <v>0</v>
      </c>
      <c r="E427" s="397">
        <v>1</v>
      </c>
      <c r="F427" s="397">
        <v>0</v>
      </c>
      <c r="G427" s="397">
        <v>0</v>
      </c>
      <c r="H427" s="397">
        <v>1</v>
      </c>
      <c r="I427"/>
    </row>
    <row r="428" spans="2:9">
      <c r="B428" s="396" t="s">
        <v>171</v>
      </c>
      <c r="C428" s="397">
        <v>0</v>
      </c>
      <c r="D428" s="397">
        <v>1</v>
      </c>
      <c r="E428" s="397">
        <v>0</v>
      </c>
      <c r="F428" s="397">
        <v>0</v>
      </c>
      <c r="G428" s="397">
        <v>0</v>
      </c>
      <c r="H428" s="397">
        <v>1</v>
      </c>
      <c r="I428"/>
    </row>
    <row r="429" spans="2:9">
      <c r="B429" s="396" t="s">
        <v>51</v>
      </c>
      <c r="C429" s="397">
        <v>0</v>
      </c>
      <c r="D429" s="397">
        <v>0.8750649350649351</v>
      </c>
      <c r="E429" s="397">
        <v>0.12493506493506494</v>
      </c>
      <c r="F429" s="397">
        <v>0</v>
      </c>
      <c r="G429" s="397">
        <v>0</v>
      </c>
      <c r="H429" s="397">
        <v>1</v>
      </c>
      <c r="I429"/>
    </row>
    <row r="430" spans="2:9">
      <c r="B430" s="396" t="s">
        <v>72</v>
      </c>
      <c r="C430" s="397">
        <v>0</v>
      </c>
      <c r="D430" s="397">
        <v>0</v>
      </c>
      <c r="E430" s="397">
        <v>1</v>
      </c>
      <c r="F430" s="397">
        <v>0</v>
      </c>
      <c r="G430" s="397">
        <v>0</v>
      </c>
      <c r="H430" s="397">
        <v>1</v>
      </c>
      <c r="I430"/>
    </row>
    <row r="431" spans="2:9">
      <c r="B431" s="396" t="s">
        <v>64</v>
      </c>
      <c r="C431" s="397">
        <v>0.64058394160583942</v>
      </c>
      <c r="D431" s="397">
        <v>0.35941605839416058</v>
      </c>
      <c r="E431" s="397">
        <v>0</v>
      </c>
      <c r="F431" s="397">
        <v>0</v>
      </c>
      <c r="G431" s="397">
        <v>0</v>
      </c>
      <c r="H431" s="397">
        <v>1</v>
      </c>
      <c r="I431"/>
    </row>
    <row r="432" spans="2:9">
      <c r="B432" s="396" t="s">
        <v>75</v>
      </c>
      <c r="C432" s="397">
        <v>0</v>
      </c>
      <c r="D432" s="397">
        <v>0.2220846717821201</v>
      </c>
      <c r="E432" s="397">
        <v>0.4289297034246502</v>
      </c>
      <c r="F432" s="397">
        <v>0.13712474520559639</v>
      </c>
      <c r="G432" s="397">
        <v>0.21186087958763328</v>
      </c>
      <c r="H432" s="397">
        <v>1</v>
      </c>
      <c r="I432"/>
    </row>
    <row r="433" spans="2:9">
      <c r="B433" s="396" t="s">
        <v>86</v>
      </c>
      <c r="C433" s="397">
        <v>1.8122496179738157E-2</v>
      </c>
      <c r="D433" s="397">
        <v>0.34514516995002686</v>
      </c>
      <c r="E433" s="397">
        <v>0.36662123652583323</v>
      </c>
      <c r="F433" s="397">
        <v>0.10613306901251394</v>
      </c>
      <c r="G433" s="397">
        <v>0.16397802833188782</v>
      </c>
      <c r="H433" s="397">
        <v>1</v>
      </c>
      <c r="I433"/>
    </row>
    <row r="434" spans="2:9">
      <c r="B434"/>
      <c r="C434"/>
      <c r="D434"/>
      <c r="E434"/>
      <c r="F434"/>
      <c r="G434"/>
    </row>
    <row r="435" spans="2:9">
      <c r="B435"/>
      <c r="C435"/>
      <c r="D435"/>
      <c r="E435"/>
      <c r="F435"/>
      <c r="G435"/>
    </row>
    <row r="436" spans="2:9">
      <c r="B436" s="396"/>
      <c r="C436" s="474"/>
      <c r="D436" s="474"/>
      <c r="E436" s="474"/>
      <c r="F436" s="474"/>
      <c r="G436" s="474"/>
    </row>
    <row r="437" spans="2:9">
      <c r="B437"/>
      <c r="C437"/>
      <c r="D437"/>
      <c r="E437"/>
      <c r="F437"/>
      <c r="G437"/>
    </row>
    <row r="438" spans="2:9">
      <c r="B438"/>
      <c r="C438"/>
    </row>
    <row r="439" spans="2:9">
      <c r="B439" s="327"/>
      <c r="C439" s="327"/>
    </row>
    <row r="440" spans="2:9">
      <c r="B440" s="327"/>
      <c r="C440" s="327"/>
    </row>
    <row r="441" spans="2:9">
      <c r="B441" s="327"/>
      <c r="C441" s="327"/>
    </row>
    <row r="442" spans="2:9">
      <c r="B442" s="327"/>
      <c r="C442" s="327"/>
    </row>
    <row r="443" spans="2:9">
      <c r="B443" s="327"/>
      <c r="C443" s="327"/>
    </row>
    <row r="444" spans="2:9">
      <c r="B444" s="327"/>
      <c r="C444" s="327"/>
    </row>
    <row r="445" spans="2:9">
      <c r="B445" s="327"/>
      <c r="C445" s="327"/>
    </row>
    <row r="446" spans="2:9">
      <c r="B446" s="327"/>
      <c r="C446" s="327"/>
    </row>
    <row r="447" spans="2:9">
      <c r="B447" s="327"/>
      <c r="C447" s="327"/>
    </row>
    <row r="448" spans="2:9">
      <c r="B448" s="327"/>
      <c r="C448" s="327"/>
    </row>
    <row r="449" spans="2:5">
      <c r="B449" s="327"/>
      <c r="C449" s="327"/>
    </row>
    <row r="450" spans="2:5">
      <c r="B450" s="327"/>
      <c r="C450" s="327"/>
    </row>
    <row r="451" spans="2:5">
      <c r="B451" s="327"/>
      <c r="C451" s="327"/>
    </row>
    <row r="452" spans="2:5">
      <c r="B452" s="327"/>
      <c r="C452" s="327"/>
    </row>
    <row r="453" spans="2:5">
      <c r="B453" s="327"/>
      <c r="C453" s="327"/>
    </row>
    <row r="454" spans="2:5" ht="15.75" thickBot="1">
      <c r="B454"/>
      <c r="C454"/>
    </row>
    <row r="455" spans="2:5">
      <c r="B455"/>
      <c r="C455"/>
      <c r="D455" s="1198" t="s">
        <v>102</v>
      </c>
      <c r="E455" s="1199"/>
    </row>
    <row r="456" spans="2:5" ht="15.75" thickBot="1">
      <c r="B456" s="389" t="s">
        <v>12</v>
      </c>
      <c r="C456" s="396" t="s">
        <v>44</v>
      </c>
      <c r="D456" s="1200"/>
      <c r="E456" s="1201"/>
    </row>
    <row r="457" spans="2:5">
      <c r="B457" s="9"/>
      <c r="C457" s="10"/>
    </row>
    <row r="458" spans="2:5" ht="60">
      <c r="B458" s="389" t="s">
        <v>101</v>
      </c>
      <c r="C458" s="380"/>
    </row>
    <row r="459" spans="2:5" ht="60">
      <c r="B459" s="389" t="s">
        <v>29</v>
      </c>
      <c r="C459" s="389" t="s">
        <v>84</v>
      </c>
    </row>
    <row r="460" spans="2:5">
      <c r="B460" s="396" t="s">
        <v>41</v>
      </c>
      <c r="C460" s="397">
        <v>0.36666666666666664</v>
      </c>
    </row>
    <row r="461" spans="2:5">
      <c r="B461" s="396" t="s">
        <v>169</v>
      </c>
      <c r="C461" s="397">
        <v>6.6666666666666666E-2</v>
      </c>
    </row>
    <row r="462" spans="2:5">
      <c r="B462" s="396" t="s">
        <v>38</v>
      </c>
      <c r="C462" s="397">
        <v>0.13333333333333333</v>
      </c>
    </row>
    <row r="463" spans="2:5">
      <c r="B463" s="396" t="s">
        <v>170</v>
      </c>
      <c r="C463" s="397">
        <v>0.43333333333333335</v>
      </c>
    </row>
    <row r="464" spans="2:5">
      <c r="B464" s="396" t="s">
        <v>748</v>
      </c>
      <c r="C464" s="397">
        <v>0</v>
      </c>
    </row>
    <row r="465" spans="2:7">
      <c r="B465" s="396" t="s">
        <v>86</v>
      </c>
      <c r="C465" s="397">
        <v>1</v>
      </c>
    </row>
    <row r="466" spans="2:7">
      <c r="B466" s="327"/>
      <c r="C466" s="327"/>
    </row>
    <row r="467" spans="2:7">
      <c r="B467" s="327"/>
      <c r="C467" s="327"/>
    </row>
    <row r="468" spans="2:7">
      <c r="B468" s="327"/>
      <c r="C468" s="327"/>
    </row>
    <row r="469" spans="2:7">
      <c r="B469" s="327"/>
      <c r="C469" s="327"/>
    </row>
    <row r="470" spans="2:7">
      <c r="B470"/>
      <c r="C470"/>
    </row>
    <row r="471" spans="2:7">
      <c r="B471"/>
      <c r="C471"/>
    </row>
    <row r="472" spans="2:7">
      <c r="B472"/>
      <c r="C472"/>
    </row>
    <row r="473" spans="2:7">
      <c r="B473"/>
      <c r="C473"/>
    </row>
    <row r="474" spans="2:7" ht="15.75" thickBot="1">
      <c r="B474" s="389" t="s">
        <v>163</v>
      </c>
      <c r="C474" s="389" t="s">
        <v>345</v>
      </c>
    </row>
    <row r="475" spans="2:7">
      <c r="B475" s="389" t="s">
        <v>12</v>
      </c>
      <c r="C475" s="396" t="s">
        <v>44</v>
      </c>
      <c r="D475" s="1198" t="s">
        <v>104</v>
      </c>
      <c r="E475" s="1199"/>
    </row>
    <row r="476" spans="2:7" ht="15.75" thickBot="1">
      <c r="B476" s="9"/>
      <c r="C476" s="10"/>
      <c r="D476" s="1200"/>
      <c r="E476" s="1201"/>
      <c r="G476" s="13"/>
    </row>
    <row r="477" spans="2:7" ht="45">
      <c r="B477" s="389" t="s">
        <v>103</v>
      </c>
      <c r="C477" s="380"/>
    </row>
    <row r="478" spans="2:7" ht="45">
      <c r="B478" s="389" t="s">
        <v>30</v>
      </c>
      <c r="C478" s="389" t="s">
        <v>84</v>
      </c>
    </row>
    <row r="479" spans="2:7">
      <c r="B479" s="396" t="s">
        <v>41</v>
      </c>
      <c r="C479" s="397">
        <v>0.38461538461538464</v>
      </c>
    </row>
    <row r="480" spans="2:7">
      <c r="B480" s="396" t="s">
        <v>169</v>
      </c>
      <c r="C480" s="397">
        <v>0.11538461538461539</v>
      </c>
    </row>
    <row r="481" spans="2:8">
      <c r="B481" s="396" t="s">
        <v>38</v>
      </c>
      <c r="C481" s="397">
        <v>0.11538461538461539</v>
      </c>
    </row>
    <row r="482" spans="2:8">
      <c r="B482" s="396" t="s">
        <v>170</v>
      </c>
      <c r="C482" s="397">
        <v>0.38461538461538464</v>
      </c>
    </row>
    <row r="483" spans="2:8">
      <c r="B483" s="396" t="s">
        <v>86</v>
      </c>
      <c r="C483" s="397">
        <v>1</v>
      </c>
    </row>
    <row r="484" spans="2:8">
      <c r="B484"/>
      <c r="C484"/>
    </row>
    <row r="485" spans="2:8">
      <c r="B485"/>
      <c r="C485"/>
    </row>
    <row r="486" spans="2:8">
      <c r="B486"/>
      <c r="C486"/>
    </row>
    <row r="487" spans="2:8">
      <c r="B487"/>
      <c r="C487"/>
    </row>
    <row r="488" spans="2:8" ht="15.75" thickBot="1">
      <c r="B488"/>
      <c r="C488"/>
    </row>
    <row r="489" spans="2:8">
      <c r="B489" s="389" t="s">
        <v>163</v>
      </c>
      <c r="C489" s="396" t="s">
        <v>640</v>
      </c>
      <c r="D489" s="1202" t="s">
        <v>560</v>
      </c>
      <c r="E489" s="1203"/>
      <c r="F489" s="67"/>
      <c r="G489" s="67"/>
      <c r="H489" s="67"/>
    </row>
    <row r="490" spans="2:8" ht="15.75" thickBot="1">
      <c r="B490" s="389" t="s">
        <v>12</v>
      </c>
      <c r="C490" s="391" t="s">
        <v>44</v>
      </c>
      <c r="D490" s="1204"/>
      <c r="E490" s="1205"/>
    </row>
    <row r="491" spans="2:8">
      <c r="B491" s="9"/>
      <c r="C491" s="10"/>
    </row>
    <row r="492" spans="2:8" ht="30">
      <c r="B492" s="389" t="s">
        <v>687</v>
      </c>
      <c r="C492" s="380"/>
      <c r="D492"/>
      <c r="E492"/>
      <c r="F492"/>
      <c r="G492"/>
      <c r="H492"/>
    </row>
    <row r="493" spans="2:8">
      <c r="B493" s="389" t="s">
        <v>651</v>
      </c>
      <c r="C493" s="389" t="s">
        <v>84</v>
      </c>
      <c r="D493"/>
      <c r="E493"/>
      <c r="F493"/>
      <c r="G493"/>
      <c r="H493"/>
    </row>
    <row r="494" spans="2:8">
      <c r="B494" s="389" t="s">
        <v>748</v>
      </c>
      <c r="C494" s="11"/>
      <c r="D494"/>
      <c r="E494"/>
      <c r="F494"/>
      <c r="G494"/>
      <c r="H494"/>
    </row>
    <row r="495" spans="2:8">
      <c r="B495" s="389" t="s">
        <v>964</v>
      </c>
      <c r="C495" s="11">
        <v>4</v>
      </c>
      <c r="D495"/>
      <c r="E495"/>
      <c r="F495"/>
      <c r="G495"/>
      <c r="H495"/>
    </row>
    <row r="496" spans="2:8">
      <c r="B496" s="389" t="s">
        <v>973</v>
      </c>
      <c r="C496" s="11">
        <v>9</v>
      </c>
      <c r="D496"/>
      <c r="E496"/>
      <c r="F496"/>
      <c r="G496"/>
      <c r="H496"/>
    </row>
    <row r="497" spans="2:14" ht="30">
      <c r="B497" s="389" t="s">
        <v>960</v>
      </c>
      <c r="C497" s="11">
        <v>12</v>
      </c>
      <c r="D497"/>
      <c r="E497"/>
      <c r="F497"/>
      <c r="G497"/>
      <c r="H497"/>
    </row>
    <row r="498" spans="2:14" ht="30">
      <c r="B498" s="389" t="s">
        <v>962</v>
      </c>
      <c r="C498" s="11">
        <v>4</v>
      </c>
      <c r="D498"/>
      <c r="E498"/>
      <c r="F498"/>
      <c r="G498"/>
      <c r="H498"/>
    </row>
    <row r="499" spans="2:14">
      <c r="B499" s="389" t="s">
        <v>86</v>
      </c>
      <c r="C499" s="11">
        <v>29</v>
      </c>
      <c r="D499"/>
      <c r="E499"/>
      <c r="F499"/>
      <c r="G499"/>
      <c r="H499"/>
    </row>
    <row r="500" spans="2:14">
      <c r="B500"/>
      <c r="C500"/>
      <c r="D500"/>
      <c r="E500"/>
      <c r="F500"/>
      <c r="G500"/>
      <c r="H500"/>
    </row>
    <row r="502" spans="2:14" s="9" customFormat="1" ht="35.25" customHeight="1">
      <c r="B502" s="1208" t="s">
        <v>688</v>
      </c>
      <c r="C502" s="1209"/>
      <c r="D502" s="1209"/>
      <c r="E502" s="1209"/>
      <c r="F502" s="1209"/>
      <c r="G502" s="1209"/>
      <c r="H502" s="1209"/>
      <c r="I502" s="1209"/>
      <c r="J502" s="1210"/>
      <c r="K502" s="539"/>
      <c r="L502" s="538"/>
      <c r="M502" s="538"/>
      <c r="N502" s="538"/>
    </row>
    <row r="584" spans="2:4" ht="14.45" customHeight="1">
      <c r="B584"/>
      <c r="C584"/>
      <c r="D584"/>
    </row>
    <row r="585" spans="2:4" ht="14.45" customHeight="1">
      <c r="B585"/>
      <c r="C585"/>
      <c r="D585"/>
    </row>
    <row r="586" spans="2:4" ht="14.45" customHeight="1">
      <c r="B586"/>
      <c r="C586"/>
      <c r="D586"/>
    </row>
    <row r="587" spans="2:4" ht="14.45" customHeight="1">
      <c r="B587"/>
      <c r="C587"/>
      <c r="D587"/>
    </row>
    <row r="588" spans="2:4" ht="14.45" customHeight="1">
      <c r="B588"/>
      <c r="C588"/>
      <c r="D588"/>
    </row>
    <row r="589" spans="2:4" ht="14.45" customHeight="1">
      <c r="B589"/>
      <c r="C589"/>
      <c r="D589"/>
    </row>
    <row r="590" spans="2:4" ht="14.45" customHeight="1">
      <c r="B590"/>
      <c r="C590"/>
      <c r="D590"/>
    </row>
    <row r="591" spans="2:4" ht="14.45" customHeight="1">
      <c r="B591"/>
      <c r="C591"/>
      <c r="D591"/>
    </row>
    <row r="592" spans="2:4">
      <c r="B592"/>
      <c r="C592"/>
    </row>
    <row r="593" spans="2:22">
      <c r="B593"/>
      <c r="C593"/>
    </row>
    <row r="594" spans="2:22" ht="15.75" thickBot="1">
      <c r="B594"/>
      <c r="C594"/>
    </row>
    <row r="595" spans="2:22">
      <c r="B595" s="495" t="s">
        <v>163</v>
      </c>
      <c r="C595" s="495" t="s">
        <v>345</v>
      </c>
      <c r="D595" s="1198" t="s">
        <v>150</v>
      </c>
      <c r="E595" s="1199"/>
    </row>
    <row r="596" spans="2:22" ht="28.9" customHeight="1" thickBot="1">
      <c r="B596" s="9"/>
      <c r="C596" s="10"/>
      <c r="D596" s="1200"/>
      <c r="E596" s="1201"/>
      <c r="M596" s="10"/>
      <c r="N596"/>
      <c r="O596"/>
      <c r="P596"/>
      <c r="Q596"/>
      <c r="R596"/>
      <c r="S596"/>
      <c r="T596"/>
      <c r="U596"/>
      <c r="V596"/>
    </row>
    <row r="597" spans="2:22">
      <c r="B597" s="496"/>
      <c r="C597" s="525"/>
      <c r="D597" s="525"/>
      <c r="E597" s="512" t="s">
        <v>92</v>
      </c>
      <c r="F597" s="503"/>
      <c r="G597" s="503"/>
      <c r="H597" s="504"/>
      <c r="I597"/>
      <c r="J597"/>
      <c r="K597"/>
      <c r="L597"/>
      <c r="M597"/>
      <c r="N597"/>
      <c r="O597"/>
      <c r="P597"/>
      <c r="Q597"/>
      <c r="R597"/>
      <c r="S597"/>
      <c r="T597"/>
      <c r="U597"/>
      <c r="V597"/>
    </row>
    <row r="598" spans="2:22" ht="45">
      <c r="B598" s="496" t="s">
        <v>173</v>
      </c>
      <c r="C598" s="496" t="s">
        <v>12</v>
      </c>
      <c r="D598" s="496" t="s">
        <v>8</v>
      </c>
      <c r="E598" s="512" t="s">
        <v>96</v>
      </c>
      <c r="F598" s="513" t="s">
        <v>689</v>
      </c>
      <c r="G598" s="513" t="s">
        <v>562</v>
      </c>
      <c r="H598" s="544" t="s">
        <v>690</v>
      </c>
      <c r="I598"/>
      <c r="J598"/>
      <c r="K598"/>
      <c r="L598"/>
      <c r="M598"/>
      <c r="N598"/>
      <c r="O598"/>
      <c r="P598"/>
      <c r="Q598"/>
      <c r="R598"/>
      <c r="S598"/>
      <c r="T598"/>
      <c r="U598"/>
      <c r="V598"/>
    </row>
    <row r="599" spans="2:22">
      <c r="B599" s="512" t="s">
        <v>39</v>
      </c>
      <c r="C599" s="497" t="s">
        <v>44</v>
      </c>
      <c r="D599" s="510" t="s">
        <v>75</v>
      </c>
      <c r="E599" s="505">
        <v>3</v>
      </c>
      <c r="F599" s="506">
        <v>6991</v>
      </c>
      <c r="G599" s="526">
        <v>1</v>
      </c>
      <c r="H599" s="516">
        <v>1</v>
      </c>
      <c r="I599"/>
      <c r="J599"/>
      <c r="K599"/>
      <c r="L599"/>
      <c r="M599"/>
      <c r="N599"/>
      <c r="O599"/>
      <c r="P599"/>
      <c r="Q599"/>
      <c r="R599"/>
      <c r="S599"/>
      <c r="T599"/>
      <c r="U599"/>
      <c r="V599"/>
    </row>
    <row r="600" spans="2:22">
      <c r="B600" s="543"/>
      <c r="C600" s="497" t="s">
        <v>691</v>
      </c>
      <c r="D600" s="525"/>
      <c r="E600" s="505">
        <v>3</v>
      </c>
      <c r="F600" s="506">
        <v>6991</v>
      </c>
      <c r="G600" s="526">
        <v>1</v>
      </c>
      <c r="H600" s="516">
        <v>1</v>
      </c>
      <c r="I600"/>
      <c r="J600"/>
      <c r="K600"/>
      <c r="L600"/>
      <c r="M600"/>
      <c r="N600"/>
      <c r="O600"/>
      <c r="P600"/>
      <c r="Q600"/>
      <c r="R600"/>
      <c r="S600"/>
      <c r="T600"/>
      <c r="U600"/>
      <c r="V600"/>
    </row>
    <row r="601" spans="2:22">
      <c r="B601" s="512" t="s">
        <v>56</v>
      </c>
      <c r="C601" s="497" t="s">
        <v>44</v>
      </c>
      <c r="D601" s="510" t="s">
        <v>51</v>
      </c>
      <c r="E601" s="505">
        <v>1</v>
      </c>
      <c r="F601" s="506">
        <v>5060</v>
      </c>
      <c r="G601" s="526">
        <v>0.5</v>
      </c>
      <c r="H601" s="516">
        <v>1</v>
      </c>
      <c r="I601"/>
      <c r="J601"/>
      <c r="K601"/>
      <c r="L601"/>
      <c r="M601"/>
      <c r="N601"/>
      <c r="O601"/>
      <c r="P601"/>
      <c r="Q601"/>
      <c r="R601"/>
      <c r="S601"/>
      <c r="T601"/>
      <c r="U601"/>
      <c r="V601"/>
    </row>
    <row r="602" spans="2:22">
      <c r="B602" s="543"/>
      <c r="C602" s="540"/>
      <c r="D602" s="511" t="s">
        <v>75</v>
      </c>
      <c r="E602" s="507">
        <v>2</v>
      </c>
      <c r="F602" s="11">
        <v>13819</v>
      </c>
      <c r="G602" s="397">
        <v>1</v>
      </c>
      <c r="H602" s="517">
        <v>0.9916781243215862</v>
      </c>
      <c r="I602"/>
      <c r="J602"/>
      <c r="K602"/>
      <c r="L602"/>
      <c r="M602"/>
      <c r="N602"/>
      <c r="O602"/>
      <c r="P602"/>
      <c r="Q602"/>
      <c r="R602"/>
      <c r="S602"/>
      <c r="T602"/>
      <c r="U602"/>
      <c r="V602"/>
    </row>
    <row r="603" spans="2:22">
      <c r="B603" s="543"/>
      <c r="C603" s="497" t="s">
        <v>691</v>
      </c>
      <c r="D603" s="525"/>
      <c r="E603" s="505">
        <v>3</v>
      </c>
      <c r="F603" s="506">
        <v>18879</v>
      </c>
      <c r="G603" s="526">
        <v>0.86598866465384816</v>
      </c>
      <c r="H603" s="516">
        <v>0.99390857566608404</v>
      </c>
      <c r="I603"/>
      <c r="J603"/>
      <c r="K603"/>
      <c r="L603"/>
      <c r="M603"/>
      <c r="N603"/>
      <c r="O603"/>
      <c r="P603"/>
      <c r="Q603"/>
      <c r="R603"/>
      <c r="S603"/>
      <c r="T603"/>
      <c r="U603"/>
      <c r="V603"/>
    </row>
    <row r="604" spans="2:22">
      <c r="B604" s="543"/>
      <c r="C604" s="497" t="s">
        <v>33</v>
      </c>
      <c r="D604" s="510" t="s">
        <v>51</v>
      </c>
      <c r="E604" s="505">
        <v>1</v>
      </c>
      <c r="F604" s="506">
        <v>447</v>
      </c>
      <c r="G604" s="526">
        <v>0</v>
      </c>
      <c r="H604" s="516">
        <v>1</v>
      </c>
      <c r="I604"/>
      <c r="J604"/>
      <c r="K604"/>
      <c r="L604"/>
      <c r="M604"/>
      <c r="N604"/>
      <c r="O604"/>
      <c r="P604"/>
      <c r="Q604"/>
      <c r="R604"/>
      <c r="S604"/>
      <c r="T604"/>
      <c r="U604"/>
      <c r="V604"/>
    </row>
    <row r="605" spans="2:22">
      <c r="B605" s="543"/>
      <c r="C605" s="540"/>
      <c r="D605" s="511" t="s">
        <v>75</v>
      </c>
      <c r="E605" s="507">
        <v>1</v>
      </c>
      <c r="F605" s="11">
        <v>488</v>
      </c>
      <c r="G605" s="397">
        <v>1</v>
      </c>
      <c r="H605" s="517">
        <v>1</v>
      </c>
      <c r="I605"/>
      <c r="J605"/>
      <c r="K605"/>
      <c r="L605"/>
      <c r="M605"/>
      <c r="N605"/>
      <c r="O605"/>
      <c r="P605"/>
      <c r="Q605"/>
      <c r="R605"/>
      <c r="S605"/>
      <c r="T605"/>
      <c r="U605"/>
      <c r="V605"/>
    </row>
    <row r="606" spans="2:22">
      <c r="B606" s="543"/>
      <c r="C606" s="497" t="s">
        <v>692</v>
      </c>
      <c r="D606" s="525"/>
      <c r="E606" s="505">
        <v>2</v>
      </c>
      <c r="F606" s="506">
        <v>935</v>
      </c>
      <c r="G606" s="526">
        <v>0.52192513368983962</v>
      </c>
      <c r="H606" s="516">
        <v>1</v>
      </c>
      <c r="I606"/>
      <c r="J606"/>
      <c r="K606"/>
      <c r="L606"/>
      <c r="M606"/>
      <c r="N606"/>
      <c r="O606"/>
      <c r="P606"/>
      <c r="Q606"/>
      <c r="R606"/>
      <c r="S606"/>
      <c r="T606"/>
      <c r="U606"/>
      <c r="V606"/>
    </row>
    <row r="607" spans="2:22" ht="30">
      <c r="B607" s="512" t="s">
        <v>172</v>
      </c>
      <c r="C607" s="497" t="s">
        <v>44</v>
      </c>
      <c r="D607" s="510" t="s">
        <v>64</v>
      </c>
      <c r="E607" s="505">
        <v>1</v>
      </c>
      <c r="F607" s="506">
        <v>1231</v>
      </c>
      <c r="G607" s="526">
        <v>1</v>
      </c>
      <c r="H607" s="516">
        <v>0.3249390739236393</v>
      </c>
      <c r="I607"/>
      <c r="J607"/>
      <c r="K607"/>
      <c r="L607"/>
      <c r="M607"/>
      <c r="N607"/>
      <c r="O607"/>
      <c r="P607"/>
      <c r="Q607"/>
      <c r="R607"/>
      <c r="S607"/>
      <c r="T607"/>
      <c r="U607"/>
      <c r="V607"/>
    </row>
    <row r="608" spans="2:22">
      <c r="B608" s="543"/>
      <c r="C608" s="497" t="s">
        <v>691</v>
      </c>
      <c r="D608" s="525"/>
      <c r="E608" s="505">
        <v>1</v>
      </c>
      <c r="F608" s="506">
        <v>1231</v>
      </c>
      <c r="G608" s="526">
        <v>1</v>
      </c>
      <c r="H608" s="516">
        <v>0.3249390739236393</v>
      </c>
      <c r="I608"/>
      <c r="J608"/>
      <c r="K608"/>
      <c r="L608"/>
      <c r="M608"/>
      <c r="N608"/>
      <c r="O608"/>
      <c r="P608"/>
      <c r="Q608"/>
      <c r="R608"/>
      <c r="S608"/>
      <c r="T608"/>
      <c r="U608"/>
      <c r="V608"/>
    </row>
    <row r="609" spans="2:22" ht="30">
      <c r="B609" s="543"/>
      <c r="C609" s="497" t="s">
        <v>33</v>
      </c>
      <c r="D609" s="510" t="s">
        <v>64</v>
      </c>
      <c r="E609" s="505">
        <v>14</v>
      </c>
      <c r="F609" s="506">
        <v>8942</v>
      </c>
      <c r="G609" s="526">
        <v>0.29958063073137997</v>
      </c>
      <c r="H609" s="516">
        <v>0.20129724893759784</v>
      </c>
      <c r="I609" s="67"/>
      <c r="J609" s="67"/>
      <c r="K609" s="67"/>
      <c r="L609" s="67"/>
      <c r="M609" s="327"/>
      <c r="N609" s="327"/>
      <c r="O609" s="327"/>
      <c r="P609" s="327"/>
      <c r="Q609" s="327"/>
      <c r="R609" s="327"/>
      <c r="S609" s="327"/>
      <c r="T609" s="327"/>
      <c r="U609" s="327"/>
      <c r="V609" s="327"/>
    </row>
    <row r="610" spans="2:22">
      <c r="B610" s="543"/>
      <c r="C610" s="497" t="s">
        <v>692</v>
      </c>
      <c r="D610" s="525"/>
      <c r="E610" s="505">
        <v>14</v>
      </c>
      <c r="F610" s="506">
        <v>8942</v>
      </c>
      <c r="G610" s="526">
        <v>0.29958063073137997</v>
      </c>
      <c r="H610" s="516">
        <v>0.20129724893759784</v>
      </c>
      <c r="I610" s="67"/>
      <c r="J610" s="67"/>
      <c r="K610" s="67"/>
      <c r="L610" s="67"/>
      <c r="M610" s="327"/>
      <c r="N610" s="327"/>
      <c r="O610" s="327"/>
      <c r="P610" s="327"/>
      <c r="Q610" s="327"/>
      <c r="R610" s="327"/>
      <c r="S610" s="327"/>
      <c r="T610" s="327"/>
      <c r="U610" s="327"/>
      <c r="V610" s="327"/>
    </row>
    <row r="611" spans="2:22" ht="30">
      <c r="B611" s="512" t="s">
        <v>71</v>
      </c>
      <c r="C611" s="497" t="s">
        <v>44</v>
      </c>
      <c r="D611" s="510" t="s">
        <v>70</v>
      </c>
      <c r="E611" s="505">
        <v>2</v>
      </c>
      <c r="F611" s="506">
        <v>1601</v>
      </c>
      <c r="G611" s="526">
        <v>1</v>
      </c>
      <c r="H611" s="516">
        <v>0.89569019362898183</v>
      </c>
      <c r="I611" s="67"/>
      <c r="J611" s="67"/>
      <c r="K611" s="67"/>
      <c r="L611" s="67"/>
      <c r="M611" s="327"/>
      <c r="N611" s="327"/>
      <c r="O611" s="327"/>
      <c r="P611" s="327"/>
      <c r="Q611" s="327"/>
      <c r="R611" s="327"/>
      <c r="S611" s="327"/>
      <c r="T611" s="327"/>
      <c r="U611" s="327"/>
      <c r="V611" s="327"/>
    </row>
    <row r="612" spans="2:22">
      <c r="B612" s="543"/>
      <c r="C612" s="540"/>
      <c r="D612" s="511" t="s">
        <v>72</v>
      </c>
      <c r="E612" s="507">
        <v>1</v>
      </c>
      <c r="F612" s="11">
        <v>187</v>
      </c>
      <c r="G612" s="397">
        <v>1</v>
      </c>
      <c r="H612" s="517">
        <v>1</v>
      </c>
      <c r="I612" s="67"/>
      <c r="J612" s="67"/>
      <c r="K612" s="67"/>
      <c r="L612" s="67"/>
      <c r="M612" s="327"/>
      <c r="N612" s="327"/>
      <c r="O612" s="327"/>
      <c r="P612" s="327"/>
      <c r="Q612" s="327"/>
      <c r="R612" s="327"/>
      <c r="S612" s="327"/>
      <c r="T612" s="327"/>
      <c r="U612" s="327"/>
      <c r="V612" s="327"/>
    </row>
    <row r="613" spans="2:22">
      <c r="B613" s="543"/>
      <c r="C613" s="540"/>
      <c r="D613" s="511" t="s">
        <v>75</v>
      </c>
      <c r="E613" s="507">
        <v>4</v>
      </c>
      <c r="F613" s="11">
        <v>15480</v>
      </c>
      <c r="G613" s="397">
        <v>1</v>
      </c>
      <c r="H613" s="517">
        <v>0.85284237726098189</v>
      </c>
      <c r="I613" s="67"/>
      <c r="J613" s="67"/>
      <c r="K613" s="67"/>
      <c r="L613" s="67"/>
      <c r="M613" s="327"/>
      <c r="N613" s="327"/>
      <c r="O613" s="327"/>
      <c r="P613" s="327"/>
      <c r="Q613" s="327"/>
      <c r="R613" s="327"/>
      <c r="S613" s="327"/>
      <c r="T613" s="327"/>
      <c r="U613" s="327"/>
      <c r="V613" s="327"/>
    </row>
    <row r="614" spans="2:22">
      <c r="B614" s="543"/>
      <c r="C614" s="497" t="s">
        <v>691</v>
      </c>
      <c r="D614" s="525"/>
      <c r="E614" s="505">
        <v>7</v>
      </c>
      <c r="F614" s="506">
        <v>17268</v>
      </c>
      <c r="G614" s="526">
        <v>1</v>
      </c>
      <c r="H614" s="516">
        <v>0.858408617095205</v>
      </c>
      <c r="I614" s="67"/>
      <c r="J614" s="67"/>
      <c r="K614" s="67"/>
      <c r="L614" s="67"/>
      <c r="M614" s="327"/>
      <c r="N614" s="327"/>
      <c r="O614" s="327"/>
      <c r="P614" s="327"/>
      <c r="Q614" s="327"/>
      <c r="R614" s="327"/>
      <c r="S614" s="327"/>
      <c r="T614" s="327"/>
      <c r="U614" s="327"/>
      <c r="V614" s="327"/>
    </row>
    <row r="615" spans="2:22" ht="30">
      <c r="B615" s="543"/>
      <c r="C615" s="497" t="s">
        <v>33</v>
      </c>
      <c r="D615" s="510" t="s">
        <v>70</v>
      </c>
      <c r="E615" s="505">
        <v>9</v>
      </c>
      <c r="F615" s="506">
        <v>4167</v>
      </c>
      <c r="G615" s="526">
        <v>0.98584113270938323</v>
      </c>
      <c r="H615" s="516">
        <v>0.30093592512598993</v>
      </c>
      <c r="I615" s="67"/>
      <c r="J615" s="67"/>
      <c r="K615" s="67"/>
      <c r="L615" s="67"/>
      <c r="M615" s="327"/>
      <c r="N615" s="327"/>
      <c r="O615" s="327"/>
      <c r="P615" s="327"/>
      <c r="Q615" s="327"/>
      <c r="R615" s="327"/>
      <c r="S615" s="327"/>
      <c r="T615" s="327"/>
      <c r="U615" s="327"/>
      <c r="V615" s="327"/>
    </row>
    <row r="616" spans="2:22" ht="30">
      <c r="B616" s="543"/>
      <c r="C616" s="540"/>
      <c r="D616" s="511" t="s">
        <v>415</v>
      </c>
      <c r="E616" s="507">
        <v>14</v>
      </c>
      <c r="F616" s="11">
        <v>17314</v>
      </c>
      <c r="G616" s="397">
        <v>0</v>
      </c>
      <c r="H616" s="517">
        <v>0.12723807323553193</v>
      </c>
      <c r="I616" s="67"/>
      <c r="J616" s="67"/>
      <c r="K616" s="67"/>
      <c r="L616" s="67"/>
      <c r="M616" s="327"/>
      <c r="N616" s="327"/>
      <c r="O616" s="327"/>
      <c r="P616" s="327"/>
      <c r="Q616" s="327"/>
      <c r="R616" s="327"/>
      <c r="S616" s="327"/>
      <c r="T616" s="327"/>
      <c r="U616" s="327"/>
      <c r="V616" s="327"/>
    </row>
    <row r="617" spans="2:22">
      <c r="B617" s="543"/>
      <c r="C617" s="540"/>
      <c r="D617" s="511" t="s">
        <v>72</v>
      </c>
      <c r="E617" s="507">
        <v>1</v>
      </c>
      <c r="F617" s="11">
        <v>9874</v>
      </c>
      <c r="G617" s="397">
        <v>5.0638039295118495E-2</v>
      </c>
      <c r="H617" s="517">
        <v>1.2153129430828438E-2</v>
      </c>
      <c r="I617" s="67"/>
      <c r="J617" s="67"/>
      <c r="K617" s="67"/>
      <c r="L617" s="67"/>
      <c r="M617" s="327"/>
      <c r="N617" s="327"/>
      <c r="O617" s="327"/>
      <c r="P617" s="327"/>
      <c r="Q617" s="327"/>
      <c r="R617" s="327"/>
      <c r="S617" s="327"/>
      <c r="T617" s="327"/>
      <c r="U617" s="327"/>
      <c r="V617" s="327"/>
    </row>
    <row r="618" spans="2:22">
      <c r="B618" s="543"/>
      <c r="C618" s="540"/>
      <c r="D618" s="511" t="s">
        <v>75</v>
      </c>
      <c r="E618" s="507">
        <v>3</v>
      </c>
      <c r="F618" s="11">
        <v>4049</v>
      </c>
      <c r="G618" s="397">
        <v>1</v>
      </c>
      <c r="H618" s="517">
        <v>0.18374907384539393</v>
      </c>
      <c r="I618" s="67"/>
      <c r="J618" s="67"/>
      <c r="K618" s="67"/>
      <c r="L618" s="67"/>
      <c r="M618" s="327"/>
      <c r="N618" s="327"/>
      <c r="O618" s="327"/>
      <c r="P618" s="327"/>
      <c r="Q618" s="327"/>
      <c r="R618" s="327"/>
      <c r="S618" s="327"/>
      <c r="T618" s="327"/>
      <c r="U618" s="327"/>
      <c r="V618" s="327"/>
    </row>
    <row r="619" spans="2:22">
      <c r="B619" s="543"/>
      <c r="C619" s="497" t="s">
        <v>692</v>
      </c>
      <c r="D619" s="525"/>
      <c r="E619" s="505">
        <v>27</v>
      </c>
      <c r="F619" s="506">
        <v>35404</v>
      </c>
      <c r="G619" s="526">
        <v>0.24452039317591232</v>
      </c>
      <c r="H619" s="516">
        <v>0.12204835611795277</v>
      </c>
      <c r="I619" s="67"/>
      <c r="J619" s="67"/>
      <c r="K619" s="67"/>
      <c r="L619" s="67"/>
      <c r="M619" s="327"/>
      <c r="N619" s="327"/>
      <c r="O619" s="327"/>
      <c r="P619" s="327"/>
      <c r="Q619" s="327"/>
      <c r="R619" s="327"/>
      <c r="S619" s="327"/>
      <c r="T619" s="327"/>
      <c r="U619" s="327"/>
      <c r="V619" s="327"/>
    </row>
    <row r="620" spans="2:22">
      <c r="B620" s="512" t="s">
        <v>49</v>
      </c>
      <c r="C620" s="497" t="s">
        <v>44</v>
      </c>
      <c r="D620" s="510" t="s">
        <v>171</v>
      </c>
      <c r="E620" s="505">
        <v>2</v>
      </c>
      <c r="F620" s="506">
        <v>2899</v>
      </c>
      <c r="G620" s="526">
        <v>1</v>
      </c>
      <c r="H620" s="516">
        <v>1</v>
      </c>
      <c r="I620" s="67"/>
      <c r="J620" s="67"/>
      <c r="K620" s="67"/>
      <c r="L620" s="67"/>
      <c r="M620" s="327"/>
      <c r="N620" s="327"/>
      <c r="O620" s="327"/>
      <c r="P620" s="327"/>
      <c r="Q620" s="327"/>
      <c r="R620" s="327"/>
      <c r="S620" s="327"/>
      <c r="T620" s="327"/>
      <c r="U620" s="327"/>
      <c r="V620" s="327"/>
    </row>
    <row r="621" spans="2:22">
      <c r="B621" s="543"/>
      <c r="C621" s="497" t="s">
        <v>691</v>
      </c>
      <c r="D621" s="525"/>
      <c r="E621" s="505">
        <v>2</v>
      </c>
      <c r="F621" s="506">
        <v>2899</v>
      </c>
      <c r="G621" s="526">
        <v>1</v>
      </c>
      <c r="H621" s="516">
        <v>1</v>
      </c>
      <c r="I621" s="67"/>
      <c r="J621" s="67"/>
      <c r="K621" s="67"/>
      <c r="L621" s="67"/>
      <c r="M621" s="327"/>
      <c r="N621" s="327"/>
      <c r="O621" s="327"/>
      <c r="P621" s="327"/>
      <c r="Q621" s="327"/>
      <c r="R621" s="327"/>
      <c r="S621" s="327"/>
      <c r="T621" s="327"/>
      <c r="U621" s="327"/>
      <c r="V621" s="327"/>
    </row>
    <row r="622" spans="2:22">
      <c r="B622" s="543"/>
      <c r="C622" s="497" t="s">
        <v>33</v>
      </c>
      <c r="D622" s="510" t="s">
        <v>171</v>
      </c>
      <c r="E622" s="505">
        <v>8</v>
      </c>
      <c r="F622" s="506">
        <v>6646</v>
      </c>
      <c r="G622" s="526">
        <v>1.5498043936202226E-2</v>
      </c>
      <c r="H622" s="516">
        <v>2.0764369545591334E-2</v>
      </c>
      <c r="I622" s="67"/>
      <c r="J622" s="67"/>
      <c r="K622" s="67"/>
      <c r="L622" s="67"/>
      <c r="M622" s="327"/>
      <c r="N622" s="327"/>
      <c r="O622" s="327"/>
      <c r="P622" s="327"/>
      <c r="Q622" s="327"/>
      <c r="R622" s="327"/>
      <c r="S622" s="327"/>
      <c r="T622" s="327"/>
      <c r="U622" s="327"/>
      <c r="V622" s="327"/>
    </row>
    <row r="623" spans="2:22">
      <c r="B623" s="543"/>
      <c r="C623" s="497" t="s">
        <v>692</v>
      </c>
      <c r="D623" s="525"/>
      <c r="E623" s="505">
        <v>8</v>
      </c>
      <c r="F623" s="506">
        <v>6646</v>
      </c>
      <c r="G623" s="526">
        <v>1.5498043936202226E-2</v>
      </c>
      <c r="H623" s="516">
        <v>2.0764369545591334E-2</v>
      </c>
      <c r="I623" s="67"/>
      <c r="J623" s="67"/>
      <c r="K623" s="67"/>
      <c r="L623" s="67"/>
      <c r="M623" s="327"/>
      <c r="N623" s="327"/>
      <c r="O623" s="327"/>
      <c r="P623" s="327"/>
      <c r="Q623" s="327"/>
      <c r="R623" s="327"/>
      <c r="S623" s="327"/>
      <c r="T623" s="327"/>
      <c r="U623" s="327"/>
      <c r="V623" s="327"/>
    </row>
    <row r="624" spans="2:22">
      <c r="B624" s="512" t="s">
        <v>52</v>
      </c>
      <c r="C624" s="497" t="s">
        <v>44</v>
      </c>
      <c r="D624" s="510" t="s">
        <v>51</v>
      </c>
      <c r="E624" s="505">
        <v>1</v>
      </c>
      <c r="F624" s="506">
        <v>2405</v>
      </c>
      <c r="G624" s="526">
        <v>1</v>
      </c>
      <c r="H624" s="516">
        <v>1</v>
      </c>
      <c r="I624" s="67"/>
      <c r="J624" s="67"/>
      <c r="K624" s="67"/>
      <c r="L624" s="67"/>
      <c r="M624" s="327"/>
      <c r="N624" s="327"/>
      <c r="O624" s="327"/>
      <c r="P624" s="327"/>
      <c r="Q624" s="327"/>
      <c r="R624" s="327"/>
      <c r="S624" s="327"/>
      <c r="T624" s="327"/>
      <c r="U624" s="327"/>
      <c r="V624" s="327"/>
    </row>
    <row r="625" spans="2:22">
      <c r="B625" s="543"/>
      <c r="C625" s="540"/>
      <c r="D625" s="511" t="s">
        <v>75</v>
      </c>
      <c r="E625" s="507">
        <v>4</v>
      </c>
      <c r="F625" s="11">
        <v>24712</v>
      </c>
      <c r="G625" s="397">
        <v>1</v>
      </c>
      <c r="H625" s="517">
        <v>0.89790385237941084</v>
      </c>
      <c r="I625" s="67"/>
      <c r="J625" s="67"/>
      <c r="K625" s="67"/>
      <c r="L625" s="67"/>
      <c r="M625" s="327"/>
      <c r="N625" s="327"/>
      <c r="O625" s="327"/>
      <c r="P625" s="327"/>
      <c r="Q625" s="327"/>
      <c r="R625" s="327"/>
      <c r="S625" s="327"/>
      <c r="T625" s="327"/>
      <c r="U625" s="327"/>
      <c r="V625" s="327"/>
    </row>
    <row r="626" spans="2:22">
      <c r="B626" s="543"/>
      <c r="C626" s="497" t="s">
        <v>691</v>
      </c>
      <c r="D626" s="525"/>
      <c r="E626" s="505">
        <v>5</v>
      </c>
      <c r="F626" s="506">
        <v>27117</v>
      </c>
      <c r="G626" s="526">
        <v>1</v>
      </c>
      <c r="H626" s="516">
        <v>0.90695873437327135</v>
      </c>
      <c r="I626" s="67"/>
      <c r="J626" s="67"/>
      <c r="K626" s="67"/>
      <c r="L626" s="67"/>
      <c r="M626" s="327"/>
      <c r="N626" s="327"/>
      <c r="O626" s="327"/>
      <c r="P626" s="327"/>
      <c r="Q626" s="327"/>
      <c r="R626" s="327"/>
      <c r="S626" s="327"/>
      <c r="T626" s="327"/>
      <c r="U626" s="327"/>
      <c r="V626" s="327"/>
    </row>
    <row r="627" spans="2:22">
      <c r="B627" s="543"/>
      <c r="C627" s="497" t="s">
        <v>33</v>
      </c>
      <c r="D627" s="510" t="s">
        <v>51</v>
      </c>
      <c r="E627" s="505">
        <v>3</v>
      </c>
      <c r="F627" s="506">
        <v>6753</v>
      </c>
      <c r="G627" s="526">
        <v>1</v>
      </c>
      <c r="H627" s="516">
        <v>0.98667258996001772</v>
      </c>
      <c r="I627" s="67"/>
      <c r="J627" s="67"/>
      <c r="K627" s="67"/>
      <c r="L627" s="67"/>
      <c r="M627" s="327"/>
      <c r="N627" s="327"/>
      <c r="O627" s="327"/>
      <c r="P627" s="327"/>
      <c r="Q627" s="327"/>
      <c r="R627" s="327"/>
      <c r="S627" s="327"/>
      <c r="T627" s="327"/>
      <c r="U627" s="327"/>
      <c r="V627" s="327"/>
    </row>
    <row r="628" spans="2:22">
      <c r="B628" s="543"/>
      <c r="C628" s="540"/>
      <c r="D628" s="511" t="s">
        <v>75</v>
      </c>
      <c r="E628" s="507">
        <v>2</v>
      </c>
      <c r="F628" s="11">
        <v>13994</v>
      </c>
      <c r="G628" s="397">
        <v>1</v>
      </c>
      <c r="H628" s="517">
        <v>0.61840788909532662</v>
      </c>
      <c r="I628" s="67"/>
      <c r="J628" s="67"/>
      <c r="K628" s="67"/>
      <c r="L628" s="67"/>
      <c r="M628" s="327"/>
      <c r="N628" s="327"/>
      <c r="O628" s="327"/>
      <c r="P628" s="327"/>
      <c r="Q628" s="327"/>
      <c r="R628" s="327"/>
      <c r="S628" s="327"/>
      <c r="T628" s="327"/>
      <c r="U628" s="327"/>
      <c r="V628" s="327"/>
    </row>
    <row r="629" spans="2:22">
      <c r="B629" s="543"/>
      <c r="C629" s="497" t="s">
        <v>692</v>
      </c>
      <c r="D629" s="525"/>
      <c r="E629" s="505">
        <v>5</v>
      </c>
      <c r="F629" s="506">
        <v>20747</v>
      </c>
      <c r="G629" s="526">
        <v>1</v>
      </c>
      <c r="H629" s="516">
        <v>0.73827541331276814</v>
      </c>
      <c r="I629" s="67"/>
      <c r="J629" s="67"/>
      <c r="K629" s="67"/>
      <c r="L629" s="67"/>
      <c r="M629" s="327"/>
      <c r="N629" s="327"/>
      <c r="O629" s="327"/>
      <c r="P629" s="327"/>
      <c r="Q629" s="327"/>
      <c r="R629" s="327"/>
      <c r="S629" s="327"/>
      <c r="T629" s="327"/>
      <c r="U629" s="327"/>
      <c r="V629" s="327"/>
    </row>
    <row r="630" spans="2:22">
      <c r="B630" s="512" t="s">
        <v>54</v>
      </c>
      <c r="C630" s="497" t="s">
        <v>44</v>
      </c>
      <c r="D630" s="510" t="s">
        <v>51</v>
      </c>
      <c r="E630" s="505">
        <v>3</v>
      </c>
      <c r="F630" s="506">
        <v>11785</v>
      </c>
      <c r="G630" s="526">
        <v>0.40729741196436148</v>
      </c>
      <c r="H630" s="516">
        <v>0.56682223165040302</v>
      </c>
      <c r="I630" s="67"/>
      <c r="J630" s="67"/>
      <c r="K630" s="67"/>
      <c r="L630" s="67"/>
      <c r="M630" s="327"/>
      <c r="N630" s="327"/>
      <c r="O630" s="327"/>
      <c r="P630" s="327"/>
      <c r="Q630" s="327"/>
      <c r="R630" s="327"/>
      <c r="S630" s="327"/>
      <c r="T630" s="327"/>
      <c r="U630" s="327"/>
      <c r="V630" s="327"/>
    </row>
    <row r="631" spans="2:22" ht="30">
      <c r="B631" s="543"/>
      <c r="C631" s="540"/>
      <c r="D631" s="511" t="s">
        <v>64</v>
      </c>
      <c r="E631" s="507">
        <v>2</v>
      </c>
      <c r="F631" s="11">
        <v>2194</v>
      </c>
      <c r="G631" s="397">
        <v>1</v>
      </c>
      <c r="H631" s="517">
        <v>0.98951686417502283</v>
      </c>
      <c r="I631" s="67"/>
      <c r="J631" s="67"/>
      <c r="K631" s="67"/>
      <c r="L631" s="67"/>
      <c r="M631" s="327"/>
      <c r="N631" s="327"/>
      <c r="O631" s="327"/>
      <c r="P631" s="327"/>
      <c r="Q631" s="327"/>
      <c r="R631" s="327"/>
      <c r="S631" s="327"/>
      <c r="T631" s="327"/>
      <c r="U631" s="327"/>
      <c r="V631" s="327"/>
    </row>
    <row r="632" spans="2:22">
      <c r="B632" s="543"/>
      <c r="C632" s="540"/>
      <c r="D632" s="511" t="s">
        <v>75</v>
      </c>
      <c r="E632" s="507">
        <v>4</v>
      </c>
      <c r="F632" s="11">
        <v>32701</v>
      </c>
      <c r="G632" s="397">
        <v>1</v>
      </c>
      <c r="H632" s="517">
        <v>0.54622182807865205</v>
      </c>
      <c r="I632" s="67"/>
      <c r="J632" s="67"/>
      <c r="K632" s="67"/>
      <c r="L632" s="67"/>
      <c r="M632" s="327"/>
      <c r="N632" s="327"/>
      <c r="O632" s="327"/>
      <c r="P632" s="327"/>
      <c r="Q632" s="327"/>
      <c r="R632" s="327"/>
      <c r="S632" s="327"/>
      <c r="T632" s="327"/>
      <c r="U632" s="327"/>
      <c r="V632" s="327"/>
    </row>
    <row r="633" spans="2:22">
      <c r="B633" s="543"/>
      <c r="C633" s="497" t="s">
        <v>691</v>
      </c>
      <c r="D633" s="525"/>
      <c r="E633" s="505">
        <v>9</v>
      </c>
      <c r="F633" s="506">
        <v>46680</v>
      </c>
      <c r="G633" s="526">
        <v>0.85036418166238215</v>
      </c>
      <c r="H633" s="516">
        <v>0.57225792630676953</v>
      </c>
      <c r="I633" s="67"/>
      <c r="J633" s="67"/>
      <c r="K633" s="67"/>
      <c r="L633" s="67"/>
      <c r="M633" s="327"/>
      <c r="N633" s="327"/>
      <c r="O633" s="327"/>
      <c r="P633" s="327"/>
      <c r="Q633" s="327"/>
      <c r="R633" s="327"/>
      <c r="S633" s="327"/>
      <c r="T633" s="327"/>
      <c r="U633" s="327"/>
      <c r="V633" s="327"/>
    </row>
    <row r="634" spans="2:22">
      <c r="B634" s="543"/>
      <c r="C634" s="497" t="s">
        <v>33</v>
      </c>
      <c r="D634" s="510" t="s">
        <v>51</v>
      </c>
      <c r="E634" s="505">
        <v>1</v>
      </c>
      <c r="F634" s="506">
        <v>1802</v>
      </c>
      <c r="G634" s="526">
        <v>0.8</v>
      </c>
      <c r="H634" s="516">
        <v>1</v>
      </c>
      <c r="I634" s="67"/>
      <c r="J634" s="67"/>
      <c r="K634" s="67"/>
      <c r="L634" s="67"/>
      <c r="M634" s="327"/>
      <c r="N634" s="327"/>
      <c r="O634" s="327"/>
      <c r="P634" s="327"/>
      <c r="Q634" s="327"/>
      <c r="R634" s="327"/>
      <c r="S634" s="327"/>
      <c r="T634" s="327"/>
      <c r="U634" s="327"/>
      <c r="V634" s="327"/>
    </row>
    <row r="635" spans="2:22">
      <c r="B635" s="543"/>
      <c r="C635" s="540"/>
      <c r="D635" s="511" t="s">
        <v>75</v>
      </c>
      <c r="E635" s="507">
        <v>4</v>
      </c>
      <c r="F635" s="11">
        <v>25570</v>
      </c>
      <c r="G635" s="397">
        <v>1</v>
      </c>
      <c r="H635" s="517">
        <v>7.1098944075087989E-2</v>
      </c>
      <c r="I635" s="67"/>
      <c r="J635" s="67"/>
      <c r="K635" s="67"/>
      <c r="L635" s="67"/>
      <c r="M635" s="327"/>
      <c r="N635" s="327"/>
      <c r="O635" s="327"/>
      <c r="P635" s="327"/>
      <c r="Q635" s="327"/>
      <c r="R635" s="327"/>
      <c r="S635" s="327"/>
      <c r="T635" s="327"/>
      <c r="U635" s="327"/>
      <c r="V635" s="327"/>
    </row>
    <row r="636" spans="2:22">
      <c r="B636" s="543"/>
      <c r="C636" s="497" t="s">
        <v>692</v>
      </c>
      <c r="D636" s="525"/>
      <c r="E636" s="505">
        <v>5</v>
      </c>
      <c r="F636" s="506">
        <v>27372</v>
      </c>
      <c r="G636" s="526">
        <v>0.98683326026596518</v>
      </c>
      <c r="H636" s="516">
        <v>0.132251936285255</v>
      </c>
      <c r="I636" s="67"/>
      <c r="J636" s="67"/>
      <c r="K636" s="67"/>
      <c r="L636" s="67"/>
      <c r="M636" s="327"/>
      <c r="N636" s="327"/>
      <c r="O636" s="327"/>
      <c r="P636" s="327"/>
      <c r="Q636" s="327"/>
      <c r="R636" s="327"/>
      <c r="S636" s="327"/>
      <c r="T636" s="327"/>
      <c r="U636" s="327"/>
      <c r="V636" s="327"/>
    </row>
    <row r="637" spans="2:22">
      <c r="B637" s="512" t="s">
        <v>143</v>
      </c>
      <c r="C637" s="497" t="s">
        <v>33</v>
      </c>
      <c r="D637" s="510" t="s">
        <v>75</v>
      </c>
      <c r="E637" s="505">
        <v>8</v>
      </c>
      <c r="F637" s="506">
        <v>8687</v>
      </c>
      <c r="G637" s="526">
        <v>1</v>
      </c>
      <c r="H637" s="516">
        <v>0.33682514101531025</v>
      </c>
      <c r="I637" s="67"/>
      <c r="J637" s="67"/>
      <c r="K637" s="67"/>
      <c r="L637" s="67"/>
      <c r="M637" s="327"/>
      <c r="N637" s="327"/>
      <c r="O637" s="327"/>
      <c r="P637" s="327"/>
      <c r="Q637" s="327"/>
      <c r="R637" s="327"/>
      <c r="S637" s="327"/>
      <c r="T637" s="327"/>
      <c r="U637" s="327"/>
      <c r="V637" s="327"/>
    </row>
    <row r="638" spans="2:22">
      <c r="B638" s="543"/>
      <c r="C638" s="497" t="s">
        <v>692</v>
      </c>
      <c r="D638" s="525"/>
      <c r="E638" s="505">
        <v>8</v>
      </c>
      <c r="F638" s="506">
        <v>8687</v>
      </c>
      <c r="G638" s="526">
        <v>1</v>
      </c>
      <c r="H638" s="516">
        <v>0.33682514101531025</v>
      </c>
      <c r="I638" s="67"/>
      <c r="J638" s="67"/>
      <c r="K638" s="67"/>
      <c r="L638" s="67"/>
      <c r="M638" s="327"/>
      <c r="N638" s="327"/>
      <c r="O638" s="327"/>
      <c r="P638" s="327"/>
      <c r="Q638" s="327"/>
      <c r="R638" s="327"/>
      <c r="S638" s="327"/>
      <c r="T638" s="327"/>
      <c r="U638" s="327"/>
      <c r="V638" s="327"/>
    </row>
    <row r="639" spans="2:22">
      <c r="B639" s="512" t="s">
        <v>139</v>
      </c>
      <c r="C639" s="497" t="s">
        <v>44</v>
      </c>
      <c r="D639" s="510" t="s">
        <v>51</v>
      </c>
      <c r="E639" s="505">
        <v>1</v>
      </c>
      <c r="F639" s="506">
        <v>122</v>
      </c>
      <c r="G639" s="526">
        <v>0</v>
      </c>
      <c r="H639" s="516">
        <v>0.49180327868852458</v>
      </c>
      <c r="I639" s="67"/>
      <c r="J639" s="67"/>
      <c r="K639" s="67"/>
      <c r="L639" s="67"/>
      <c r="M639" s="327"/>
      <c r="N639" s="327"/>
      <c r="O639" s="327"/>
      <c r="P639" s="327"/>
      <c r="Q639" s="327"/>
      <c r="R639" s="327"/>
      <c r="S639" s="327"/>
      <c r="T639" s="327"/>
      <c r="U639" s="327"/>
      <c r="V639" s="327"/>
    </row>
    <row r="640" spans="2:22">
      <c r="B640" s="543"/>
      <c r="C640" s="497" t="s">
        <v>691</v>
      </c>
      <c r="D640" s="525"/>
      <c r="E640" s="505">
        <v>1</v>
      </c>
      <c r="F640" s="506">
        <v>122</v>
      </c>
      <c r="G640" s="526">
        <v>0</v>
      </c>
      <c r="H640" s="516">
        <v>0.49180327868852458</v>
      </c>
      <c r="I640" s="67"/>
      <c r="J640" s="67"/>
      <c r="K640" s="67"/>
      <c r="L640" s="67"/>
      <c r="M640" s="327"/>
      <c r="N640" s="327"/>
      <c r="O640" s="327"/>
      <c r="P640" s="327"/>
      <c r="Q640" s="327"/>
      <c r="R640" s="327"/>
      <c r="S640" s="327"/>
      <c r="T640" s="327"/>
      <c r="U640" s="327"/>
      <c r="V640" s="327"/>
    </row>
    <row r="641" spans="2:22" ht="30">
      <c r="B641" s="543"/>
      <c r="C641" s="497" t="s">
        <v>33</v>
      </c>
      <c r="D641" s="510" t="s">
        <v>415</v>
      </c>
      <c r="E641" s="505">
        <v>10</v>
      </c>
      <c r="F641" s="506">
        <v>7318</v>
      </c>
      <c r="G641" s="526">
        <v>0</v>
      </c>
      <c r="H641" s="516">
        <v>3.3615742006012569E-2</v>
      </c>
      <c r="I641" s="67"/>
      <c r="J641" s="67"/>
      <c r="K641" s="67"/>
      <c r="L641" s="67"/>
      <c r="M641" s="327"/>
      <c r="N641" s="327"/>
      <c r="O641" s="327"/>
      <c r="P641" s="327"/>
      <c r="Q641" s="327"/>
      <c r="R641" s="327"/>
      <c r="S641" s="327"/>
      <c r="T641" s="327"/>
      <c r="U641" s="327"/>
      <c r="V641" s="327"/>
    </row>
    <row r="642" spans="2:22">
      <c r="B642" s="543"/>
      <c r="C642" s="540"/>
      <c r="D642" s="511" t="s">
        <v>46</v>
      </c>
      <c r="E642" s="507">
        <v>1</v>
      </c>
      <c r="F642" s="11">
        <v>308</v>
      </c>
      <c r="G642" s="397">
        <v>1</v>
      </c>
      <c r="H642" s="517">
        <v>7.792207792207792E-2</v>
      </c>
      <c r="I642" s="67"/>
      <c r="J642" s="67"/>
      <c r="K642" s="67"/>
      <c r="L642" s="67"/>
      <c r="M642" s="327"/>
      <c r="N642" s="327"/>
      <c r="O642" s="327"/>
      <c r="P642" s="327"/>
      <c r="Q642" s="327"/>
      <c r="R642" s="327"/>
      <c r="S642" s="327"/>
      <c r="T642" s="327"/>
      <c r="U642" s="327"/>
      <c r="V642" s="327"/>
    </row>
    <row r="643" spans="2:22" ht="30">
      <c r="B643" s="543"/>
      <c r="C643" s="540"/>
      <c r="D643" s="511" t="s">
        <v>64</v>
      </c>
      <c r="E643" s="507">
        <v>4</v>
      </c>
      <c r="F643" s="11">
        <v>13173</v>
      </c>
      <c r="G643" s="397">
        <v>0.13585870087805865</v>
      </c>
      <c r="H643" s="517">
        <v>1.3360661960069839E-2</v>
      </c>
      <c r="I643" s="67"/>
      <c r="J643" s="67"/>
      <c r="K643" s="67"/>
      <c r="L643" s="67"/>
      <c r="M643" s="327"/>
      <c r="N643" s="327"/>
      <c r="O643" s="327"/>
      <c r="P643" s="327"/>
      <c r="Q643" s="327"/>
      <c r="R643" s="327"/>
      <c r="S643" s="327"/>
      <c r="T643" s="327"/>
      <c r="U643" s="327"/>
      <c r="V643" s="327"/>
    </row>
    <row r="644" spans="2:22">
      <c r="B644" s="543"/>
      <c r="C644" s="540"/>
      <c r="D644" s="511" t="s">
        <v>75</v>
      </c>
      <c r="E644" s="507">
        <v>6</v>
      </c>
      <c r="F644" s="11">
        <v>4100</v>
      </c>
      <c r="G644" s="397">
        <v>1</v>
      </c>
      <c r="H644" s="517">
        <v>1</v>
      </c>
      <c r="I644" s="67"/>
      <c r="J644" s="67"/>
      <c r="K644" s="67"/>
      <c r="L644" s="67"/>
      <c r="M644" s="327"/>
      <c r="N644" s="327"/>
      <c r="O644" s="327"/>
      <c r="P644" s="327"/>
      <c r="Q644" s="327"/>
      <c r="R644" s="327"/>
      <c r="S644" s="327"/>
      <c r="T644" s="327"/>
      <c r="U644" s="327"/>
      <c r="V644" s="327"/>
    </row>
    <row r="645" spans="2:22">
      <c r="B645" s="543"/>
      <c r="C645" s="497" t="s">
        <v>692</v>
      </c>
      <c r="D645" s="525"/>
      <c r="E645" s="505">
        <v>21</v>
      </c>
      <c r="F645" s="506">
        <v>24899</v>
      </c>
      <c r="G645" s="526">
        <v>0.24891227224654272</v>
      </c>
      <c r="H645" s="516">
        <v>0.18257761355877747</v>
      </c>
      <c r="I645" s="67"/>
      <c r="J645" s="67"/>
      <c r="K645" s="67"/>
      <c r="L645" s="67"/>
      <c r="M645" s="327"/>
      <c r="N645" s="327"/>
      <c r="O645" s="327"/>
      <c r="P645" s="327"/>
      <c r="Q645" s="327"/>
      <c r="R645" s="327"/>
      <c r="S645" s="327"/>
      <c r="T645" s="327"/>
      <c r="U645" s="327"/>
      <c r="V645" s="327"/>
    </row>
    <row r="646" spans="2:22">
      <c r="B646" s="541" t="s">
        <v>86</v>
      </c>
      <c r="C646" s="542"/>
      <c r="D646" s="542"/>
      <c r="E646" s="508">
        <v>121</v>
      </c>
      <c r="F646" s="509">
        <v>254819</v>
      </c>
      <c r="G646" s="527">
        <v>0.73040125213059726</v>
      </c>
      <c r="H646" s="518">
        <v>0.5056412590897853</v>
      </c>
      <c r="I646" s="67"/>
      <c r="J646" s="67"/>
      <c r="K646" s="67"/>
      <c r="L646" s="67"/>
      <c r="M646" s="327"/>
      <c r="N646" s="327"/>
      <c r="O646" s="327"/>
      <c r="P646" s="327"/>
      <c r="Q646" s="327"/>
      <c r="R646" s="327"/>
      <c r="S646" s="327"/>
      <c r="T646" s="327"/>
      <c r="U646" s="327"/>
      <c r="V646" s="327"/>
    </row>
    <row r="647" spans="2:22">
      <c r="B647"/>
      <c r="C647"/>
      <c r="D647"/>
      <c r="E647"/>
      <c r="F647"/>
      <c r="G647"/>
      <c r="H647"/>
      <c r="I647" s="67"/>
      <c r="J647" s="67"/>
      <c r="K647" s="67"/>
      <c r="L647" s="67"/>
      <c r="M647" s="327"/>
      <c r="N647" s="327"/>
      <c r="O647" s="327"/>
      <c r="P647" s="327"/>
      <c r="Q647" s="327"/>
      <c r="R647" s="327"/>
      <c r="S647" s="327"/>
      <c r="T647" s="327"/>
      <c r="U647" s="327"/>
      <c r="V647" s="327"/>
    </row>
    <row r="648" spans="2:22">
      <c r="B648"/>
      <c r="C648"/>
      <c r="D648"/>
      <c r="E648"/>
      <c r="F648"/>
      <c r="G648"/>
      <c r="H648"/>
      <c r="I648" s="67"/>
      <c r="J648" s="67"/>
      <c r="K648" s="67"/>
      <c r="L648" s="67"/>
      <c r="M648" s="327"/>
      <c r="N648" s="327"/>
      <c r="O648" s="327"/>
      <c r="P648" s="327"/>
      <c r="Q648" s="327"/>
      <c r="R648" s="327"/>
      <c r="S648" s="327"/>
      <c r="T648" s="327"/>
      <c r="U648" s="327"/>
      <c r="V648" s="327"/>
    </row>
    <row r="649" spans="2:22">
      <c r="B649"/>
      <c r="C649"/>
      <c r="D649"/>
      <c r="E649"/>
      <c r="F649"/>
      <c r="G649"/>
      <c r="H649"/>
      <c r="I649" s="67"/>
      <c r="J649" s="67"/>
      <c r="K649" s="67"/>
      <c r="L649" s="67"/>
      <c r="M649" s="327"/>
      <c r="N649" s="327"/>
      <c r="O649" s="327"/>
      <c r="P649" s="327"/>
      <c r="Q649" s="327"/>
      <c r="R649" s="327"/>
      <c r="S649" s="327"/>
      <c r="T649" s="327"/>
      <c r="U649" s="327"/>
      <c r="V649" s="327"/>
    </row>
    <row r="650" spans="2:22">
      <c r="B650" s="9"/>
      <c r="C650" s="9"/>
      <c r="D650" s="9"/>
      <c r="E650" s="67"/>
      <c r="F650" s="67"/>
      <c r="G650" s="1015"/>
      <c r="H650" s="1015"/>
      <c r="I650" s="67"/>
      <c r="J650" s="67"/>
      <c r="K650" s="67"/>
      <c r="L650" s="67"/>
      <c r="M650" s="327"/>
      <c r="N650" s="327"/>
      <c r="O650" s="327"/>
      <c r="P650" s="327"/>
      <c r="Q650" s="327"/>
      <c r="R650" s="327"/>
      <c r="S650" s="327"/>
      <c r="T650" s="327"/>
      <c r="U650" s="327"/>
      <c r="V650" s="327"/>
    </row>
    <row r="651" spans="2:22">
      <c r="B651" s="9"/>
      <c r="C651" s="9"/>
      <c r="D651" s="9"/>
      <c r="E651" s="67"/>
      <c r="F651" s="67"/>
      <c r="G651" s="1015"/>
      <c r="H651" s="1015"/>
      <c r="I651" s="67"/>
      <c r="J651" s="67"/>
      <c r="K651" s="67"/>
      <c r="L651" s="67"/>
      <c r="M651" s="327"/>
      <c r="N651" s="327"/>
      <c r="O651" s="327"/>
      <c r="P651" s="327"/>
      <c r="Q651" s="327"/>
      <c r="R651" s="327"/>
      <c r="S651" s="327"/>
      <c r="T651" s="327"/>
      <c r="U651" s="327"/>
      <c r="V651" s="327"/>
    </row>
    <row r="652" spans="2:22">
      <c r="B652" s="9"/>
      <c r="C652" s="9"/>
      <c r="D652" s="9"/>
      <c r="E652" s="67"/>
      <c r="F652" s="67"/>
      <c r="G652" s="1015"/>
      <c r="H652" s="1015"/>
      <c r="I652" s="67"/>
      <c r="J652" s="67"/>
      <c r="K652" s="67"/>
      <c r="L652" s="67"/>
      <c r="M652" s="327"/>
      <c r="N652" s="327"/>
      <c r="O652" s="327"/>
      <c r="P652" s="327"/>
      <c r="Q652" s="327"/>
      <c r="R652" s="327"/>
      <c r="S652" s="327"/>
      <c r="T652" s="327"/>
      <c r="U652" s="327"/>
      <c r="V652" s="327"/>
    </row>
    <row r="653" spans="2:22">
      <c r="B653" s="9"/>
      <c r="C653" s="9"/>
      <c r="D653" s="9"/>
      <c r="E653" s="67"/>
      <c r="F653" s="67"/>
      <c r="G653" s="1015"/>
      <c r="H653" s="1015"/>
      <c r="I653" s="67"/>
      <c r="J653" s="67"/>
      <c r="K653" s="67"/>
      <c r="L653" s="67"/>
      <c r="M653" s="327"/>
      <c r="N653" s="327"/>
      <c r="O653" s="327"/>
      <c r="P653" s="327"/>
      <c r="Q653" s="327"/>
      <c r="R653" s="327"/>
      <c r="S653" s="327"/>
      <c r="T653" s="327"/>
      <c r="U653" s="327"/>
      <c r="V653" s="327"/>
    </row>
    <row r="654" spans="2:22">
      <c r="B654" s="9"/>
      <c r="C654" s="9"/>
      <c r="D654" s="9"/>
      <c r="E654" s="67"/>
      <c r="F654" s="67"/>
      <c r="G654" s="1015"/>
      <c r="H654" s="1015"/>
      <c r="I654" s="67"/>
      <c r="J654" s="67"/>
      <c r="K654" s="67"/>
      <c r="L654" s="67"/>
      <c r="M654" s="327"/>
      <c r="N654" s="327"/>
      <c r="O654" s="327"/>
      <c r="P654" s="327"/>
      <c r="Q654" s="327"/>
      <c r="R654" s="327"/>
      <c r="S654" s="327"/>
      <c r="T654" s="327"/>
      <c r="U654" s="327"/>
      <c r="V654" s="327"/>
    </row>
    <row r="655" spans="2:22" ht="15.75" thickBot="1">
      <c r="B655"/>
      <c r="C655"/>
      <c r="D655"/>
      <c r="E655"/>
      <c r="F655"/>
      <c r="G655"/>
      <c r="H655"/>
      <c r="I655" s="67"/>
      <c r="J655" s="67"/>
      <c r="K655" s="67"/>
      <c r="L655" s="67"/>
      <c r="M655" s="327"/>
      <c r="N655" s="327"/>
      <c r="O655" s="327"/>
      <c r="P655" s="327"/>
      <c r="Q655" s="327"/>
      <c r="R655" s="327"/>
      <c r="S655" s="327"/>
      <c r="T655" s="327"/>
      <c r="U655" s="327"/>
      <c r="V655" s="327"/>
    </row>
    <row r="656" spans="2:22" ht="15" customHeight="1">
      <c r="B656" s="495" t="s">
        <v>163</v>
      </c>
      <c r="C656" s="495" t="s">
        <v>345</v>
      </c>
      <c r="D656" s="1198" t="s">
        <v>933</v>
      </c>
      <c r="E656" s="1199"/>
      <c r="F656"/>
      <c r="G656"/>
      <c r="H656"/>
      <c r="I656" s="67"/>
      <c r="J656" s="67"/>
      <c r="K656" s="67"/>
      <c r="L656" s="67"/>
      <c r="M656" s="327"/>
      <c r="N656" s="327"/>
      <c r="O656" s="327"/>
      <c r="P656" s="327"/>
      <c r="Q656" s="327"/>
      <c r="R656" s="327"/>
      <c r="S656" s="327"/>
      <c r="T656" s="327"/>
      <c r="U656" s="327"/>
      <c r="V656" s="327"/>
    </row>
    <row r="657" spans="2:22" ht="15.75" thickBot="1">
      <c r="B657" s="495" t="s">
        <v>8</v>
      </c>
      <c r="C657" s="1014" t="s">
        <v>85</v>
      </c>
      <c r="D657" s="1200"/>
      <c r="E657" s="1201"/>
      <c r="H657" s="398"/>
    </row>
    <row r="658" spans="2:22" ht="28.9" customHeight="1">
      <c r="B658" s="9"/>
      <c r="C658" s="10"/>
      <c r="D658" s="1016"/>
      <c r="E658" s="1016"/>
      <c r="F658" s="357"/>
      <c r="M658" s="10"/>
      <c r="N658" s="327"/>
      <c r="O658" s="327"/>
      <c r="P658" s="327"/>
      <c r="Q658" s="327"/>
      <c r="R658" s="327"/>
      <c r="S658" s="327"/>
      <c r="T658" s="327"/>
      <c r="U658" s="327"/>
      <c r="V658" s="327"/>
    </row>
    <row r="659" spans="2:22">
      <c r="B659" s="496"/>
      <c r="C659" s="525"/>
      <c r="D659" s="512" t="s">
        <v>92</v>
      </c>
      <c r="E659" s="503"/>
      <c r="F659" s="503"/>
      <c r="G659" s="504"/>
      <c r="H659"/>
      <c r="I659" s="327"/>
      <c r="J659" s="327"/>
      <c r="K659" s="327"/>
      <c r="L659" s="327"/>
      <c r="M659" s="327"/>
      <c r="N659" s="327"/>
      <c r="O659" s="327"/>
      <c r="P659" s="327"/>
      <c r="Q659" s="327"/>
      <c r="R659" s="327"/>
      <c r="S659" s="327"/>
      <c r="T659" s="327"/>
      <c r="U659" s="327"/>
      <c r="V659" s="327"/>
    </row>
    <row r="660" spans="2:22" ht="45">
      <c r="B660" s="496" t="s">
        <v>257</v>
      </c>
      <c r="C660" s="496" t="s">
        <v>12</v>
      </c>
      <c r="D660" s="512" t="s">
        <v>96</v>
      </c>
      <c r="E660" s="513" t="s">
        <v>689</v>
      </c>
      <c r="F660" s="513" t="s">
        <v>562</v>
      </c>
      <c r="G660" s="544" t="s">
        <v>690</v>
      </c>
      <c r="H660"/>
      <c r="I660" s="327"/>
      <c r="J660" s="327"/>
      <c r="K660" s="327"/>
      <c r="L660" s="327"/>
      <c r="M660" s="327"/>
      <c r="N660" s="327"/>
      <c r="O660" s="327"/>
      <c r="P660" s="327"/>
      <c r="Q660" s="327"/>
      <c r="R660" s="327"/>
      <c r="S660" s="327"/>
      <c r="T660" s="327"/>
      <c r="U660" s="327"/>
      <c r="V660" s="327"/>
    </row>
    <row r="661" spans="2:22">
      <c r="B661" s="496" t="s">
        <v>923</v>
      </c>
      <c r="C661" s="497" t="s">
        <v>44</v>
      </c>
      <c r="D661" s="505">
        <v>1</v>
      </c>
      <c r="E661" s="506">
        <v>2405</v>
      </c>
      <c r="F661" s="526">
        <v>1</v>
      </c>
      <c r="G661" s="516">
        <v>1</v>
      </c>
      <c r="H661"/>
      <c r="I661" s="327"/>
      <c r="J661" s="327"/>
      <c r="K661" s="327"/>
      <c r="L661" s="327"/>
      <c r="M661" s="327"/>
      <c r="N661" s="327"/>
      <c r="O661" s="327"/>
      <c r="P661" s="327"/>
      <c r="Q661" s="327"/>
      <c r="R661" s="327"/>
      <c r="S661" s="327"/>
      <c r="T661" s="327"/>
      <c r="U661" s="327"/>
      <c r="V661" s="327"/>
    </row>
    <row r="662" spans="2:22">
      <c r="B662" s="540"/>
      <c r="C662" s="498" t="s">
        <v>33</v>
      </c>
      <c r="D662" s="507">
        <v>3</v>
      </c>
      <c r="E662" s="11">
        <v>6753</v>
      </c>
      <c r="F662" s="397">
        <v>1</v>
      </c>
      <c r="G662" s="517">
        <v>0.98667258996001772</v>
      </c>
      <c r="H662"/>
      <c r="I662" s="327"/>
      <c r="J662" s="327"/>
      <c r="K662" s="327"/>
      <c r="L662" s="327"/>
      <c r="M662" s="327"/>
      <c r="N662" s="327"/>
      <c r="O662" s="327"/>
      <c r="P662" s="327"/>
      <c r="Q662" s="327"/>
      <c r="R662" s="327"/>
      <c r="S662" s="327"/>
      <c r="T662" s="327"/>
      <c r="U662" s="327"/>
      <c r="V662" s="327"/>
    </row>
    <row r="663" spans="2:22">
      <c r="B663" s="496" t="s">
        <v>323</v>
      </c>
      <c r="C663" s="497" t="s">
        <v>44</v>
      </c>
      <c r="D663" s="505">
        <v>12</v>
      </c>
      <c r="E663" s="506">
        <v>72893</v>
      </c>
      <c r="F663" s="526">
        <v>1</v>
      </c>
      <c r="G663" s="516">
        <v>0.73056397733664413</v>
      </c>
      <c r="H663"/>
      <c r="I663" s="327"/>
      <c r="J663" s="327"/>
      <c r="K663" s="327"/>
      <c r="L663" s="327"/>
      <c r="M663" s="327"/>
      <c r="N663" s="327"/>
      <c r="O663" s="327"/>
      <c r="P663" s="327"/>
      <c r="Q663" s="327"/>
      <c r="R663" s="327"/>
      <c r="S663" s="327"/>
      <c r="T663" s="327"/>
      <c r="U663" s="327"/>
      <c r="V663" s="327"/>
    </row>
    <row r="664" spans="2:22">
      <c r="B664" s="540"/>
      <c r="C664" s="498" t="s">
        <v>33</v>
      </c>
      <c r="D664" s="507">
        <v>17</v>
      </c>
      <c r="E664" s="11">
        <v>52300</v>
      </c>
      <c r="F664" s="397">
        <v>1</v>
      </c>
      <c r="G664" s="517">
        <v>0.27040152963671127</v>
      </c>
      <c r="H664"/>
      <c r="I664" s="327"/>
      <c r="J664" s="327"/>
      <c r="K664" s="327"/>
      <c r="L664" s="327"/>
      <c r="M664" s="327"/>
      <c r="N664" s="327"/>
      <c r="O664" s="327"/>
      <c r="P664" s="327"/>
      <c r="Q664" s="327"/>
      <c r="R664" s="327"/>
      <c r="S664" s="327"/>
      <c r="T664" s="327"/>
      <c r="U664" s="327"/>
      <c r="V664" s="327"/>
    </row>
    <row r="665" spans="2:22">
      <c r="B665" s="496" t="s">
        <v>305</v>
      </c>
      <c r="C665" s="497" t="s">
        <v>44</v>
      </c>
      <c r="D665" s="505">
        <v>2</v>
      </c>
      <c r="E665" s="506">
        <v>13819</v>
      </c>
      <c r="F665" s="526">
        <v>1</v>
      </c>
      <c r="G665" s="516">
        <v>0.9916781243215862</v>
      </c>
      <c r="H665"/>
      <c r="I665" s="327"/>
      <c r="J665" s="327"/>
      <c r="K665" s="327"/>
      <c r="L665" s="327"/>
      <c r="M665" s="327"/>
      <c r="N665" s="327"/>
      <c r="O665" s="327"/>
      <c r="P665" s="327"/>
      <c r="Q665" s="327"/>
      <c r="R665" s="327"/>
      <c r="S665" s="327"/>
      <c r="T665" s="327"/>
      <c r="U665" s="327"/>
      <c r="V665" s="327"/>
    </row>
    <row r="666" spans="2:22">
      <c r="B666" s="540"/>
      <c r="C666" s="498" t="s">
        <v>33</v>
      </c>
      <c r="D666" s="507">
        <v>3</v>
      </c>
      <c r="E666" s="11">
        <v>2737</v>
      </c>
      <c r="F666" s="397">
        <v>0.70500548045305078</v>
      </c>
      <c r="G666" s="517">
        <v>1</v>
      </c>
      <c r="H666"/>
      <c r="I666" s="327"/>
      <c r="J666" s="327"/>
      <c r="K666" s="327"/>
      <c r="L666" s="327"/>
      <c r="M666" s="327"/>
      <c r="N666" s="327"/>
      <c r="O666" s="327"/>
      <c r="P666" s="327"/>
      <c r="Q666" s="327"/>
      <c r="R666" s="327"/>
      <c r="S666" s="327"/>
      <c r="T666" s="327"/>
      <c r="U666" s="327"/>
      <c r="V666" s="327"/>
    </row>
    <row r="667" spans="2:22">
      <c r="B667" s="496" t="s">
        <v>924</v>
      </c>
      <c r="C667" s="497" t="s">
        <v>44</v>
      </c>
      <c r="D667" s="505">
        <v>3</v>
      </c>
      <c r="E667" s="506">
        <v>11785</v>
      </c>
      <c r="F667" s="526">
        <v>0.40729741196436148</v>
      </c>
      <c r="G667" s="516">
        <v>0.56682223165040302</v>
      </c>
      <c r="H667"/>
      <c r="I667" s="327"/>
      <c r="J667" s="327"/>
      <c r="K667" s="327"/>
      <c r="L667" s="327"/>
      <c r="M667" s="327"/>
      <c r="N667" s="327"/>
      <c r="O667" s="327"/>
      <c r="P667" s="327"/>
      <c r="Q667" s="327"/>
      <c r="R667" s="327"/>
      <c r="S667" s="327"/>
      <c r="T667" s="327"/>
      <c r="U667" s="327"/>
      <c r="V667" s="327"/>
    </row>
    <row r="668" spans="2:22">
      <c r="B668" s="496" t="s">
        <v>452</v>
      </c>
      <c r="C668" s="497" t="s">
        <v>33</v>
      </c>
      <c r="D668" s="505">
        <v>14</v>
      </c>
      <c r="E668" s="506">
        <v>17314</v>
      </c>
      <c r="F668" s="526">
        <v>0</v>
      </c>
      <c r="G668" s="516">
        <v>0.12723807323553193</v>
      </c>
      <c r="H668"/>
      <c r="I668" s="327"/>
      <c r="J668" s="327"/>
      <c r="K668" s="327"/>
      <c r="L668" s="327"/>
      <c r="M668" s="327"/>
      <c r="N668" s="327"/>
      <c r="O668" s="327"/>
      <c r="P668" s="327"/>
      <c r="Q668" s="327"/>
      <c r="R668" s="327"/>
      <c r="S668" s="327"/>
      <c r="T668" s="327"/>
      <c r="U668" s="327"/>
      <c r="V668" s="327"/>
    </row>
    <row r="669" spans="2:22">
      <c r="B669" s="496" t="s">
        <v>139</v>
      </c>
      <c r="C669" s="497" t="s">
        <v>44</v>
      </c>
      <c r="D669" s="505">
        <v>1</v>
      </c>
      <c r="E669" s="506">
        <v>122</v>
      </c>
      <c r="F669" s="526">
        <v>0</v>
      </c>
      <c r="G669" s="516">
        <v>0.49180327868852458</v>
      </c>
      <c r="H669"/>
      <c r="I669" s="327"/>
      <c r="J669" s="327"/>
      <c r="K669" s="327"/>
      <c r="L669" s="327"/>
      <c r="M669" s="327"/>
      <c r="N669" s="327"/>
      <c r="O669" s="327"/>
      <c r="P669" s="327"/>
      <c r="Q669" s="327"/>
      <c r="R669" s="327"/>
      <c r="S669" s="327"/>
      <c r="T669" s="327"/>
      <c r="U669" s="327"/>
      <c r="V669" s="327"/>
    </row>
    <row r="670" spans="2:22">
      <c r="B670" s="540"/>
      <c r="C670" s="498" t="s">
        <v>33</v>
      </c>
      <c r="D670" s="507">
        <v>14</v>
      </c>
      <c r="E670" s="11">
        <v>21870</v>
      </c>
      <c r="F670" s="397">
        <v>0.28338667885992991</v>
      </c>
      <c r="G670" s="517">
        <v>0.19771376314586192</v>
      </c>
      <c r="H670"/>
      <c r="I670" s="327"/>
      <c r="J670" s="327"/>
      <c r="K670" s="327"/>
      <c r="L670" s="327"/>
      <c r="M670" s="327"/>
      <c r="N670" s="327"/>
      <c r="O670" s="327"/>
      <c r="P670" s="327"/>
      <c r="Q670" s="327"/>
      <c r="R670" s="327"/>
      <c r="S670" s="327"/>
      <c r="T670" s="327"/>
      <c r="U670" s="327"/>
      <c r="V670" s="327"/>
    </row>
    <row r="671" spans="2:22">
      <c r="B671" s="496" t="s">
        <v>283</v>
      </c>
      <c r="C671" s="497" t="s">
        <v>44</v>
      </c>
      <c r="D671" s="505">
        <v>5</v>
      </c>
      <c r="E671" s="506">
        <v>9185</v>
      </c>
      <c r="F671" s="526">
        <v>1</v>
      </c>
      <c r="G671" s="516">
        <v>0.9974959172563963</v>
      </c>
      <c r="H671"/>
      <c r="I671" s="67"/>
      <c r="J671" s="67"/>
      <c r="K671" s="67"/>
      <c r="L671" s="67"/>
      <c r="M671" s="327"/>
      <c r="N671" s="327"/>
      <c r="O671" s="327"/>
      <c r="P671" s="327"/>
      <c r="Q671" s="327"/>
      <c r="R671" s="327"/>
      <c r="S671" s="327"/>
      <c r="T671" s="327"/>
      <c r="U671" s="327"/>
      <c r="V671" s="327"/>
    </row>
    <row r="672" spans="2:22">
      <c r="B672" s="496" t="s">
        <v>153</v>
      </c>
      <c r="C672" s="497" t="s">
        <v>44</v>
      </c>
      <c r="D672" s="505">
        <v>7</v>
      </c>
      <c r="E672" s="506">
        <v>10978</v>
      </c>
      <c r="F672" s="526">
        <v>0.76953907815631262</v>
      </c>
      <c r="G672" s="516">
        <v>0.90909090909090906</v>
      </c>
      <c r="H672"/>
      <c r="I672" s="67"/>
      <c r="J672" s="67"/>
      <c r="K672" s="67"/>
      <c r="L672" s="67"/>
      <c r="M672" s="327"/>
      <c r="N672" s="327"/>
      <c r="O672" s="327"/>
      <c r="P672" s="327"/>
      <c r="Q672" s="327"/>
      <c r="R672" s="327"/>
      <c r="S672" s="327"/>
      <c r="T672" s="327"/>
      <c r="U672" s="327"/>
      <c r="V672" s="327"/>
    </row>
    <row r="673" spans="2:22">
      <c r="B673" s="540"/>
      <c r="C673" s="498" t="s">
        <v>33</v>
      </c>
      <c r="D673" s="507">
        <v>32</v>
      </c>
      <c r="E673" s="11">
        <v>29629</v>
      </c>
      <c r="F673" s="397">
        <v>0.24941273752067233</v>
      </c>
      <c r="G673" s="517">
        <v>0.11178237537547672</v>
      </c>
      <c r="H673"/>
      <c r="I673" s="67"/>
      <c r="J673" s="67"/>
      <c r="K673" s="67"/>
      <c r="L673" s="67"/>
      <c r="M673" s="327"/>
      <c r="N673" s="327"/>
      <c r="O673" s="327"/>
      <c r="P673" s="327"/>
      <c r="Q673" s="327"/>
      <c r="R673" s="327"/>
      <c r="S673" s="327"/>
      <c r="T673" s="327"/>
      <c r="U673" s="327"/>
      <c r="V673" s="327"/>
    </row>
    <row r="674" spans="2:22">
      <c r="B674" s="496" t="s">
        <v>748</v>
      </c>
      <c r="C674" s="497" t="s">
        <v>33</v>
      </c>
      <c r="D674" s="505">
        <v>7</v>
      </c>
      <c r="E674" s="506">
        <v>3029</v>
      </c>
      <c r="F674" s="526">
        <v>0</v>
      </c>
      <c r="G674" s="516">
        <v>7.3291515351601194E-2</v>
      </c>
      <c r="H674"/>
      <c r="I674" s="67"/>
      <c r="J674" s="67"/>
      <c r="K674" s="67"/>
      <c r="L674" s="67"/>
      <c r="M674" s="327"/>
      <c r="N674" s="327"/>
      <c r="O674" s="327"/>
      <c r="P674" s="327"/>
      <c r="Q674" s="327"/>
      <c r="R674" s="327"/>
      <c r="S674" s="327"/>
      <c r="T674" s="327"/>
      <c r="U674" s="327"/>
      <c r="V674" s="327"/>
    </row>
    <row r="675" spans="2:22">
      <c r="B675" s="541" t="s">
        <v>86</v>
      </c>
      <c r="C675" s="542"/>
      <c r="D675" s="508">
        <v>121</v>
      </c>
      <c r="E675" s="509">
        <v>254819</v>
      </c>
      <c r="F675" s="527">
        <v>0.73040125213059726</v>
      </c>
      <c r="G675" s="518">
        <v>0.5056412590897853</v>
      </c>
      <c r="H675"/>
      <c r="I675" s="67"/>
      <c r="J675" s="67"/>
      <c r="K675" s="67"/>
      <c r="L675" s="67"/>
      <c r="M675" s="327"/>
      <c r="N675" s="327"/>
      <c r="O675" s="327"/>
      <c r="P675" s="327"/>
      <c r="Q675" s="327"/>
      <c r="R675" s="327"/>
      <c r="S675" s="327"/>
      <c r="T675" s="327"/>
      <c r="U675" s="327"/>
      <c r="V675" s="327"/>
    </row>
    <row r="676" spans="2:22">
      <c r="B676"/>
      <c r="C676"/>
      <c r="D676"/>
      <c r="E676"/>
      <c r="F676"/>
      <c r="G676"/>
      <c r="H676"/>
      <c r="I676" s="67"/>
      <c r="J676" s="67"/>
      <c r="K676" s="67"/>
      <c r="L676" s="67"/>
      <c r="M676" s="327"/>
      <c r="N676" s="327"/>
      <c r="O676" s="327"/>
      <c r="P676" s="327"/>
      <c r="Q676" s="327"/>
      <c r="R676" s="327"/>
      <c r="S676" s="327"/>
      <c r="T676" s="327"/>
      <c r="U676" s="327"/>
      <c r="V676" s="327"/>
    </row>
    <row r="677" spans="2:22">
      <c r="B677"/>
      <c r="C677"/>
      <c r="D677"/>
      <c r="E677"/>
      <c r="F677"/>
      <c r="G677"/>
      <c r="H677"/>
      <c r="I677" s="67"/>
      <c r="J677" s="67"/>
      <c r="K677" s="67"/>
      <c r="L677" s="67"/>
      <c r="M677" s="327"/>
      <c r="N677" s="327"/>
      <c r="O677" s="327"/>
      <c r="P677" s="327"/>
      <c r="Q677" s="327"/>
      <c r="R677" s="327"/>
      <c r="S677" s="327"/>
      <c r="T677" s="327"/>
      <c r="U677" s="327"/>
      <c r="V677" s="327"/>
    </row>
    <row r="678" spans="2:22">
      <c r="B678"/>
      <c r="C678"/>
      <c r="D678"/>
      <c r="E678"/>
      <c r="F678"/>
      <c r="G678"/>
      <c r="H678"/>
      <c r="I678" s="67"/>
      <c r="J678" s="67"/>
      <c r="K678" s="67"/>
      <c r="L678" s="67"/>
      <c r="M678" s="327"/>
      <c r="N678" s="327"/>
      <c r="O678" s="327"/>
      <c r="P678" s="327"/>
      <c r="Q678" s="327"/>
      <c r="R678" s="327"/>
      <c r="S678" s="327"/>
      <c r="T678" s="327"/>
      <c r="U678" s="327"/>
      <c r="V678" s="327"/>
    </row>
    <row r="679" spans="2:22">
      <c r="B679"/>
      <c r="C679"/>
      <c r="D679"/>
      <c r="E679"/>
      <c r="F679" s="67"/>
      <c r="G679" s="67"/>
      <c r="H679" s="67"/>
      <c r="I679" s="67"/>
      <c r="J679" s="67"/>
      <c r="K679" s="67"/>
      <c r="L679" s="67"/>
      <c r="M679" s="327"/>
      <c r="N679" s="327"/>
      <c r="O679" s="327"/>
      <c r="P679" s="327"/>
      <c r="Q679" s="327"/>
      <c r="R679" s="327"/>
      <c r="S679" s="327"/>
      <c r="T679" s="327"/>
      <c r="U679" s="327"/>
      <c r="V679" s="327"/>
    </row>
    <row r="680" spans="2:22">
      <c r="B680"/>
      <c r="C680"/>
      <c r="D680"/>
      <c r="E680"/>
      <c r="F680" s="67"/>
      <c r="G680" s="67"/>
      <c r="H680" s="67"/>
      <c r="I680" s="67"/>
      <c r="J680" s="67"/>
      <c r="K680" s="67"/>
      <c r="L680" s="67"/>
      <c r="M680" s="327"/>
      <c r="N680" s="327"/>
      <c r="O680" s="327"/>
      <c r="P680" s="327"/>
      <c r="Q680" s="327"/>
      <c r="R680" s="327"/>
      <c r="S680" s="327"/>
      <c r="T680" s="327"/>
      <c r="U680" s="327"/>
      <c r="V680" s="327"/>
    </row>
    <row r="681" spans="2:22">
      <c r="B681" s="14"/>
      <c r="C681"/>
      <c r="D681"/>
    </row>
    <row r="682" spans="2:22">
      <c r="B682" s="327"/>
      <c r="C682" s="327"/>
    </row>
    <row r="683" spans="2:22">
      <c r="B683" s="389" t="s">
        <v>12</v>
      </c>
      <c r="C683" s="380" t="s">
        <v>85</v>
      </c>
    </row>
    <row r="684" spans="2:22">
      <c r="B684" s="389" t="s">
        <v>8</v>
      </c>
      <c r="C684" s="389" t="s">
        <v>85</v>
      </c>
    </row>
    <row r="685" spans="2:22">
      <c r="B685" s="9"/>
      <c r="C685" s="10"/>
    </row>
    <row r="686" spans="2:22">
      <c r="B686" s="389" t="s">
        <v>138</v>
      </c>
      <c r="C686" s="389" t="s">
        <v>536</v>
      </c>
      <c r="D686" s="380"/>
      <c r="E686"/>
      <c r="F686"/>
      <c r="G686"/>
      <c r="H686"/>
    </row>
    <row r="687" spans="2:22" ht="30">
      <c r="B687" s="389" t="s">
        <v>163</v>
      </c>
      <c r="C687" s="389" t="s">
        <v>538</v>
      </c>
      <c r="D687" s="389" t="s">
        <v>539</v>
      </c>
      <c r="E687"/>
      <c r="F687"/>
      <c r="G687"/>
      <c r="H687"/>
    </row>
    <row r="688" spans="2:22">
      <c r="B688" s="396" t="s">
        <v>508</v>
      </c>
      <c r="C688" s="397">
        <v>0.66518292286698288</v>
      </c>
      <c r="D688" s="397">
        <v>0.33481707713301712</v>
      </c>
      <c r="E688"/>
      <c r="F688"/>
      <c r="G688"/>
      <c r="H688"/>
    </row>
    <row r="689" spans="2:8">
      <c r="B689" s="396" t="s">
        <v>642</v>
      </c>
      <c r="C689" s="397">
        <v>0.80297671000045934</v>
      </c>
      <c r="D689" s="397">
        <v>0.19702328999954064</v>
      </c>
      <c r="E689"/>
      <c r="F689"/>
      <c r="G689"/>
      <c r="H689"/>
    </row>
    <row r="690" spans="2:8">
      <c r="B690" s="396" t="s">
        <v>640</v>
      </c>
      <c r="C690" s="397">
        <v>0.99899329135963433</v>
      </c>
      <c r="D690" s="397">
        <v>1.0067086403657158E-3</v>
      </c>
      <c r="E690"/>
      <c r="F690"/>
      <c r="G690"/>
      <c r="H690"/>
    </row>
    <row r="691" spans="2:8">
      <c r="B691" s="396" t="s">
        <v>641</v>
      </c>
      <c r="C691" s="397">
        <v>1</v>
      </c>
      <c r="D691" s="397">
        <v>0</v>
      </c>
      <c r="E691"/>
      <c r="F691"/>
      <c r="G691"/>
      <c r="H691"/>
    </row>
    <row r="692" spans="2:8">
      <c r="B692" s="396" t="s">
        <v>86</v>
      </c>
      <c r="C692" s="397">
        <v>0.90180873482746582</v>
      </c>
      <c r="D692" s="397">
        <v>9.8191265172534237E-2</v>
      </c>
      <c r="E692"/>
    </row>
    <row r="693" spans="2:8">
      <c r="B693"/>
      <c r="C693"/>
      <c r="D693"/>
      <c r="E693"/>
    </row>
    <row r="698" spans="2:8" s="357" customFormat="1"/>
    <row r="699" spans="2:8" s="357" customFormat="1">
      <c r="B699" s="389" t="s">
        <v>163</v>
      </c>
      <c r="C699" s="389" t="s">
        <v>345</v>
      </c>
      <c r="D699" s="12"/>
      <c r="E699" s="12"/>
    </row>
    <row r="700" spans="2:8" s="357" customFormat="1">
      <c r="B700" s="389" t="s">
        <v>13</v>
      </c>
      <c r="C700" s="389" t="s">
        <v>85</v>
      </c>
      <c r="D700" s="12"/>
      <c r="E700" s="12"/>
    </row>
    <row r="701" spans="2:8" s="357" customFormat="1">
      <c r="B701" s="389" t="s">
        <v>536</v>
      </c>
      <c r="C701" s="389" t="s">
        <v>538</v>
      </c>
      <c r="D701" s="12"/>
      <c r="E701" s="12"/>
    </row>
    <row r="702" spans="2:8" s="357" customFormat="1">
      <c r="B702" s="9"/>
      <c r="C702" s="10"/>
      <c r="D702" s="12"/>
      <c r="E702" s="12"/>
    </row>
    <row r="703" spans="2:8" s="357" customFormat="1">
      <c r="B703" s="389" t="s">
        <v>537</v>
      </c>
      <c r="C703" s="389" t="s">
        <v>12</v>
      </c>
      <c r="D703" s="380"/>
      <c r="E703"/>
      <c r="F703"/>
    </row>
    <row r="704" spans="2:8" s="357" customFormat="1">
      <c r="B704" s="389" t="s">
        <v>8</v>
      </c>
      <c r="C704" s="396" t="s">
        <v>44</v>
      </c>
      <c r="D704" s="396" t="s">
        <v>33</v>
      </c>
      <c r="E704"/>
      <c r="F704"/>
    </row>
    <row r="705" spans="2:6" s="357" customFormat="1">
      <c r="B705" s="396" t="s">
        <v>70</v>
      </c>
      <c r="C705" s="11">
        <v>2</v>
      </c>
      <c r="D705" s="11">
        <v>9</v>
      </c>
      <c r="E705"/>
      <c r="F705"/>
    </row>
    <row r="706" spans="2:6" s="357" customFormat="1">
      <c r="B706" s="396" t="s">
        <v>415</v>
      </c>
      <c r="C706" s="11"/>
      <c r="D706" s="11">
        <v>14</v>
      </c>
      <c r="E706"/>
      <c r="F706"/>
    </row>
    <row r="707" spans="2:6" s="357" customFormat="1">
      <c r="B707" s="396" t="s">
        <v>171</v>
      </c>
      <c r="C707" s="11">
        <v>2</v>
      </c>
      <c r="D707" s="11">
        <v>8</v>
      </c>
      <c r="E707"/>
      <c r="F707"/>
    </row>
    <row r="708" spans="2:6" s="357" customFormat="1">
      <c r="B708" s="396" t="s">
        <v>51</v>
      </c>
      <c r="C708" s="11">
        <v>5</v>
      </c>
      <c r="D708" s="11">
        <v>5</v>
      </c>
      <c r="E708"/>
      <c r="F708"/>
    </row>
    <row r="709" spans="2:6" s="357" customFormat="1">
      <c r="B709" s="396" t="s">
        <v>72</v>
      </c>
      <c r="C709" s="11">
        <v>1</v>
      </c>
      <c r="D709" s="11">
        <v>1</v>
      </c>
      <c r="E709"/>
      <c r="F709"/>
    </row>
    <row r="710" spans="2:6" s="357" customFormat="1">
      <c r="B710" s="396" t="s">
        <v>64</v>
      </c>
      <c r="C710" s="11">
        <v>3</v>
      </c>
      <c r="D710" s="11">
        <v>14</v>
      </c>
      <c r="E710"/>
      <c r="F710"/>
    </row>
    <row r="711" spans="2:6" s="357" customFormat="1">
      <c r="B711" s="396" t="s">
        <v>75</v>
      </c>
      <c r="C711" s="11">
        <v>17</v>
      </c>
      <c r="D711" s="11">
        <v>18</v>
      </c>
      <c r="E711"/>
      <c r="F711"/>
    </row>
    <row r="712" spans="2:6" s="357" customFormat="1">
      <c r="B712" s="396" t="s">
        <v>86</v>
      </c>
      <c r="C712" s="11">
        <v>30</v>
      </c>
      <c r="D712" s="11">
        <v>69</v>
      </c>
      <c r="E712"/>
      <c r="F712"/>
    </row>
    <row r="713" spans="2:6">
      <c r="B713"/>
      <c r="C713"/>
      <c r="D713"/>
      <c r="E713"/>
      <c r="F713"/>
    </row>
    <row r="714" spans="2:6">
      <c r="B714"/>
      <c r="C714"/>
      <c r="D714"/>
      <c r="E714"/>
      <c r="F714"/>
    </row>
    <row r="715" spans="2:6">
      <c r="B715"/>
      <c r="C715"/>
      <c r="D715"/>
      <c r="E715"/>
      <c r="F715"/>
    </row>
    <row r="719" spans="2:6">
      <c r="B719" s="357"/>
    </row>
    <row r="720" spans="2:6">
      <c r="B720" s="327"/>
      <c r="C720" s="327"/>
    </row>
    <row r="721" spans="2:5">
      <c r="B721" s="389" t="s">
        <v>12</v>
      </c>
      <c r="C721" s="380" t="s">
        <v>85</v>
      </c>
    </row>
    <row r="722" spans="2:5">
      <c r="B722" s="389" t="s">
        <v>163</v>
      </c>
      <c r="C722" s="389" t="s">
        <v>345</v>
      </c>
    </row>
    <row r="723" spans="2:5">
      <c r="B723" s="9"/>
      <c r="C723" s="10"/>
    </row>
    <row r="724" spans="2:5">
      <c r="B724" s="389" t="s">
        <v>138</v>
      </c>
      <c r="C724" s="389" t="s">
        <v>536</v>
      </c>
      <c r="D724" s="380"/>
      <c r="E724"/>
    </row>
    <row r="725" spans="2:5" ht="30">
      <c r="B725" s="389" t="s">
        <v>8</v>
      </c>
      <c r="C725" s="380" t="s">
        <v>538</v>
      </c>
      <c r="D725" s="380" t="s">
        <v>539</v>
      </c>
      <c r="E725"/>
    </row>
    <row r="726" spans="2:5">
      <c r="B726" s="396" t="s">
        <v>70</v>
      </c>
      <c r="C726" s="397">
        <v>1</v>
      </c>
      <c r="D726" s="397">
        <v>0</v>
      </c>
      <c r="E726"/>
    </row>
    <row r="727" spans="2:5">
      <c r="B727" s="396" t="s">
        <v>415</v>
      </c>
      <c r="C727" s="397">
        <v>0.7029067879181552</v>
      </c>
      <c r="D727" s="397">
        <v>0.29709321208184475</v>
      </c>
      <c r="E727"/>
    </row>
    <row r="728" spans="2:5">
      <c r="B728" s="396" t="s">
        <v>46</v>
      </c>
      <c r="C728" s="397">
        <v>0</v>
      </c>
      <c r="D728" s="397">
        <v>1</v>
      </c>
      <c r="E728"/>
    </row>
    <row r="729" spans="2:5">
      <c r="B729" s="396" t="s">
        <v>171</v>
      </c>
      <c r="C729" s="397">
        <v>1</v>
      </c>
      <c r="D729" s="397">
        <v>0</v>
      </c>
      <c r="E729"/>
    </row>
    <row r="730" spans="2:5">
      <c r="B730" s="396" t="s">
        <v>51</v>
      </c>
      <c r="C730" s="397">
        <v>0.99570028899696905</v>
      </c>
      <c r="D730" s="397">
        <v>4.2997110030309439E-3</v>
      </c>
      <c r="E730"/>
    </row>
    <row r="731" spans="2:5">
      <c r="B731" s="396" t="s">
        <v>72</v>
      </c>
      <c r="C731" s="397">
        <v>1</v>
      </c>
      <c r="D731" s="397">
        <v>0</v>
      </c>
      <c r="E731"/>
    </row>
    <row r="732" spans="2:5">
      <c r="B732" s="396" t="s">
        <v>64</v>
      </c>
      <c r="C732" s="397">
        <v>0.48422083007047767</v>
      </c>
      <c r="D732" s="397">
        <v>0.51577916992952233</v>
      </c>
      <c r="E732"/>
    </row>
    <row r="733" spans="2:5">
      <c r="B733" s="396" t="s">
        <v>75</v>
      </c>
      <c r="C733" s="397">
        <v>0.97277393735349393</v>
      </c>
      <c r="D733" s="397">
        <v>2.7226062646506101E-2</v>
      </c>
      <c r="E733"/>
    </row>
    <row r="734" spans="2:5">
      <c r="B734" s="396" t="s">
        <v>86</v>
      </c>
      <c r="C734" s="397">
        <v>0.90180873482746582</v>
      </c>
      <c r="D734" s="397">
        <v>9.8191265172534237E-2</v>
      </c>
      <c r="E734"/>
    </row>
    <row r="735" spans="2:5">
      <c r="B735"/>
      <c r="C735"/>
      <c r="D735"/>
      <c r="E735"/>
    </row>
    <row r="736" spans="2:5">
      <c r="B736"/>
      <c r="C736"/>
      <c r="D736"/>
      <c r="E736"/>
    </row>
    <row r="737" spans="2:11">
      <c r="B737" s="396"/>
      <c r="C737" s="11"/>
      <c r="D737" s="11"/>
      <c r="E737" s="11"/>
    </row>
    <row r="738" spans="2:11">
      <c r="B738" s="396"/>
      <c r="C738" s="11"/>
      <c r="D738" s="11"/>
      <c r="E738" s="11"/>
    </row>
    <row r="740" spans="2:11">
      <c r="B740" s="109" t="s">
        <v>366</v>
      </c>
      <c r="K740" s="42"/>
    </row>
    <row r="742" spans="2:11">
      <c r="B742" s="357"/>
    </row>
    <row r="743" spans="2:11">
      <c r="B743" s="327"/>
      <c r="C743" s="327"/>
    </row>
    <row r="744" spans="2:11">
      <c r="B744"/>
      <c r="C744"/>
    </row>
    <row r="745" spans="2:11">
      <c r="B745" s="389" t="s">
        <v>163</v>
      </c>
      <c r="C745" s="389" t="s">
        <v>345</v>
      </c>
    </row>
    <row r="746" spans="2:11">
      <c r="B746" s="9"/>
      <c r="C746" s="10"/>
    </row>
    <row r="747" spans="2:11">
      <c r="B747" s="389" t="s">
        <v>138</v>
      </c>
      <c r="C747" s="389" t="s">
        <v>12</v>
      </c>
      <c r="D747" s="380"/>
      <c r="E747" s="327"/>
    </row>
    <row r="748" spans="2:11">
      <c r="B748" s="389" t="s">
        <v>8</v>
      </c>
      <c r="C748" s="391" t="s">
        <v>44</v>
      </c>
      <c r="D748" s="391" t="s">
        <v>33</v>
      </c>
      <c r="E748" s="327"/>
    </row>
    <row r="749" spans="2:11">
      <c r="B749" s="396" t="s">
        <v>70</v>
      </c>
      <c r="C749" s="400">
        <v>1601</v>
      </c>
      <c r="D749" s="400">
        <v>4167</v>
      </c>
      <c r="E749" s="327"/>
    </row>
    <row r="750" spans="2:11">
      <c r="B750" s="396" t="s">
        <v>415</v>
      </c>
      <c r="C750" s="400"/>
      <c r="D750" s="400">
        <v>24632</v>
      </c>
      <c r="E750" s="327"/>
    </row>
    <row r="751" spans="2:11">
      <c r="B751" s="396" t="s">
        <v>46</v>
      </c>
      <c r="C751" s="400"/>
      <c r="D751" s="400">
        <v>308</v>
      </c>
      <c r="E751" s="327"/>
    </row>
    <row r="752" spans="2:11">
      <c r="B752" s="396" t="s">
        <v>171</v>
      </c>
      <c r="C752" s="400">
        <v>2899</v>
      </c>
      <c r="D752" s="400">
        <v>6646</v>
      </c>
      <c r="E752" s="327"/>
    </row>
    <row r="753" spans="2:5">
      <c r="B753" s="396" t="s">
        <v>51</v>
      </c>
      <c r="C753" s="400">
        <v>19372</v>
      </c>
      <c r="D753" s="400">
        <v>9002</v>
      </c>
      <c r="E753" s="327"/>
    </row>
    <row r="754" spans="2:5">
      <c r="B754" s="396" t="s">
        <v>72</v>
      </c>
      <c r="C754" s="400">
        <v>187</v>
      </c>
      <c r="D754" s="400">
        <v>9874</v>
      </c>
      <c r="E754" s="327"/>
    </row>
    <row r="755" spans="2:5">
      <c r="B755" s="396" t="s">
        <v>64</v>
      </c>
      <c r="C755" s="400">
        <v>3425</v>
      </c>
      <c r="D755" s="400">
        <v>22115</v>
      </c>
      <c r="E755" s="327"/>
    </row>
    <row r="756" spans="2:5">
      <c r="B756" s="396" t="s">
        <v>75</v>
      </c>
      <c r="C756" s="400">
        <v>93703</v>
      </c>
      <c r="D756" s="400">
        <v>56888</v>
      </c>
      <c r="E756" s="327"/>
    </row>
    <row r="757" spans="2:5">
      <c r="B757" s="396" t="s">
        <v>86</v>
      </c>
      <c r="C757" s="400">
        <v>121187</v>
      </c>
      <c r="D757" s="400">
        <v>133632</v>
      </c>
      <c r="E757" s="327"/>
    </row>
    <row r="758" spans="2:5">
      <c r="B758"/>
      <c r="C758"/>
      <c r="D758"/>
      <c r="E758" s="327"/>
    </row>
    <row r="759" spans="2:5">
      <c r="B759" s="327"/>
      <c r="C759" s="327"/>
      <c r="D759" s="327"/>
      <c r="E759" s="327"/>
    </row>
    <row r="764" spans="2:5">
      <c r="B764" s="357"/>
    </row>
    <row r="765" spans="2:5">
      <c r="B765"/>
      <c r="C765"/>
    </row>
    <row r="766" spans="2:5">
      <c r="B766" s="389" t="s">
        <v>12</v>
      </c>
      <c r="C766" s="380" t="s">
        <v>85</v>
      </c>
    </row>
    <row r="767" spans="2:5">
      <c r="B767" s="389" t="s">
        <v>8</v>
      </c>
      <c r="C767" s="389" t="s">
        <v>85</v>
      </c>
    </row>
    <row r="768" spans="2:5">
      <c r="B768" s="9"/>
      <c r="C768" s="10"/>
    </row>
    <row r="769" spans="2:5">
      <c r="B769" s="389" t="s">
        <v>138</v>
      </c>
      <c r="C769" s="389" t="s">
        <v>536</v>
      </c>
      <c r="D769" s="380"/>
      <c r="E769"/>
    </row>
    <row r="770" spans="2:5" ht="30">
      <c r="B770" s="389" t="s">
        <v>163</v>
      </c>
      <c r="C770" s="380" t="s">
        <v>538</v>
      </c>
      <c r="D770" s="380" t="s">
        <v>539</v>
      </c>
      <c r="E770"/>
    </row>
    <row r="771" spans="2:5">
      <c r="B771" s="396" t="s">
        <v>508</v>
      </c>
      <c r="C771" s="400">
        <v>40946</v>
      </c>
      <c r="D771" s="400">
        <v>20610</v>
      </c>
      <c r="E771"/>
    </row>
    <row r="772" spans="2:5">
      <c r="B772" s="396" t="s">
        <v>642</v>
      </c>
      <c r="C772" s="400">
        <v>17480</v>
      </c>
      <c r="D772" s="400">
        <v>4289</v>
      </c>
      <c r="E772"/>
    </row>
    <row r="773" spans="2:5">
      <c r="B773" s="396" t="s">
        <v>640</v>
      </c>
      <c r="C773" s="400">
        <v>121065</v>
      </c>
      <c r="D773" s="400">
        <v>122</v>
      </c>
      <c r="E773"/>
    </row>
    <row r="774" spans="2:5">
      <c r="B774" s="396" t="s">
        <v>641</v>
      </c>
      <c r="C774" s="400">
        <v>50307</v>
      </c>
      <c r="D774" s="400"/>
      <c r="E774"/>
    </row>
    <row r="775" spans="2:5">
      <c r="B775" s="396" t="s">
        <v>86</v>
      </c>
      <c r="C775" s="400">
        <v>229798</v>
      </c>
      <c r="D775" s="400">
        <v>25021</v>
      </c>
      <c r="E775"/>
    </row>
    <row r="776" spans="2:5">
      <c r="B776"/>
      <c r="C776"/>
      <c r="D776"/>
      <c r="E776" s="327"/>
    </row>
    <row r="777" spans="2:5">
      <c r="B777"/>
      <c r="C777"/>
      <c r="D777"/>
      <c r="E777" s="327"/>
    </row>
    <row r="778" spans="2:5">
      <c r="B778"/>
      <c r="C778"/>
      <c r="D778"/>
      <c r="E778" s="327"/>
    </row>
    <row r="779" spans="2:5">
      <c r="B779"/>
      <c r="C779"/>
      <c r="D779"/>
      <c r="E779" s="327"/>
    </row>
    <row r="780" spans="2:5">
      <c r="B780"/>
      <c r="C780"/>
      <c r="D780"/>
      <c r="E780" s="327"/>
    </row>
    <row r="781" spans="2:5">
      <c r="B781" s="327"/>
      <c r="C781" s="327"/>
      <c r="D781" s="327"/>
      <c r="E781" s="327"/>
    </row>
    <row r="785" spans="2:12">
      <c r="B785"/>
      <c r="C785"/>
    </row>
    <row r="786" spans="2:12">
      <c r="B786" s="389" t="s">
        <v>12</v>
      </c>
      <c r="C786" s="380" t="s">
        <v>85</v>
      </c>
    </row>
    <row r="787" spans="2:12">
      <c r="B787" s="389" t="s">
        <v>536</v>
      </c>
      <c r="C787" s="380" t="s">
        <v>538</v>
      </c>
    </row>
    <row r="788" spans="2:12">
      <c r="B788" s="9"/>
      <c r="C788" s="10"/>
    </row>
    <row r="789" spans="2:12">
      <c r="B789" s="389"/>
      <c r="C789" s="389" t="s">
        <v>92</v>
      </c>
      <c r="D789" s="380"/>
      <c r="E789"/>
      <c r="F789"/>
      <c r="G789"/>
      <c r="H789"/>
      <c r="I789"/>
      <c r="J789"/>
      <c r="K789"/>
      <c r="L789"/>
    </row>
    <row r="790" spans="2:12" ht="30">
      <c r="B790" s="389" t="s">
        <v>163</v>
      </c>
      <c r="C790" s="389" t="s">
        <v>645</v>
      </c>
      <c r="D790" s="389" t="s">
        <v>96</v>
      </c>
      <c r="E790"/>
      <c r="F790"/>
      <c r="G790"/>
      <c r="H790"/>
      <c r="I790"/>
      <c r="J790"/>
      <c r="K790"/>
      <c r="L790"/>
    </row>
    <row r="791" spans="2:12">
      <c r="B791" s="396" t="s">
        <v>640</v>
      </c>
      <c r="C791" s="397">
        <v>0.52683226137738359</v>
      </c>
      <c r="D791" s="11">
        <v>30</v>
      </c>
      <c r="E791"/>
      <c r="F791"/>
      <c r="G791"/>
      <c r="H791"/>
      <c r="I791"/>
      <c r="J791"/>
      <c r="K791"/>
      <c r="L791"/>
    </row>
    <row r="792" spans="2:12">
      <c r="B792" s="396" t="s">
        <v>508</v>
      </c>
      <c r="C792" s="397">
        <v>0.17818257774219096</v>
      </c>
      <c r="D792" s="11">
        <v>51</v>
      </c>
      <c r="E792"/>
      <c r="F792"/>
      <c r="G792"/>
      <c r="H792"/>
      <c r="I792"/>
      <c r="J792"/>
      <c r="K792"/>
      <c r="L792"/>
    </row>
    <row r="793" spans="2:12">
      <c r="B793" s="396" t="s">
        <v>642</v>
      </c>
      <c r="C793" s="397">
        <v>7.6066806499621401E-2</v>
      </c>
      <c r="D793" s="11">
        <v>12</v>
      </c>
      <c r="E793"/>
      <c r="F793"/>
      <c r="G793"/>
      <c r="H793"/>
      <c r="I793"/>
      <c r="J793"/>
      <c r="K793"/>
      <c r="L793"/>
    </row>
    <row r="794" spans="2:12">
      <c r="B794" s="396" t="s">
        <v>641</v>
      </c>
      <c r="C794" s="397">
        <v>0.21891835438080401</v>
      </c>
      <c r="D794" s="11">
        <v>6</v>
      </c>
      <c r="E794"/>
      <c r="F794"/>
      <c r="G794"/>
      <c r="H794"/>
      <c r="I794"/>
      <c r="J794"/>
      <c r="K794"/>
      <c r="L794"/>
    </row>
    <row r="795" spans="2:12">
      <c r="B795" s="396" t="s">
        <v>86</v>
      </c>
      <c r="C795" s="397">
        <v>1</v>
      </c>
      <c r="D795" s="11">
        <v>99</v>
      </c>
      <c r="E795"/>
      <c r="F795"/>
      <c r="G795"/>
      <c r="H795"/>
      <c r="I795"/>
      <c r="J795"/>
      <c r="K795"/>
      <c r="L795"/>
    </row>
    <row r="796" spans="2:12">
      <c r="B796"/>
      <c r="C796"/>
      <c r="D796"/>
      <c r="E796"/>
      <c r="F796"/>
      <c r="G796"/>
      <c r="H796"/>
      <c r="I796"/>
      <c r="J796"/>
      <c r="K796"/>
      <c r="L796"/>
    </row>
    <row r="797" spans="2:12">
      <c r="B797"/>
      <c r="C797"/>
      <c r="D797"/>
      <c r="E797"/>
      <c r="F797"/>
      <c r="G797"/>
      <c r="H797"/>
      <c r="I797"/>
      <c r="J797"/>
      <c r="K797"/>
      <c r="L797"/>
    </row>
    <row r="798" spans="2:12">
      <c r="B798"/>
      <c r="C798"/>
      <c r="D798"/>
      <c r="E798"/>
      <c r="F798"/>
      <c r="G798"/>
      <c r="H798"/>
      <c r="I798"/>
      <c r="J798"/>
      <c r="K798"/>
      <c r="L798"/>
    </row>
    <row r="799" spans="2:12">
      <c r="B799" s="9" t="s">
        <v>8</v>
      </c>
      <c r="C799" s="9" t="s">
        <v>85</v>
      </c>
      <c r="D799"/>
      <c r="E799"/>
      <c r="F799"/>
      <c r="G799"/>
      <c r="H799"/>
      <c r="I799"/>
      <c r="J799"/>
      <c r="K799"/>
      <c r="L799"/>
    </row>
    <row r="800" spans="2:12">
      <c r="B800" s="9" t="s">
        <v>536</v>
      </c>
      <c r="C800" s="9" t="s">
        <v>538</v>
      </c>
      <c r="D800"/>
      <c r="E800"/>
      <c r="F800"/>
      <c r="G800"/>
      <c r="H800"/>
      <c r="I800"/>
      <c r="J800"/>
      <c r="K800"/>
      <c r="L800"/>
    </row>
    <row r="801" spans="2:12">
      <c r="B801" s="484"/>
      <c r="C801" s="485"/>
      <c r="D801"/>
      <c r="E801"/>
      <c r="F801"/>
      <c r="G801"/>
      <c r="H801"/>
      <c r="I801"/>
      <c r="J801"/>
      <c r="K801"/>
      <c r="L801"/>
    </row>
    <row r="802" spans="2:12">
      <c r="B802" s="69" t="s">
        <v>646</v>
      </c>
      <c r="C802" s="69" t="s">
        <v>644</v>
      </c>
      <c r="D802"/>
    </row>
    <row r="803" spans="2:12">
      <c r="B803" s="489" t="s">
        <v>640</v>
      </c>
      <c r="C803" s="487">
        <v>30</v>
      </c>
      <c r="D803"/>
    </row>
    <row r="804" spans="2:12">
      <c r="B804" s="490" t="s">
        <v>508</v>
      </c>
      <c r="C804" s="488">
        <v>51</v>
      </c>
      <c r="D804"/>
    </row>
    <row r="805" spans="2:12">
      <c r="B805" s="490" t="s">
        <v>642</v>
      </c>
      <c r="C805" s="488">
        <v>12</v>
      </c>
      <c r="D805"/>
    </row>
    <row r="806" spans="2:12">
      <c r="B806" s="491" t="s">
        <v>641</v>
      </c>
      <c r="C806" s="486">
        <v>6</v>
      </c>
      <c r="D806"/>
    </row>
    <row r="807" spans="2:12">
      <c r="B807" s="492" t="s">
        <v>86</v>
      </c>
      <c r="C807" s="483">
        <v>99</v>
      </c>
      <c r="D807"/>
    </row>
    <row r="808" spans="2:12">
      <c r="B808"/>
      <c r="C808"/>
      <c r="D808"/>
    </row>
    <row r="809" spans="2:12">
      <c r="B809"/>
      <c r="C809"/>
      <c r="D809"/>
    </row>
    <row r="810" spans="2:12">
      <c r="B810"/>
      <c r="C810"/>
      <c r="D810"/>
    </row>
    <row r="811" spans="2:12">
      <c r="B811"/>
      <c r="C811"/>
      <c r="D811"/>
    </row>
    <row r="812" spans="2:12">
      <c r="B812"/>
      <c r="C812"/>
      <c r="D812"/>
    </row>
    <row r="813" spans="2:12">
      <c r="B813"/>
      <c r="C813"/>
      <c r="D813"/>
    </row>
    <row r="814" spans="2:12">
      <c r="B814"/>
      <c r="C814"/>
      <c r="D814"/>
    </row>
    <row r="815" spans="2:12">
      <c r="B815"/>
      <c r="C815"/>
      <c r="D815"/>
    </row>
    <row r="816" spans="2:12">
      <c r="B816"/>
      <c r="C816"/>
      <c r="D816"/>
    </row>
    <row r="817" spans="2:4">
      <c r="B817"/>
      <c r="C817"/>
      <c r="D817"/>
    </row>
    <row r="818" spans="2:4">
      <c r="B818"/>
      <c r="C818"/>
      <c r="D818"/>
    </row>
    <row r="819" spans="2:4">
      <c r="B819"/>
      <c r="C819"/>
      <c r="D819"/>
    </row>
    <row r="820" spans="2:4">
      <c r="B820"/>
      <c r="C820"/>
      <c r="D820"/>
    </row>
    <row r="821" spans="2:4">
      <c r="B821"/>
      <c r="C821"/>
      <c r="D821"/>
    </row>
    <row r="822" spans="2:4">
      <c r="B822"/>
      <c r="C822"/>
      <c r="D822"/>
    </row>
    <row r="823" spans="2:4">
      <c r="B823"/>
      <c r="C823"/>
      <c r="D823"/>
    </row>
    <row r="824" spans="2:4">
      <c r="B824"/>
      <c r="C824"/>
      <c r="D824"/>
    </row>
  </sheetData>
  <mergeCells count="31">
    <mergeCell ref="B2:J2"/>
    <mergeCell ref="B4:J4"/>
    <mergeCell ref="B122:J122"/>
    <mergeCell ref="D41:E42"/>
    <mergeCell ref="D8:E8"/>
    <mergeCell ref="D24:E24"/>
    <mergeCell ref="D74:E75"/>
    <mergeCell ref="D92:E93"/>
    <mergeCell ref="D110:E111"/>
    <mergeCell ref="K122:M122"/>
    <mergeCell ref="B342:J342"/>
    <mergeCell ref="B211:J211"/>
    <mergeCell ref="D253:E254"/>
    <mergeCell ref="D126:E127"/>
    <mergeCell ref="D147:E148"/>
    <mergeCell ref="D163:E164"/>
    <mergeCell ref="D233:E234"/>
    <mergeCell ref="D179:E180"/>
    <mergeCell ref="D310:E311"/>
    <mergeCell ref="D656:E657"/>
    <mergeCell ref="D455:E456"/>
    <mergeCell ref="D475:E476"/>
    <mergeCell ref="D296:E297"/>
    <mergeCell ref="D388:E389"/>
    <mergeCell ref="D403:E404"/>
    <mergeCell ref="D595:E596"/>
    <mergeCell ref="D422:E423"/>
    <mergeCell ref="D368:E369"/>
    <mergeCell ref="D345:E346"/>
    <mergeCell ref="B502:J502"/>
    <mergeCell ref="D489:E490"/>
  </mergeCells>
  <pageMargins left="0.38541666666666702" right="0.38541666666666702" top="0.75" bottom="0.75" header="0.3" footer="0.3"/>
  <pageSetup paperSize="9" scale="11" fitToHeight="10" orientation="landscape" r:id="rId36"/>
  <rowBreaks count="4" manualBreakCount="4">
    <brk id="209" max="10" man="1"/>
    <brk id="451" max="10" man="1"/>
    <brk id="469" max="10" man="1"/>
    <brk id="744" max="10" man="1"/>
  </rowBreaks>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168"/>
  <sheetViews>
    <sheetView showGridLines="0" zoomScale="75" zoomScaleNormal="75" workbookViewId="0">
      <selection activeCell="Q39" sqref="Q39"/>
    </sheetView>
  </sheetViews>
  <sheetFormatPr defaultColWidth="9.7109375" defaultRowHeight="15.75"/>
  <cols>
    <col min="1" max="1" width="9.7109375" style="112"/>
    <col min="2" max="2" width="45" style="113" customWidth="1"/>
    <col min="3" max="3" width="17.7109375" style="114" customWidth="1"/>
    <col min="4" max="4" width="16.42578125" style="112" customWidth="1"/>
    <col min="5" max="5" width="42.28515625" style="112" bestFit="1" customWidth="1"/>
    <col min="6" max="6" width="12" style="112" customWidth="1"/>
    <col min="7" max="7" width="9.85546875" style="112" customWidth="1"/>
    <col min="8" max="9" width="10.42578125" style="112" bestFit="1" customWidth="1"/>
    <col min="10" max="10" width="9.85546875" style="112" customWidth="1"/>
    <col min="11" max="11" width="10.42578125" style="112" bestFit="1" customWidth="1"/>
    <col min="12" max="13" width="9.85546875" style="112" customWidth="1"/>
    <col min="14" max="14" width="11.7109375" style="112" bestFit="1" customWidth="1"/>
    <col min="15" max="18" width="9.7109375" style="112"/>
    <col min="19" max="19" width="17.28515625" style="112" customWidth="1"/>
    <col min="20" max="20" width="17.140625" style="112" customWidth="1"/>
    <col min="21" max="16384" width="9.7109375" style="112"/>
  </cols>
  <sheetData>
    <row r="2" spans="2:13" ht="38.450000000000003" customHeight="1">
      <c r="B2" s="1232" t="s">
        <v>343</v>
      </c>
      <c r="C2" s="1233"/>
      <c r="D2" s="1233"/>
      <c r="E2" s="1233"/>
      <c r="F2" s="1233"/>
      <c r="G2" s="1233"/>
      <c r="H2" s="1233"/>
      <c r="I2" s="1233"/>
      <c r="J2" s="1233"/>
      <c r="K2" s="1233"/>
      <c r="L2" s="1233"/>
      <c r="M2" s="1234"/>
    </row>
    <row r="3" spans="2:13" ht="58.15" customHeight="1"/>
    <row r="4" spans="2:13" ht="16.5" thickBot="1">
      <c r="B4" s="82" t="s">
        <v>263</v>
      </c>
      <c r="C4" s="83" t="s">
        <v>345</v>
      </c>
    </row>
    <row r="5" spans="2:13" ht="16.5" thickBot="1">
      <c r="B5" s="1229" t="s">
        <v>349</v>
      </c>
      <c r="C5" s="1230"/>
    </row>
    <row r="6" spans="2:13" ht="45">
      <c r="B6" s="79" t="s">
        <v>344</v>
      </c>
      <c r="C6" s="81"/>
      <c r="D6"/>
      <c r="E6"/>
      <c r="F6"/>
      <c r="G6"/>
      <c r="H6" s="115"/>
    </row>
    <row r="7" spans="2:13">
      <c r="B7" s="79" t="s">
        <v>257</v>
      </c>
      <c r="C7" s="76" t="s">
        <v>84</v>
      </c>
      <c r="D7"/>
      <c r="E7"/>
      <c r="F7"/>
      <c r="G7"/>
      <c r="H7" s="115"/>
    </row>
    <row r="8" spans="2:13">
      <c r="B8" s="77" t="s">
        <v>333</v>
      </c>
      <c r="C8" s="96">
        <v>2210391</v>
      </c>
      <c r="D8"/>
      <c r="E8"/>
      <c r="F8"/>
      <c r="G8"/>
      <c r="H8" s="115"/>
    </row>
    <row r="9" spans="2:13">
      <c r="B9" s="78" t="s">
        <v>323</v>
      </c>
      <c r="C9" s="97">
        <v>10002649</v>
      </c>
      <c r="D9"/>
      <c r="E9"/>
      <c r="F9"/>
      <c r="G9"/>
      <c r="H9" s="115"/>
    </row>
    <row r="10" spans="2:13">
      <c r="B10" s="78" t="s">
        <v>305</v>
      </c>
      <c r="C10" s="97">
        <v>2732703.56</v>
      </c>
      <c r="D10"/>
      <c r="E10"/>
      <c r="F10"/>
      <c r="G10"/>
      <c r="H10" s="115"/>
    </row>
    <row r="11" spans="2:13">
      <c r="B11" s="78" t="s">
        <v>283</v>
      </c>
      <c r="C11" s="97">
        <v>7203508</v>
      </c>
      <c r="D11"/>
      <c r="E11"/>
      <c r="F11"/>
      <c r="G11"/>
      <c r="H11" s="115"/>
    </row>
    <row r="12" spans="2:13">
      <c r="B12" s="78" t="s">
        <v>288</v>
      </c>
      <c r="C12" s="97">
        <v>2418163</v>
      </c>
      <c r="D12"/>
      <c r="E12"/>
      <c r="F12"/>
      <c r="G12"/>
      <c r="H12" s="115"/>
    </row>
    <row r="13" spans="2:13">
      <c r="B13" s="78" t="s">
        <v>301</v>
      </c>
      <c r="C13" s="97">
        <v>185000</v>
      </c>
      <c r="D13"/>
      <c r="E13"/>
      <c r="F13"/>
      <c r="G13"/>
      <c r="H13" s="115"/>
    </row>
    <row r="14" spans="2:13">
      <c r="B14" s="78" t="s">
        <v>278</v>
      </c>
      <c r="C14" s="97">
        <v>3146169</v>
      </c>
      <c r="D14"/>
      <c r="E14"/>
      <c r="F14"/>
      <c r="G14"/>
      <c r="H14" s="115"/>
    </row>
    <row r="15" spans="2:13">
      <c r="B15" s="78" t="s">
        <v>341</v>
      </c>
      <c r="C15" s="97">
        <v>213220</v>
      </c>
      <c r="D15"/>
      <c r="E15"/>
      <c r="F15"/>
      <c r="G15"/>
      <c r="H15" s="115"/>
    </row>
    <row r="16" spans="2:13">
      <c r="B16" s="78" t="s">
        <v>362</v>
      </c>
      <c r="C16" s="97">
        <v>78819.31</v>
      </c>
      <c r="D16"/>
      <c r="E16"/>
      <c r="F16"/>
      <c r="G16"/>
      <c r="H16" s="115"/>
    </row>
    <row r="17" spans="2:8">
      <c r="B17" s="78" t="s">
        <v>363</v>
      </c>
      <c r="C17" s="97">
        <v>515403.64</v>
      </c>
      <c r="D17"/>
      <c r="E17"/>
      <c r="F17"/>
      <c r="G17"/>
      <c r="H17" s="115"/>
    </row>
    <row r="18" spans="2:8">
      <c r="B18" s="78" t="s">
        <v>432</v>
      </c>
      <c r="C18" s="97">
        <v>726000</v>
      </c>
      <c r="D18"/>
      <c r="E18"/>
      <c r="F18"/>
      <c r="G18"/>
      <c r="H18" s="115"/>
    </row>
    <row r="19" spans="2:8">
      <c r="B19" s="78" t="s">
        <v>434</v>
      </c>
      <c r="C19" s="97">
        <v>750000</v>
      </c>
      <c r="D19"/>
      <c r="E19"/>
      <c r="F19"/>
      <c r="G19"/>
      <c r="H19" s="115"/>
    </row>
    <row r="20" spans="2:8">
      <c r="B20" s="78" t="s">
        <v>435</v>
      </c>
      <c r="C20" s="97">
        <v>100000</v>
      </c>
      <c r="D20"/>
      <c r="E20"/>
      <c r="F20"/>
      <c r="G20"/>
    </row>
    <row r="21" spans="2:8">
      <c r="B21" s="78" t="s">
        <v>452</v>
      </c>
      <c r="C21" s="97">
        <v>1366315.5241603428</v>
      </c>
      <c r="D21"/>
      <c r="E21"/>
      <c r="F21"/>
      <c r="G21"/>
    </row>
    <row r="22" spans="2:8">
      <c r="B22" s="78" t="s">
        <v>813</v>
      </c>
      <c r="C22" s="97">
        <v>1157000</v>
      </c>
      <c r="D22" s="116"/>
      <c r="E22" s="116"/>
    </row>
    <row r="23" spans="2:8">
      <c r="B23" s="80" t="s">
        <v>86</v>
      </c>
      <c r="C23" s="98">
        <v>32805342.034160346</v>
      </c>
    </row>
    <row r="24" spans="2:8">
      <c r="B24"/>
      <c r="C24"/>
    </row>
    <row r="25" spans="2:8">
      <c r="B25"/>
      <c r="C25"/>
      <c r="D25" s="116"/>
      <c r="E25" s="116"/>
    </row>
    <row r="26" spans="2:8">
      <c r="B26"/>
      <c r="C26"/>
      <c r="D26" s="116"/>
      <c r="E26" s="116"/>
    </row>
    <row r="27" spans="2:8">
      <c r="B27"/>
      <c r="C27"/>
      <c r="D27" s="116"/>
      <c r="E27" s="116"/>
    </row>
    <row r="28" spans="2:8">
      <c r="B28"/>
      <c r="C28"/>
      <c r="D28" s="116"/>
      <c r="E28" s="116"/>
    </row>
    <row r="29" spans="2:8">
      <c r="B29"/>
      <c r="C29"/>
      <c r="D29" s="116"/>
      <c r="E29" s="116"/>
    </row>
    <row r="30" spans="2:8">
      <c r="B30"/>
      <c r="C30"/>
      <c r="D30" s="116"/>
      <c r="E30" s="116"/>
    </row>
    <row r="31" spans="2:8">
      <c r="B31"/>
      <c r="C31"/>
      <c r="D31" s="116"/>
      <c r="E31" s="116"/>
    </row>
    <row r="32" spans="2:8">
      <c r="B32"/>
      <c r="C32"/>
      <c r="D32" s="116"/>
      <c r="E32" s="116"/>
    </row>
    <row r="33" spans="2:8" ht="16.5" thickBot="1">
      <c r="B33" s="82" t="s">
        <v>263</v>
      </c>
      <c r="C33" s="962">
        <v>2015</v>
      </c>
    </row>
    <row r="34" spans="2:8" ht="16.5" thickBot="1">
      <c r="B34" s="1229" t="s">
        <v>349</v>
      </c>
      <c r="C34" s="1230"/>
    </row>
    <row r="35" spans="2:8" ht="45">
      <c r="B35" s="79" t="s">
        <v>344</v>
      </c>
      <c r="C35" s="81"/>
      <c r="D35"/>
      <c r="E35"/>
      <c r="F35"/>
      <c r="G35"/>
      <c r="H35"/>
    </row>
    <row r="36" spans="2:8">
      <c r="B36" s="79" t="s">
        <v>257</v>
      </c>
      <c r="C36" s="76" t="s">
        <v>84</v>
      </c>
      <c r="D36"/>
      <c r="E36"/>
      <c r="F36"/>
      <c r="G36"/>
      <c r="H36"/>
    </row>
    <row r="37" spans="2:8">
      <c r="B37" s="77" t="s">
        <v>323</v>
      </c>
      <c r="C37" s="96">
        <v>2095794</v>
      </c>
      <c r="D37"/>
      <c r="E37"/>
      <c r="F37"/>
      <c r="G37"/>
      <c r="H37"/>
    </row>
    <row r="38" spans="2:8">
      <c r="B38" s="78" t="s">
        <v>305</v>
      </c>
      <c r="C38" s="97">
        <v>562920</v>
      </c>
      <c r="D38"/>
      <c r="E38"/>
      <c r="F38"/>
      <c r="G38"/>
      <c r="H38"/>
    </row>
    <row r="39" spans="2:8">
      <c r="B39" s="78" t="s">
        <v>283</v>
      </c>
      <c r="C39" s="97">
        <v>1347500</v>
      </c>
      <c r="D39"/>
      <c r="E39"/>
      <c r="F39"/>
      <c r="G39"/>
      <c r="H39"/>
    </row>
    <row r="40" spans="2:8">
      <c r="B40" s="78" t="s">
        <v>452</v>
      </c>
      <c r="C40" s="97">
        <v>298002</v>
      </c>
      <c r="D40"/>
      <c r="E40"/>
      <c r="F40"/>
      <c r="G40"/>
      <c r="H40"/>
    </row>
    <row r="41" spans="2:8">
      <c r="B41" s="80" t="s">
        <v>86</v>
      </c>
      <c r="C41" s="98">
        <v>4304216</v>
      </c>
      <c r="D41"/>
      <c r="E41"/>
      <c r="F41"/>
      <c r="G41"/>
      <c r="H41"/>
    </row>
    <row r="42" spans="2:8">
      <c r="B42"/>
      <c r="C42"/>
      <c r="D42"/>
      <c r="E42"/>
      <c r="F42"/>
      <c r="G42"/>
      <c r="H42"/>
    </row>
    <row r="43" spans="2:8">
      <c r="B43"/>
      <c r="C43"/>
      <c r="D43"/>
      <c r="E43"/>
      <c r="F43"/>
      <c r="G43"/>
      <c r="H43"/>
    </row>
    <row r="44" spans="2:8">
      <c r="B44"/>
      <c r="C44"/>
      <c r="D44"/>
      <c r="E44"/>
      <c r="F44"/>
      <c r="G44"/>
      <c r="H44"/>
    </row>
    <row r="45" spans="2:8">
      <c r="B45"/>
      <c r="C45"/>
      <c r="D45"/>
      <c r="E45"/>
      <c r="F45"/>
      <c r="G45"/>
      <c r="H45"/>
    </row>
    <row r="46" spans="2:8">
      <c r="B46"/>
      <c r="C46"/>
      <c r="D46"/>
      <c r="E46"/>
      <c r="F46"/>
      <c r="G46"/>
      <c r="H46"/>
    </row>
    <row r="47" spans="2:8">
      <c r="B47"/>
      <c r="C47"/>
      <c r="D47"/>
      <c r="E47"/>
      <c r="F47"/>
      <c r="G47"/>
      <c r="H47"/>
    </row>
    <row r="48" spans="2:8">
      <c r="B48" s="327"/>
      <c r="C48" s="327"/>
      <c r="D48" s="327"/>
      <c r="E48" s="116"/>
    </row>
    <row r="49" spans="2:8">
      <c r="B49" s="327"/>
      <c r="C49" s="327"/>
      <c r="D49" s="327"/>
      <c r="E49" s="116"/>
    </row>
    <row r="50" spans="2:8">
      <c r="B50" s="327"/>
      <c r="C50" s="327"/>
      <c r="D50" s="327"/>
      <c r="E50" s="116"/>
    </row>
    <row r="51" spans="2:8">
      <c r="B51" s="327"/>
      <c r="C51" s="327"/>
      <c r="D51" s="327"/>
      <c r="E51" s="116"/>
    </row>
    <row r="52" spans="2:8" ht="46.9" customHeight="1">
      <c r="B52" s="117"/>
      <c r="C52" s="117"/>
      <c r="D52" s="116"/>
      <c r="E52" s="116"/>
    </row>
    <row r="53" spans="2:8" ht="16.5" thickBot="1">
      <c r="B53" s="1059" t="s">
        <v>257</v>
      </c>
      <c r="C53" s="83" t="s">
        <v>345</v>
      </c>
    </row>
    <row r="54" spans="2:8" ht="16.5" thickBot="1">
      <c r="B54" s="1229" t="s">
        <v>346</v>
      </c>
      <c r="C54" s="1230"/>
    </row>
    <row r="55" spans="2:8" ht="45">
      <c r="B55" s="79" t="s">
        <v>344</v>
      </c>
      <c r="C55" s="81"/>
      <c r="D55" s="115"/>
      <c r="E55" s="115"/>
      <c r="F55" s="118"/>
      <c r="G55" s="115"/>
      <c r="H55" s="115"/>
    </row>
    <row r="56" spans="2:8">
      <c r="B56" s="75" t="s">
        <v>263</v>
      </c>
      <c r="C56" s="76" t="s">
        <v>84</v>
      </c>
      <c r="D56" s="115"/>
      <c r="E56" s="115"/>
      <c r="F56" s="115"/>
      <c r="G56" s="115"/>
      <c r="H56" s="115"/>
    </row>
    <row r="57" spans="2:8">
      <c r="B57" s="93">
        <v>2012</v>
      </c>
      <c r="C57" s="96">
        <v>9955415</v>
      </c>
      <c r="D57" s="115"/>
      <c r="E57" s="115"/>
      <c r="F57" s="115"/>
      <c r="G57" s="115"/>
      <c r="H57" s="115"/>
    </row>
    <row r="58" spans="2:8">
      <c r="B58" s="95">
        <v>2013</v>
      </c>
      <c r="C58" s="97">
        <v>13851998.870000001</v>
      </c>
      <c r="D58" s="115"/>
      <c r="E58" s="115"/>
      <c r="F58" s="115"/>
      <c r="G58" s="115"/>
      <c r="H58" s="115"/>
    </row>
    <row r="59" spans="2:8">
      <c r="B59" s="95">
        <v>2014</v>
      </c>
      <c r="C59" s="97">
        <v>8997928.1641603447</v>
      </c>
      <c r="D59" s="115"/>
      <c r="E59" s="115"/>
      <c r="F59" s="115"/>
      <c r="G59" s="115"/>
      <c r="H59" s="115"/>
    </row>
    <row r="60" spans="2:8">
      <c r="B60" s="95">
        <v>2015</v>
      </c>
      <c r="C60" s="97">
        <v>4304216</v>
      </c>
      <c r="D60" s="115"/>
      <c r="E60" s="115"/>
      <c r="F60" s="115"/>
      <c r="G60" s="115"/>
      <c r="H60" s="115"/>
    </row>
    <row r="61" spans="2:8">
      <c r="B61" s="80" t="s">
        <v>86</v>
      </c>
      <c r="C61" s="98">
        <v>37109558.034160346</v>
      </c>
      <c r="D61" s="115"/>
      <c r="E61" s="115"/>
      <c r="F61" s="115"/>
      <c r="G61" s="115"/>
      <c r="H61" s="115"/>
    </row>
    <row r="67" spans="2:21" ht="16.5" thickBot="1">
      <c r="B67"/>
      <c r="C67"/>
      <c r="D67" s="115"/>
      <c r="E67" s="115"/>
      <c r="F67" s="115"/>
      <c r="G67" s="115"/>
      <c r="H67" s="115"/>
    </row>
    <row r="68" spans="2:21" ht="33.75" customHeight="1" thickBot="1">
      <c r="B68" s="1229" t="s">
        <v>347</v>
      </c>
      <c r="C68" s="1230"/>
    </row>
    <row r="69" spans="2:21">
      <c r="B69" s="85"/>
      <c r="C69" s="79" t="s">
        <v>257</v>
      </c>
      <c r="D69" s="405"/>
      <c r="E69" s="405"/>
      <c r="F69" s="405"/>
      <c r="G69" s="405"/>
      <c r="H69" s="405"/>
      <c r="I69" s="405"/>
      <c r="J69" s="405"/>
      <c r="K69" s="405"/>
      <c r="L69" s="405"/>
      <c r="M69" s="405"/>
      <c r="N69" s="405"/>
      <c r="O69" s="405"/>
      <c r="P69" s="405"/>
      <c r="Q69" s="405"/>
      <c r="R69" s="405"/>
      <c r="S69" s="405"/>
      <c r="T69" s="406"/>
      <c r="U69"/>
    </row>
    <row r="70" spans="2:21">
      <c r="B70" s="75" t="s">
        <v>92</v>
      </c>
      <c r="C70" s="77" t="s">
        <v>333</v>
      </c>
      <c r="D70" s="404" t="s">
        <v>323</v>
      </c>
      <c r="E70" s="404" t="s">
        <v>305</v>
      </c>
      <c r="F70" s="404" t="s">
        <v>308</v>
      </c>
      <c r="G70" s="404" t="s">
        <v>296</v>
      </c>
      <c r="H70" s="404" t="s">
        <v>283</v>
      </c>
      <c r="I70" s="404" t="s">
        <v>288</v>
      </c>
      <c r="J70" s="404" t="s">
        <v>301</v>
      </c>
      <c r="K70" s="404" t="s">
        <v>278</v>
      </c>
      <c r="L70" s="404" t="s">
        <v>341</v>
      </c>
      <c r="M70" s="404" t="s">
        <v>362</v>
      </c>
      <c r="N70" s="404" t="s">
        <v>363</v>
      </c>
      <c r="O70" s="404" t="s">
        <v>432</v>
      </c>
      <c r="P70" s="404" t="s">
        <v>434</v>
      </c>
      <c r="Q70" s="404" t="s">
        <v>435</v>
      </c>
      <c r="R70" s="404" t="s">
        <v>452</v>
      </c>
      <c r="S70" s="404" t="s">
        <v>813</v>
      </c>
      <c r="T70" s="76" t="s">
        <v>86</v>
      </c>
      <c r="U70"/>
    </row>
    <row r="71" spans="2:21">
      <c r="B71" s="77" t="s">
        <v>572</v>
      </c>
      <c r="C71" s="407">
        <v>1359743.9766673769</v>
      </c>
      <c r="D71" s="408">
        <v>6118326.9454545453</v>
      </c>
      <c r="E71" s="408">
        <v>915051.76228571427</v>
      </c>
      <c r="F71" s="408">
        <v>160000</v>
      </c>
      <c r="G71" s="408">
        <v>50000</v>
      </c>
      <c r="H71" s="408">
        <v>2796114.1614054306</v>
      </c>
      <c r="I71" s="408">
        <v>2418163</v>
      </c>
      <c r="J71" s="408">
        <v>185000</v>
      </c>
      <c r="K71" s="408">
        <v>3146169</v>
      </c>
      <c r="L71" s="408">
        <v>213220</v>
      </c>
      <c r="M71" s="408">
        <v>4672.2786855670129</v>
      </c>
      <c r="N71" s="408">
        <v>0</v>
      </c>
      <c r="O71" s="408">
        <v>0</v>
      </c>
      <c r="P71" s="408">
        <v>0</v>
      </c>
      <c r="Q71" s="408">
        <v>0</v>
      </c>
      <c r="R71" s="408">
        <v>502906.06454851897</v>
      </c>
      <c r="S71" s="408">
        <v>291512.29050279339</v>
      </c>
      <c r="T71" s="96">
        <v>18160879.479549944</v>
      </c>
      <c r="U71"/>
    </row>
    <row r="72" spans="2:21">
      <c r="B72" s="78" t="s">
        <v>922</v>
      </c>
      <c r="C72" s="546">
        <v>850647.02333262307</v>
      </c>
      <c r="D72" s="547">
        <v>3150351.6290135398</v>
      </c>
      <c r="E72" s="547">
        <v>979937.53715090535</v>
      </c>
      <c r="F72" s="547">
        <v>0</v>
      </c>
      <c r="G72" s="547">
        <v>0</v>
      </c>
      <c r="H72" s="547">
        <v>3324171.1669636145</v>
      </c>
      <c r="I72" s="547">
        <v>0</v>
      </c>
      <c r="J72" s="547">
        <v>0</v>
      </c>
      <c r="K72" s="547">
        <v>0</v>
      </c>
      <c r="L72" s="547">
        <v>0</v>
      </c>
      <c r="M72" s="547">
        <v>18485.972190721644</v>
      </c>
      <c r="N72" s="547">
        <v>463013.70956043957</v>
      </c>
      <c r="O72" s="547">
        <v>455617.28395061725</v>
      </c>
      <c r="P72" s="547">
        <v>564560.43956043955</v>
      </c>
      <c r="Q72" s="547">
        <v>50274.725274725271</v>
      </c>
      <c r="R72" s="547">
        <v>783907.11383747915</v>
      </c>
      <c r="S72" s="547">
        <v>235278.21229050274</v>
      </c>
      <c r="T72" s="97">
        <v>10876244.813125608</v>
      </c>
      <c r="U72"/>
    </row>
    <row r="73" spans="2:21">
      <c r="B73" s="84" t="s">
        <v>694</v>
      </c>
      <c r="C73" s="409">
        <v>0</v>
      </c>
      <c r="D73" s="410">
        <v>2829764.4255319149</v>
      </c>
      <c r="E73" s="410">
        <v>1400634.2605633803</v>
      </c>
      <c r="F73" s="410">
        <v>0</v>
      </c>
      <c r="G73" s="410">
        <v>0</v>
      </c>
      <c r="H73" s="410">
        <v>2430722.6716309548</v>
      </c>
      <c r="I73" s="410">
        <v>0</v>
      </c>
      <c r="J73" s="410">
        <v>0</v>
      </c>
      <c r="K73" s="410">
        <v>0</v>
      </c>
      <c r="L73" s="410">
        <v>0</v>
      </c>
      <c r="M73" s="410">
        <v>55661.05912371134</v>
      </c>
      <c r="N73" s="410">
        <v>52389.930439560441</v>
      </c>
      <c r="O73" s="410">
        <v>270382.71604938275</v>
      </c>
      <c r="P73" s="410">
        <v>185439.56043956045</v>
      </c>
      <c r="Q73" s="410">
        <v>49725.274725274729</v>
      </c>
      <c r="R73" s="410">
        <v>377504.34577434475</v>
      </c>
      <c r="S73" s="410">
        <v>630209.49720670388</v>
      </c>
      <c r="T73" s="99">
        <v>8282433.7414847892</v>
      </c>
      <c r="U73"/>
    </row>
    <row r="74" spans="2:21">
      <c r="B74"/>
      <c r="C74"/>
      <c r="D74"/>
      <c r="E74"/>
      <c r="F74"/>
      <c r="G74"/>
      <c r="H74"/>
      <c r="I74"/>
      <c r="J74"/>
      <c r="K74"/>
      <c r="L74"/>
      <c r="M74"/>
      <c r="N74"/>
      <c r="O74"/>
      <c r="P74"/>
      <c r="Q74"/>
      <c r="R74"/>
      <c r="S74"/>
      <c r="T74"/>
      <c r="U74"/>
    </row>
    <row r="75" spans="2:21">
      <c r="B75"/>
      <c r="C75"/>
      <c r="D75"/>
      <c r="E75"/>
      <c r="F75"/>
      <c r="G75"/>
      <c r="H75"/>
      <c r="I75"/>
      <c r="J75"/>
      <c r="K75"/>
      <c r="L75"/>
      <c r="M75"/>
      <c r="N75"/>
      <c r="O75"/>
      <c r="P75"/>
      <c r="Q75"/>
      <c r="R75"/>
      <c r="S75"/>
      <c r="T75"/>
      <c r="U75"/>
    </row>
    <row r="76" spans="2:21">
      <c r="B76"/>
      <c r="C76"/>
      <c r="D76"/>
      <c r="E76"/>
      <c r="F76"/>
      <c r="G76"/>
      <c r="H76"/>
      <c r="I76"/>
      <c r="J76"/>
      <c r="K76"/>
      <c r="L76"/>
      <c r="M76"/>
      <c r="N76"/>
      <c r="O76"/>
      <c r="P76"/>
      <c r="Q76"/>
      <c r="R76"/>
      <c r="S76"/>
      <c r="T76"/>
      <c r="U76"/>
    </row>
    <row r="77" spans="2:21">
      <c r="B77"/>
      <c r="C77"/>
      <c r="D77"/>
      <c r="E77"/>
      <c r="F77"/>
      <c r="G77"/>
      <c r="H77"/>
      <c r="I77"/>
      <c r="J77"/>
      <c r="K77"/>
      <c r="L77"/>
      <c r="M77"/>
      <c r="N77"/>
      <c r="O77"/>
      <c r="P77"/>
      <c r="Q77"/>
      <c r="R77"/>
      <c r="S77"/>
      <c r="T77"/>
      <c r="U77"/>
    </row>
    <row r="78" spans="2:21">
      <c r="B78"/>
      <c r="C78"/>
      <c r="D78"/>
      <c r="E78"/>
      <c r="F78"/>
      <c r="G78"/>
      <c r="H78"/>
      <c r="I78"/>
      <c r="J78"/>
      <c r="K78"/>
      <c r="L78"/>
      <c r="M78"/>
      <c r="N78"/>
      <c r="O78"/>
      <c r="P78"/>
      <c r="Q78"/>
      <c r="R78"/>
      <c r="S78"/>
      <c r="T78"/>
      <c r="U78"/>
    </row>
    <row r="79" spans="2:21">
      <c r="B79"/>
      <c r="C79"/>
      <c r="D79"/>
      <c r="E79"/>
      <c r="F79"/>
      <c r="G79"/>
      <c r="H79"/>
      <c r="I79"/>
      <c r="J79"/>
      <c r="K79"/>
      <c r="L79"/>
      <c r="M79"/>
      <c r="N79"/>
      <c r="O79"/>
      <c r="P79"/>
      <c r="Q79"/>
      <c r="R79"/>
      <c r="S79"/>
      <c r="T79"/>
      <c r="U79"/>
    </row>
    <row r="80" spans="2:21">
      <c r="B80"/>
      <c r="C80"/>
      <c r="D80"/>
      <c r="E80"/>
      <c r="F80"/>
      <c r="G80"/>
      <c r="H80"/>
      <c r="I80"/>
      <c r="J80"/>
      <c r="K80"/>
      <c r="L80"/>
      <c r="M80"/>
      <c r="N80"/>
      <c r="O80"/>
      <c r="P80"/>
      <c r="Q80"/>
      <c r="R80"/>
      <c r="S80"/>
      <c r="T80"/>
      <c r="U80"/>
    </row>
    <row r="81" spans="2:21">
      <c r="B81"/>
      <c r="C81"/>
      <c r="D81"/>
      <c r="E81"/>
      <c r="F81"/>
      <c r="G81"/>
      <c r="H81"/>
      <c r="I81"/>
      <c r="J81"/>
      <c r="K81"/>
      <c r="L81"/>
      <c r="M81"/>
      <c r="N81"/>
      <c r="O81"/>
      <c r="P81"/>
      <c r="Q81"/>
      <c r="R81"/>
      <c r="S81"/>
      <c r="T81"/>
      <c r="U81"/>
    </row>
    <row r="82" spans="2:21">
      <c r="B82"/>
      <c r="C82"/>
      <c r="D82"/>
      <c r="E82"/>
      <c r="F82"/>
      <c r="G82"/>
      <c r="H82"/>
      <c r="I82"/>
      <c r="J82"/>
      <c r="K82"/>
      <c r="L82"/>
      <c r="M82"/>
      <c r="N82"/>
      <c r="O82"/>
      <c r="P82"/>
      <c r="Q82"/>
      <c r="R82"/>
      <c r="S82"/>
      <c r="T82"/>
      <c r="U82"/>
    </row>
    <row r="83" spans="2:21">
      <c r="B83"/>
      <c r="C83"/>
      <c r="D83"/>
      <c r="E83"/>
      <c r="F83"/>
      <c r="G83"/>
      <c r="H83"/>
      <c r="I83"/>
      <c r="J83"/>
      <c r="K83"/>
      <c r="L83"/>
      <c r="M83"/>
      <c r="N83"/>
      <c r="O83"/>
      <c r="P83"/>
      <c r="Q83"/>
      <c r="R83"/>
      <c r="S83"/>
      <c r="T83"/>
      <c r="U83"/>
    </row>
    <row r="84" spans="2:21">
      <c r="B84"/>
      <c r="C84"/>
      <c r="D84"/>
      <c r="E84"/>
      <c r="F84"/>
      <c r="G84"/>
      <c r="H84"/>
      <c r="I84"/>
      <c r="J84"/>
      <c r="K84"/>
      <c r="L84"/>
      <c r="M84"/>
      <c r="N84"/>
      <c r="O84"/>
      <c r="P84"/>
      <c r="Q84"/>
      <c r="R84"/>
      <c r="S84"/>
      <c r="T84"/>
      <c r="U84"/>
    </row>
    <row r="85" spans="2:21">
      <c r="B85"/>
      <c r="C85"/>
      <c r="D85"/>
      <c r="E85"/>
      <c r="F85"/>
      <c r="G85"/>
      <c r="H85"/>
      <c r="I85"/>
      <c r="J85"/>
      <c r="K85"/>
      <c r="L85"/>
      <c r="M85"/>
      <c r="N85"/>
      <c r="O85"/>
      <c r="P85"/>
      <c r="Q85"/>
      <c r="R85"/>
      <c r="S85"/>
      <c r="T85"/>
      <c r="U85"/>
    </row>
    <row r="86" spans="2:21">
      <c r="B86"/>
      <c r="C86"/>
      <c r="D86"/>
      <c r="E86"/>
      <c r="F86"/>
      <c r="G86"/>
      <c r="H86"/>
      <c r="I86"/>
      <c r="J86"/>
      <c r="K86"/>
      <c r="L86"/>
      <c r="M86"/>
      <c r="N86"/>
      <c r="O86"/>
      <c r="P86"/>
      <c r="Q86"/>
      <c r="R86"/>
      <c r="S86"/>
      <c r="T86"/>
      <c r="U86"/>
    </row>
    <row r="87" spans="2:21">
      <c r="B87"/>
      <c r="C87"/>
      <c r="D87"/>
      <c r="E87"/>
      <c r="F87"/>
      <c r="G87"/>
      <c r="H87"/>
      <c r="I87"/>
      <c r="J87"/>
      <c r="K87"/>
      <c r="L87"/>
      <c r="M87"/>
      <c r="N87"/>
      <c r="O87"/>
      <c r="P87"/>
      <c r="Q87"/>
      <c r="R87"/>
      <c r="S87"/>
      <c r="T87"/>
      <c r="U87"/>
    </row>
    <row r="88" spans="2:21">
      <c r="B88"/>
      <c r="C88"/>
      <c r="D88"/>
      <c r="E88"/>
      <c r="F88"/>
      <c r="G88"/>
      <c r="H88"/>
      <c r="I88"/>
      <c r="J88"/>
      <c r="K88"/>
      <c r="L88"/>
      <c r="M88"/>
      <c r="N88"/>
      <c r="O88"/>
      <c r="P88"/>
      <c r="Q88"/>
      <c r="R88"/>
      <c r="S88"/>
      <c r="T88"/>
      <c r="U88"/>
    </row>
    <row r="89" spans="2:21">
      <c r="B89"/>
      <c r="C89"/>
      <c r="D89"/>
      <c r="E89"/>
      <c r="F89"/>
      <c r="G89"/>
      <c r="H89"/>
      <c r="I89"/>
      <c r="J89"/>
      <c r="K89"/>
      <c r="L89"/>
      <c r="M89"/>
      <c r="N89"/>
      <c r="O89"/>
      <c r="P89"/>
      <c r="Q89"/>
      <c r="R89"/>
      <c r="S89"/>
      <c r="T89"/>
      <c r="U89"/>
    </row>
    <row r="90" spans="2:21">
      <c r="B90"/>
      <c r="C90"/>
      <c r="D90"/>
      <c r="E90"/>
      <c r="F90"/>
      <c r="G90"/>
      <c r="H90"/>
      <c r="I90"/>
      <c r="J90"/>
      <c r="K90"/>
      <c r="L90"/>
      <c r="M90"/>
      <c r="N90"/>
      <c r="O90"/>
      <c r="P90"/>
      <c r="Q90"/>
      <c r="R90"/>
      <c r="S90"/>
      <c r="T90"/>
      <c r="U90"/>
    </row>
    <row r="91" spans="2:21">
      <c r="B91"/>
      <c r="C91"/>
      <c r="D91"/>
      <c r="E91"/>
      <c r="F91"/>
      <c r="G91"/>
      <c r="H91"/>
      <c r="I91"/>
      <c r="J91"/>
      <c r="K91"/>
      <c r="L91"/>
      <c r="M91"/>
      <c r="N91"/>
      <c r="O91"/>
      <c r="P91"/>
      <c r="Q91"/>
      <c r="R91"/>
      <c r="S91"/>
      <c r="T91"/>
      <c r="U91"/>
    </row>
    <row r="92" spans="2:21">
      <c r="B92"/>
      <c r="C92"/>
      <c r="D92"/>
      <c r="E92"/>
      <c r="F92"/>
      <c r="G92"/>
      <c r="H92"/>
      <c r="I92"/>
      <c r="J92"/>
      <c r="K92"/>
      <c r="L92"/>
      <c r="M92"/>
      <c r="N92"/>
      <c r="O92"/>
      <c r="P92"/>
      <c r="Q92"/>
      <c r="R92"/>
      <c r="S92"/>
      <c r="T92"/>
      <c r="U92"/>
    </row>
    <row r="93" spans="2:21">
      <c r="B93"/>
      <c r="C93"/>
      <c r="D93"/>
      <c r="E93"/>
      <c r="F93"/>
      <c r="G93"/>
      <c r="H93"/>
      <c r="I93"/>
      <c r="J93"/>
      <c r="K93"/>
      <c r="L93"/>
      <c r="M93"/>
      <c r="N93"/>
      <c r="O93"/>
      <c r="P93"/>
      <c r="Q93"/>
      <c r="R93"/>
      <c r="S93"/>
      <c r="T93"/>
      <c r="U93"/>
    </row>
    <row r="94" spans="2:21">
      <c r="B94"/>
      <c r="C94"/>
      <c r="D94"/>
      <c r="E94"/>
      <c r="F94"/>
      <c r="G94"/>
      <c r="H94"/>
      <c r="I94"/>
      <c r="J94"/>
      <c r="K94"/>
      <c r="L94"/>
      <c r="M94"/>
      <c r="N94"/>
      <c r="O94"/>
      <c r="P94"/>
      <c r="Q94"/>
      <c r="R94"/>
      <c r="S94"/>
      <c r="T94"/>
      <c r="U94"/>
    </row>
    <row r="95" spans="2:21">
      <c r="B95"/>
      <c r="C95"/>
      <c r="D95"/>
      <c r="E95"/>
      <c r="F95"/>
      <c r="G95"/>
      <c r="H95"/>
      <c r="I95"/>
      <c r="J95"/>
      <c r="K95"/>
      <c r="L95"/>
      <c r="M95"/>
      <c r="N95"/>
      <c r="O95"/>
      <c r="P95"/>
      <c r="Q95"/>
      <c r="R95"/>
      <c r="S95"/>
      <c r="T95"/>
    </row>
    <row r="97" spans="2:8">
      <c r="B97"/>
      <c r="C97"/>
    </row>
    <row r="98" spans="2:8">
      <c r="B98" s="1235"/>
      <c r="C98" s="1235"/>
    </row>
    <row r="99" spans="2:8">
      <c r="B99" s="1059" t="s">
        <v>255</v>
      </c>
      <c r="C99" s="1060" t="s">
        <v>345</v>
      </c>
    </row>
    <row r="101" spans="2:8">
      <c r="B101" s="77"/>
      <c r="C101" s="79" t="s">
        <v>92</v>
      </c>
      <c r="D101" s="91"/>
      <c r="E101" s="92"/>
      <c r="F101"/>
      <c r="G101"/>
      <c r="H101"/>
    </row>
    <row r="102" spans="2:8">
      <c r="B102" s="75" t="s">
        <v>263</v>
      </c>
      <c r="C102" s="85" t="s">
        <v>970</v>
      </c>
      <c r="D102" s="404" t="s">
        <v>971</v>
      </c>
      <c r="E102" s="1092" t="s">
        <v>972</v>
      </c>
      <c r="F102"/>
      <c r="G102"/>
      <c r="H102"/>
    </row>
    <row r="103" spans="2:8">
      <c r="B103" s="77">
        <v>2012</v>
      </c>
      <c r="C103" s="1088">
        <v>0.86250000000000004</v>
      </c>
      <c r="D103" s="1089">
        <v>0</v>
      </c>
      <c r="E103" s="1097">
        <v>0.12222222222222223</v>
      </c>
      <c r="F103"/>
      <c r="G103"/>
      <c r="H103"/>
    </row>
    <row r="104" spans="2:8">
      <c r="B104" s="78">
        <v>2013</v>
      </c>
      <c r="C104" s="1090">
        <v>0.91714285714285726</v>
      </c>
      <c r="D104" s="1091">
        <v>2.2499999999999999E-2</v>
      </c>
      <c r="E104" s="1098">
        <v>6.4500000000000002E-2</v>
      </c>
      <c r="F104"/>
      <c r="G104"/>
      <c r="H104"/>
    </row>
    <row r="105" spans="2:8">
      <c r="B105" s="78">
        <v>2014</v>
      </c>
      <c r="C105" s="1090">
        <v>0.51985795189624062</v>
      </c>
      <c r="D105" s="1091">
        <v>0.25738323945605601</v>
      </c>
      <c r="E105" s="1098">
        <v>0.22275880864770342</v>
      </c>
      <c r="F105"/>
      <c r="G105"/>
      <c r="H105"/>
    </row>
    <row r="106" spans="2:8">
      <c r="B106" s="78">
        <v>2015</v>
      </c>
      <c r="C106" s="1090">
        <v>0.52076458801472658</v>
      </c>
      <c r="D106" s="1091">
        <v>0.15000000000000002</v>
      </c>
      <c r="E106" s="1098">
        <v>0.3292354119852734</v>
      </c>
      <c r="F106" s="115"/>
      <c r="G106" s="115"/>
      <c r="H106" s="115"/>
    </row>
    <row r="107" spans="2:8">
      <c r="B107" s="1093" t="s">
        <v>86</v>
      </c>
      <c r="C107" s="1094">
        <v>0.74168540157537877</v>
      </c>
      <c r="D107" s="1095">
        <v>0.10195881863119856</v>
      </c>
      <c r="E107" s="1096">
        <v>0.15839495616604662</v>
      </c>
      <c r="F107" s="115"/>
      <c r="G107" s="115"/>
      <c r="H107" s="115"/>
    </row>
    <row r="108" spans="2:8">
      <c r="B108"/>
      <c r="C108"/>
      <c r="D108"/>
      <c r="E108"/>
      <c r="F108" s="115"/>
      <c r="G108" s="115"/>
      <c r="H108" s="115"/>
    </row>
    <row r="109" spans="2:8">
      <c r="B109" s="119"/>
      <c r="C109" s="120"/>
      <c r="D109" s="115"/>
      <c r="E109" s="115"/>
      <c r="F109" s="115"/>
      <c r="G109" s="115"/>
      <c r="H109" s="115"/>
    </row>
    <row r="110" spans="2:8">
      <c r="B110" s="119"/>
      <c r="C110" s="120"/>
      <c r="D110" s="115"/>
      <c r="E110" s="115"/>
      <c r="F110" s="115"/>
      <c r="G110" s="115"/>
      <c r="H110" s="115"/>
    </row>
    <row r="114" spans="2:8" ht="16.5" thickBot="1"/>
    <row r="115" spans="2:8" ht="16.5" thickBot="1">
      <c r="B115" s="1229" t="s">
        <v>350</v>
      </c>
      <c r="C115" s="1230"/>
    </row>
    <row r="116" spans="2:8">
      <c r="B116" s="1059" t="s">
        <v>255</v>
      </c>
      <c r="C116" s="1060" t="s">
        <v>345</v>
      </c>
    </row>
    <row r="118" spans="2:8">
      <c r="B118" s="79" t="s">
        <v>92</v>
      </c>
      <c r="C118" s="76" t="s">
        <v>84</v>
      </c>
      <c r="D118" s="115"/>
      <c r="E118" s="115"/>
      <c r="F118" s="115"/>
      <c r="G118" s="115"/>
      <c r="H118" s="115"/>
    </row>
    <row r="119" spans="2:8">
      <c r="B119" s="85" t="s">
        <v>359</v>
      </c>
      <c r="C119" s="88">
        <v>0.39735591353415772</v>
      </c>
      <c r="D119" s="115"/>
      <c r="E119" s="115"/>
      <c r="F119" s="115"/>
      <c r="G119" s="115"/>
      <c r="H119" s="115"/>
    </row>
    <row r="120" spans="2:8">
      <c r="B120" s="86" t="s">
        <v>360</v>
      </c>
      <c r="C120" s="89">
        <v>0.26298370314950653</v>
      </c>
      <c r="D120" s="115"/>
      <c r="E120" s="115"/>
      <c r="F120" s="115"/>
      <c r="G120" s="115"/>
      <c r="H120" s="115"/>
    </row>
    <row r="121" spans="2:8">
      <c r="B121" s="87" t="s">
        <v>361</v>
      </c>
      <c r="C121" s="90">
        <v>0.33764114464990336</v>
      </c>
      <c r="D121" s="115"/>
      <c r="E121" s="115"/>
      <c r="F121" s="115"/>
      <c r="G121" s="115"/>
      <c r="H121" s="115"/>
    </row>
    <row r="122" spans="2:8">
      <c r="B122" s="115"/>
      <c r="C122" s="115"/>
      <c r="D122" s="115"/>
      <c r="E122" s="115"/>
      <c r="F122" s="115"/>
      <c r="G122" s="115"/>
      <c r="H122" s="115"/>
    </row>
    <row r="123" spans="2:8">
      <c r="B123" s="1228" t="s">
        <v>348</v>
      </c>
      <c r="C123" s="1228"/>
      <c r="D123" s="115"/>
      <c r="E123" s="115"/>
      <c r="F123" s="115"/>
      <c r="G123" s="115"/>
      <c r="H123" s="115"/>
    </row>
    <row r="124" spans="2:8">
      <c r="B124" s="119"/>
      <c r="C124" s="120"/>
      <c r="D124" s="115"/>
      <c r="E124" s="115"/>
      <c r="F124" s="115"/>
      <c r="G124" s="115"/>
      <c r="H124" s="115"/>
    </row>
    <row r="125" spans="2:8">
      <c r="B125" s="119"/>
      <c r="C125" s="120"/>
      <c r="D125" s="115"/>
      <c r="E125" s="115"/>
      <c r="F125" s="115"/>
      <c r="G125" s="115"/>
      <c r="H125" s="115"/>
    </row>
    <row r="126" spans="2:8">
      <c r="B126" s="119"/>
      <c r="C126" s="120"/>
      <c r="D126" s="115"/>
      <c r="E126" s="115"/>
      <c r="F126" s="115"/>
      <c r="G126" s="115"/>
      <c r="H126" s="115"/>
    </row>
    <row r="127" spans="2:8">
      <c r="B127" s="119"/>
      <c r="C127" s="120"/>
      <c r="D127" s="115"/>
      <c r="E127" s="115"/>
      <c r="F127" s="115"/>
      <c r="G127" s="115"/>
      <c r="H127" s="115"/>
    </row>
    <row r="128" spans="2:8">
      <c r="B128" s="119"/>
      <c r="C128" s="120"/>
      <c r="D128" s="115"/>
      <c r="E128" s="115"/>
      <c r="F128" s="115"/>
      <c r="G128" s="115"/>
      <c r="H128" s="115"/>
    </row>
    <row r="129" spans="2:8">
      <c r="B129" s="119"/>
      <c r="C129" s="120"/>
      <c r="D129" s="115"/>
      <c r="E129" s="115"/>
      <c r="F129" s="115"/>
      <c r="G129" s="115"/>
      <c r="H129" s="115"/>
    </row>
    <row r="130" spans="2:8">
      <c r="B130" s="119"/>
      <c r="C130" s="120"/>
      <c r="D130" s="115"/>
      <c r="E130" s="115"/>
      <c r="F130" s="115"/>
      <c r="G130" s="115"/>
      <c r="H130" s="115"/>
    </row>
    <row r="131" spans="2:8">
      <c r="B131" s="119"/>
      <c r="C131" s="120"/>
      <c r="D131" s="115"/>
      <c r="E131" s="115"/>
      <c r="F131" s="115"/>
      <c r="G131" s="115"/>
      <c r="H131" s="115"/>
    </row>
    <row r="132" spans="2:8" ht="16.5" thickBot="1"/>
    <row r="133" spans="2:8" ht="16.5" thickBot="1">
      <c r="B133" s="1229" t="s">
        <v>351</v>
      </c>
      <c r="C133" s="1230"/>
    </row>
    <row r="134" spans="2:8">
      <c r="B134" s="1059" t="s">
        <v>255</v>
      </c>
      <c r="C134" s="1060" t="s">
        <v>345</v>
      </c>
    </row>
    <row r="136" spans="2:8">
      <c r="B136" s="77"/>
      <c r="C136" s="75" t="s">
        <v>263</v>
      </c>
      <c r="D136" s="91"/>
      <c r="E136" s="91"/>
      <c r="F136" s="91"/>
      <c r="G136" s="92"/>
      <c r="H136" s="115"/>
    </row>
    <row r="137" spans="2:8">
      <c r="B137" s="79" t="s">
        <v>92</v>
      </c>
      <c r="C137" s="93">
        <v>2012</v>
      </c>
      <c r="D137" s="94">
        <v>2013</v>
      </c>
      <c r="E137" s="94">
        <v>2014</v>
      </c>
      <c r="F137" s="963">
        <v>2015</v>
      </c>
      <c r="G137" s="76" t="s">
        <v>86</v>
      </c>
      <c r="H137" s="115"/>
    </row>
    <row r="138" spans="2:8">
      <c r="B138" s="77" t="s">
        <v>353</v>
      </c>
      <c r="C138" s="100">
        <v>65696</v>
      </c>
      <c r="D138" s="101">
        <v>336866</v>
      </c>
      <c r="E138" s="101">
        <v>141836</v>
      </c>
      <c r="F138" s="101">
        <v>149363</v>
      </c>
      <c r="G138" s="102">
        <v>693761</v>
      </c>
      <c r="H138" s="115"/>
    </row>
    <row r="139" spans="2:8">
      <c r="B139" s="78" t="s">
        <v>354</v>
      </c>
      <c r="C139" s="103">
        <v>86158</v>
      </c>
      <c r="D139" s="104">
        <v>234514</v>
      </c>
      <c r="E139" s="104">
        <v>143446</v>
      </c>
      <c r="F139" s="104">
        <v>160383</v>
      </c>
      <c r="G139" s="105">
        <v>624501</v>
      </c>
      <c r="H139" s="115"/>
    </row>
    <row r="140" spans="2:8">
      <c r="B140" s="84" t="s">
        <v>355</v>
      </c>
      <c r="C140" s="106">
        <v>150417</v>
      </c>
      <c r="D140" s="107">
        <v>250524</v>
      </c>
      <c r="E140" s="107">
        <v>144604</v>
      </c>
      <c r="F140" s="107">
        <v>149363</v>
      </c>
      <c r="G140" s="108">
        <v>694908</v>
      </c>
    </row>
    <row r="141" spans="2:8" ht="31.15" customHeight="1">
      <c r="B141" s="1231"/>
      <c r="C141" s="1231"/>
    </row>
    <row r="146" spans="2:8" ht="16.5" thickBot="1"/>
    <row r="147" spans="2:8" ht="32.25" customHeight="1" thickBot="1">
      <c r="B147" s="1229" t="s">
        <v>352</v>
      </c>
      <c r="C147" s="1230"/>
    </row>
    <row r="148" spans="2:8">
      <c r="B148" s="1059" t="s">
        <v>255</v>
      </c>
      <c r="C148" s="1060" t="s">
        <v>85</v>
      </c>
    </row>
    <row r="150" spans="2:8">
      <c r="B150" s="77"/>
      <c r="C150" s="75" t="s">
        <v>263</v>
      </c>
      <c r="D150" s="91"/>
      <c r="E150" s="91"/>
      <c r="F150" s="91"/>
      <c r="G150" s="92"/>
      <c r="H150" s="115"/>
    </row>
    <row r="151" spans="2:8">
      <c r="B151" s="79" t="s">
        <v>92</v>
      </c>
      <c r="C151" s="93">
        <v>2012</v>
      </c>
      <c r="D151" s="94">
        <v>2013</v>
      </c>
      <c r="E151" s="94">
        <v>2014</v>
      </c>
      <c r="F151" s="963">
        <v>2015</v>
      </c>
      <c r="G151" s="76" t="s">
        <v>86</v>
      </c>
      <c r="H151" s="115"/>
    </row>
    <row r="152" spans="2:8">
      <c r="B152" s="77" t="s">
        <v>356</v>
      </c>
      <c r="C152" s="100">
        <v>79817</v>
      </c>
      <c r="D152" s="101">
        <v>69704</v>
      </c>
      <c r="E152" s="101">
        <v>92979.199999999997</v>
      </c>
      <c r="F152" s="101">
        <v>59617</v>
      </c>
      <c r="G152" s="102">
        <v>302117.2</v>
      </c>
      <c r="H152" s="115"/>
    </row>
    <row r="153" spans="2:8">
      <c r="B153" s="78" t="s">
        <v>357</v>
      </c>
      <c r="C153" s="103">
        <v>79817</v>
      </c>
      <c r="D153" s="104">
        <v>69704</v>
      </c>
      <c r="E153" s="104">
        <v>99269</v>
      </c>
      <c r="F153" s="104">
        <v>73571.25</v>
      </c>
      <c r="G153" s="105">
        <v>322361.25</v>
      </c>
      <c r="H153" s="115"/>
    </row>
    <row r="154" spans="2:8">
      <c r="B154" s="84" t="s">
        <v>358</v>
      </c>
      <c r="C154" s="106">
        <v>79817</v>
      </c>
      <c r="D154" s="107">
        <v>77865</v>
      </c>
      <c r="E154" s="107">
        <v>130810</v>
      </c>
      <c r="F154" s="107">
        <v>78636</v>
      </c>
      <c r="G154" s="108">
        <v>367128</v>
      </c>
    </row>
    <row r="160" spans="2:8">
      <c r="B160" s="119"/>
      <c r="C160" s="120"/>
    </row>
    <row r="161" spans="2:14">
      <c r="B161" s="115"/>
      <c r="C161" s="115"/>
      <c r="D161" s="115"/>
      <c r="E161" s="115"/>
      <c r="F161" s="115"/>
      <c r="G161" s="115"/>
      <c r="H161" s="115"/>
      <c r="I161" s="115"/>
      <c r="J161" s="115"/>
      <c r="K161" s="115"/>
      <c r="L161" s="115"/>
      <c r="M161" s="115"/>
      <c r="N161" s="115"/>
    </row>
    <row r="162" spans="2:14">
      <c r="B162" s="115"/>
      <c r="C162" s="115"/>
      <c r="D162" s="115"/>
      <c r="E162" s="115"/>
      <c r="F162" s="115"/>
      <c r="G162" s="115"/>
      <c r="H162" s="115"/>
      <c r="I162" s="115"/>
      <c r="J162" s="115"/>
      <c r="K162" s="115"/>
      <c r="L162" s="115"/>
      <c r="M162" s="115"/>
      <c r="N162" s="115"/>
    </row>
    <row r="163" spans="2:14">
      <c r="B163" s="115"/>
      <c r="C163" s="115"/>
      <c r="D163" s="115"/>
      <c r="E163" s="115"/>
      <c r="F163" s="115"/>
      <c r="G163" s="115"/>
      <c r="H163" s="115"/>
      <c r="I163" s="115"/>
      <c r="J163" s="115"/>
      <c r="K163" s="115"/>
      <c r="L163" s="115"/>
      <c r="M163" s="115"/>
      <c r="N163" s="115"/>
    </row>
    <row r="164" spans="2:14">
      <c r="B164" s="115"/>
      <c r="C164" s="115"/>
      <c r="D164" s="115"/>
      <c r="E164" s="115"/>
      <c r="F164" s="115"/>
      <c r="G164" s="115"/>
      <c r="H164" s="115"/>
      <c r="I164" s="115"/>
      <c r="J164" s="115"/>
      <c r="K164" s="115"/>
      <c r="L164" s="115"/>
      <c r="M164" s="115"/>
      <c r="N164" s="115"/>
    </row>
    <row r="165" spans="2:14">
      <c r="B165" s="115"/>
      <c r="C165" s="115"/>
      <c r="D165" s="115"/>
      <c r="E165" s="115"/>
      <c r="F165" s="115"/>
      <c r="G165" s="115"/>
      <c r="H165" s="115"/>
      <c r="I165" s="115"/>
      <c r="J165" s="115"/>
      <c r="K165" s="115"/>
      <c r="L165" s="115"/>
      <c r="M165" s="115"/>
      <c r="N165" s="115"/>
    </row>
    <row r="166" spans="2:14">
      <c r="B166" s="115"/>
      <c r="C166" s="115"/>
      <c r="D166" s="115"/>
      <c r="E166" s="115"/>
      <c r="F166" s="115"/>
      <c r="G166" s="115"/>
      <c r="H166" s="115"/>
      <c r="I166" s="115"/>
      <c r="J166" s="115"/>
      <c r="K166" s="115"/>
      <c r="L166" s="115"/>
      <c r="M166" s="115"/>
      <c r="N166" s="115"/>
    </row>
    <row r="167" spans="2:14">
      <c r="B167" s="115"/>
      <c r="C167" s="115"/>
      <c r="D167" s="115"/>
      <c r="E167" s="115"/>
      <c r="F167" s="115"/>
      <c r="G167" s="115"/>
      <c r="H167" s="115"/>
      <c r="I167" s="115"/>
      <c r="J167" s="115"/>
      <c r="K167" s="115"/>
      <c r="L167" s="115"/>
      <c r="M167" s="115"/>
      <c r="N167" s="115"/>
    </row>
    <row r="168" spans="2:14">
      <c r="B168" s="115"/>
      <c r="C168" s="115"/>
      <c r="D168" s="115"/>
      <c r="E168" s="115"/>
      <c r="F168" s="115"/>
      <c r="G168" s="115"/>
      <c r="H168" s="115"/>
      <c r="I168" s="115"/>
      <c r="J168" s="115"/>
      <c r="K168" s="115"/>
      <c r="L168" s="115"/>
      <c r="M168" s="115"/>
      <c r="N168" s="115"/>
    </row>
  </sheetData>
  <mergeCells count="11">
    <mergeCell ref="B123:C123"/>
    <mergeCell ref="B133:C133"/>
    <mergeCell ref="B141:C141"/>
    <mergeCell ref="B147:C147"/>
    <mergeCell ref="B2:M2"/>
    <mergeCell ref="B5:C5"/>
    <mergeCell ref="B54:C54"/>
    <mergeCell ref="B68:C68"/>
    <mergeCell ref="B98:C98"/>
    <mergeCell ref="B115:C115"/>
    <mergeCell ref="B34:C34"/>
  </mergeCells>
  <pageMargins left="0.7" right="0.7" top="0.75" bottom="0.75" header="0.3" footer="0.3"/>
  <pageSetup paperSize="8" scale="50" orientation="portrait" r:id="rId9"/>
  <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67"/>
  <sheetViews>
    <sheetView zoomScaleNormal="100" workbookViewId="0">
      <selection activeCell="G10" sqref="G10"/>
    </sheetView>
  </sheetViews>
  <sheetFormatPr defaultColWidth="8.85546875" defaultRowHeight="36.75" customHeight="1"/>
  <cols>
    <col min="1" max="1" width="3.5703125" style="389" customWidth="1"/>
    <col min="2" max="2" width="33.28515625" style="389" customWidth="1"/>
    <col min="3" max="5" width="26.28515625" style="466" customWidth="1"/>
    <col min="6" max="7" width="26.28515625" style="389" customWidth="1"/>
    <col min="8" max="8" width="15.85546875" style="389" customWidth="1"/>
    <col min="9" max="9" width="74.28515625" style="389" customWidth="1"/>
    <col min="10" max="11" width="8.85546875" style="389"/>
    <col min="12" max="12" width="14.85546875" style="389" bestFit="1" customWidth="1"/>
    <col min="13" max="16384" width="8.85546875" style="389"/>
  </cols>
  <sheetData>
    <row r="1" spans="2:11" ht="14.25" customHeight="1">
      <c r="C1" s="389"/>
      <c r="D1" s="389"/>
      <c r="E1" s="389"/>
    </row>
    <row r="2" spans="2:11" ht="36.75" customHeight="1">
      <c r="B2" s="1239" t="s">
        <v>195</v>
      </c>
      <c r="C2" s="1239"/>
      <c r="D2" s="1239"/>
      <c r="E2" s="1239"/>
      <c r="F2" s="1239"/>
      <c r="G2" s="1239"/>
      <c r="H2" s="1239"/>
      <c r="I2" s="520"/>
    </row>
    <row r="3" spans="2:11" s="365" customFormat="1" ht="18" customHeight="1"/>
    <row r="4" spans="2:11" s="365" customFormat="1" ht="20.25" customHeight="1">
      <c r="B4" s="467" t="s">
        <v>177</v>
      </c>
      <c r="C4" s="468"/>
      <c r="D4" s="468"/>
      <c r="E4" s="468"/>
      <c r="F4" s="468"/>
      <c r="G4" s="468"/>
      <c r="H4" s="468"/>
      <c r="I4" s="467"/>
      <c r="J4" s="469"/>
      <c r="K4" s="469"/>
    </row>
    <row r="5" spans="2:11" s="365" customFormat="1" ht="16.5" customHeight="1"/>
    <row r="6" spans="2:11" ht="36.75" customHeight="1">
      <c r="B6" s="444" t="s">
        <v>178</v>
      </c>
      <c r="C6" s="480" t="s">
        <v>611</v>
      </c>
      <c r="D6" s="73" t="s">
        <v>612</v>
      </c>
      <c r="E6" s="73" t="s">
        <v>919</v>
      </c>
      <c r="F6" s="73" t="s">
        <v>920</v>
      </c>
      <c r="G6" s="73" t="s">
        <v>921</v>
      </c>
      <c r="H6" s="445" t="s">
        <v>196</v>
      </c>
      <c r="I6" s="441" t="s">
        <v>197</v>
      </c>
    </row>
    <row r="7" spans="2:11" ht="22.5" customHeight="1">
      <c r="B7" s="446" t="s">
        <v>179</v>
      </c>
      <c r="C7" s="74">
        <v>112136</v>
      </c>
      <c r="D7" s="74">
        <v>116183</v>
      </c>
      <c r="E7" s="74">
        <v>114392</v>
      </c>
      <c r="F7" s="74">
        <f>SUMIFS(Database!M5:M502,Database!I5:I502,"Camp")</f>
        <v>121975</v>
      </c>
      <c r="G7" s="74">
        <f>SUMIFS(Database!M5:M502,Database!I5:I502,"Camp")-SUMIFS(Database!M5:M502,Database!I5:I502,"Camp",Database!S5:S502,"none")</f>
        <v>121065</v>
      </c>
      <c r="H7" s="447">
        <f t="shared" ref="H7:H13" si="0">G7/F7</f>
        <v>0.99253945480631278</v>
      </c>
      <c r="I7" s="60"/>
    </row>
    <row r="8" spans="2:11" ht="22.5" customHeight="1">
      <c r="B8" s="446" t="s">
        <v>180</v>
      </c>
      <c r="C8" s="74">
        <v>10858</v>
      </c>
      <c r="D8" s="74">
        <v>8158</v>
      </c>
      <c r="E8" s="74">
        <v>11194</v>
      </c>
      <c r="F8" s="74">
        <f>SUMIFS(Database!M5:M502,Database!K5:K502,"Village with IDPs")</f>
        <v>12215</v>
      </c>
      <c r="G8" s="74">
        <f>SUMIFS(Database!M5:M502,Database!K5:K502,"Village with IDPs")-SUMIFS(Database!M5:M502,Database!K5:K502,"Village with IDPs",Database!S5:S502,"none")</f>
        <v>12215</v>
      </c>
      <c r="H8" s="447">
        <f t="shared" si="0"/>
        <v>1</v>
      </c>
      <c r="I8" s="60"/>
    </row>
    <row r="9" spans="2:11" ht="22.5" customHeight="1">
      <c r="B9" s="446" t="s">
        <v>182</v>
      </c>
      <c r="C9" s="74">
        <v>15628</v>
      </c>
      <c r="D9" s="74">
        <v>14969</v>
      </c>
      <c r="E9" s="74">
        <v>13724</v>
      </c>
      <c r="F9" s="74">
        <f>SUMIFS(Database!M5:M502,Database!K5:K502,"Village with affected HH")</f>
        <v>11936</v>
      </c>
      <c r="G9" s="74">
        <f>SUMIFS(Database!M5:M502,Database!K5:K502,"Village with affected HH")-SUMIFS(Database!M5:M502,Database!K5:K502,"Village with affected HH",Database!S5:S502,"none")</f>
        <v>11298</v>
      </c>
      <c r="H9" s="447">
        <f t="shared" si="0"/>
        <v>0.94654825737265413</v>
      </c>
      <c r="I9" s="60"/>
    </row>
    <row r="10" spans="2:11" ht="22.5" customHeight="1">
      <c r="B10" s="446" t="s">
        <v>613</v>
      </c>
      <c r="C10" s="74">
        <v>21705</v>
      </c>
      <c r="D10" s="1236">
        <v>100000</v>
      </c>
      <c r="E10" s="1236">
        <v>100000</v>
      </c>
      <c r="F10" s="74">
        <f>SUMIFS(Database!N5:N502,Database!K5:K502,"Village with IDPs")+SUMIFS(Database!N5:N502,Database!K5:K502,"Village with affected HH")-(F8+F9)</f>
        <v>47925</v>
      </c>
      <c r="G10" s="74">
        <f>SUMIFS(Database!N5:N502,Database!K5:K502,"Village with IDPs")-SUMIFS(Database!N5:N502,Database!K5:K502,"Village with IDPs",Database!S5:S502,"none")+SUMIFS(Database!N5:N502,Database!K5:K502,"Village with affected HH")-SUMIFS(Database!N5:N502,Database!K5:K502,"Village with affected HH",Database!S5:S502,"none")-(G8+G9)</f>
        <v>44274</v>
      </c>
      <c r="H10" s="447">
        <f t="shared" si="0"/>
        <v>0.92381846635367759</v>
      </c>
      <c r="I10" s="60"/>
    </row>
    <row r="11" spans="2:11" ht="22.5" customHeight="1">
      <c r="B11" s="448" t="s">
        <v>625</v>
      </c>
      <c r="C11" s="74">
        <v>50000</v>
      </c>
      <c r="D11" s="1237"/>
      <c r="E11" s="1237"/>
      <c r="F11" s="74">
        <v>50000</v>
      </c>
      <c r="G11" s="74">
        <f>SUMIFS(Database!N5:N502,Database!K5:K502,"Surrounding community")-SUMIFS(Database!N5:N502,Database!K5:K502,"Surrounding community",Database!S5:S502,"none")</f>
        <v>40946</v>
      </c>
      <c r="H11" s="447">
        <f t="shared" si="0"/>
        <v>0.81891999999999998</v>
      </c>
      <c r="I11" s="60" t="s">
        <v>614</v>
      </c>
    </row>
    <row r="12" spans="2:11" ht="22.5" customHeight="1">
      <c r="B12" s="121" t="s">
        <v>685</v>
      </c>
      <c r="C12" s="449">
        <v>140000</v>
      </c>
      <c r="D12" s="471">
        <v>177290</v>
      </c>
      <c r="E12" s="74">
        <v>70000</v>
      </c>
      <c r="F12" s="449">
        <f>E12</f>
        <v>70000</v>
      </c>
      <c r="G12" s="74">
        <f>SUMIFS(Database!N5:N502,Database!B5:B502,"Buthidaung")+SUMIFS(Database!N5:N502,Database!B5:B502,"Maungdaw")</f>
        <v>116152</v>
      </c>
      <c r="H12" s="447">
        <f t="shared" si="0"/>
        <v>1.6593142857142857</v>
      </c>
      <c r="I12" s="432" t="s">
        <v>615</v>
      </c>
    </row>
    <row r="13" spans="2:11" ht="27" customHeight="1">
      <c r="B13" s="475" t="s">
        <v>84</v>
      </c>
      <c r="C13" s="476">
        <f>SUM(C7:C12)</f>
        <v>350327</v>
      </c>
      <c r="D13" s="476">
        <f>SUM(D7:D12)</f>
        <v>416600</v>
      </c>
      <c r="E13" s="476">
        <f>SUM(E7:E12)</f>
        <v>309310</v>
      </c>
      <c r="F13" s="476">
        <f>SUM(F7:F12)</f>
        <v>314051</v>
      </c>
      <c r="G13" s="476">
        <f>SUM(G7:G12)</f>
        <v>345950</v>
      </c>
      <c r="H13" s="477">
        <f t="shared" si="0"/>
        <v>1.1015726745019121</v>
      </c>
      <c r="I13" s="450"/>
    </row>
    <row r="14" spans="2:11" ht="36.75" customHeight="1">
      <c r="B14" s="1238" t="s">
        <v>181</v>
      </c>
      <c r="C14" s="1238"/>
      <c r="D14" s="1238"/>
      <c r="E14" s="472"/>
    </row>
    <row r="15" spans="2:11" ht="14.25" customHeight="1">
      <c r="C15" s="451"/>
      <c r="D15" s="451"/>
      <c r="E15" s="451"/>
      <c r="H15" s="431"/>
    </row>
    <row r="16" spans="2:11" ht="36.75" customHeight="1">
      <c r="B16" s="57" t="s">
        <v>198</v>
      </c>
      <c r="C16" s="443"/>
      <c r="D16" s="443"/>
      <c r="E16" s="443"/>
      <c r="F16" s="443"/>
      <c r="G16" s="443"/>
      <c r="H16" s="443"/>
      <c r="I16" s="442"/>
      <c r="J16" s="452"/>
      <c r="K16" s="452"/>
    </row>
    <row r="17" spans="2:9" ht="24" customHeight="1">
      <c r="C17" s="451"/>
      <c r="D17" s="451"/>
      <c r="E17" s="451"/>
    </row>
    <row r="18" spans="2:9" ht="67.5" customHeight="1" thickBot="1">
      <c r="B18" s="453" t="s">
        <v>184</v>
      </c>
      <c r="C18" s="435" t="s">
        <v>183</v>
      </c>
      <c r="D18" s="435" t="s">
        <v>185</v>
      </c>
      <c r="E18" s="435" t="s">
        <v>619</v>
      </c>
      <c r="F18" s="435" t="s">
        <v>626</v>
      </c>
      <c r="G18" s="435" t="s">
        <v>630</v>
      </c>
      <c r="H18" s="435" t="s">
        <v>199</v>
      </c>
      <c r="I18" s="454" t="s">
        <v>197</v>
      </c>
    </row>
    <row r="19" spans="2:9" ht="57" customHeight="1" thickBot="1">
      <c r="B19" s="433" t="s">
        <v>621</v>
      </c>
      <c r="C19" s="455">
        <f>SUM(C20:C23)</f>
        <v>314051</v>
      </c>
      <c r="D19" s="455">
        <f>SUM(D20:D23)</f>
        <v>255805.45</v>
      </c>
      <c r="E19" s="456">
        <f>D19/C19</f>
        <v>0.81453474117261215</v>
      </c>
      <c r="F19" s="455">
        <f>SUM(F20:F23)</f>
        <v>237298</v>
      </c>
      <c r="G19" s="456">
        <f>F19/C19</f>
        <v>0.75560338925843251</v>
      </c>
      <c r="H19" s="457" t="s">
        <v>200</v>
      </c>
      <c r="I19" s="436"/>
    </row>
    <row r="20" spans="2:9" ht="22.5" customHeight="1">
      <c r="B20" s="437" t="s">
        <v>616</v>
      </c>
      <c r="C20" s="1017">
        <f>F7</f>
        <v>121975</v>
      </c>
      <c r="D20" s="1017">
        <f>SUMIF(Database!$K$5:$K$502,"Camp with IDPs",Database!$AM$5:$AM$502)</f>
        <v>111550</v>
      </c>
      <c r="E20" s="1018">
        <f>D20/C20</f>
        <v>0.91453166632506666</v>
      </c>
      <c r="F20" s="1017">
        <f>SUMIF(Database!$K$5:$K$502,"Camp with IDPs",Database!$AK$5:$AK$502)</f>
        <v>97714</v>
      </c>
      <c r="G20" s="1018">
        <f>F20/C20</f>
        <v>0.80109858577577375</v>
      </c>
      <c r="H20" s="1019" t="s">
        <v>200</v>
      </c>
      <c r="I20" s="438"/>
    </row>
    <row r="21" spans="2:9" ht="22.5" customHeight="1">
      <c r="B21" s="434" t="s">
        <v>617</v>
      </c>
      <c r="C21" s="1020">
        <f>F8+F9+F10</f>
        <v>72076</v>
      </c>
      <c r="D21" s="1020">
        <f>SUMIF(Database!$K$5:$K$502,"Village with IDPs",Database!$AM$5:$AM$502)+SUMIF(Database!$K$5:$K$502,"Village with affected HH",Database!$AM$5:$AM$502)</f>
        <v>44302</v>
      </c>
      <c r="E21" s="1021">
        <f>D21/C21</f>
        <v>0.6146567512070592</v>
      </c>
      <c r="F21" s="1020">
        <f>SUMIF(Database!$K$5:$K$502,"Village with IDPs",Database!$AK$5:$AK$502)+SUMIF(Database!$K$5:$K$502,"Village with affected HH",Database!$AK$5:$AK$502)</f>
        <v>44302</v>
      </c>
      <c r="G21" s="1021">
        <f>F21/C21</f>
        <v>0.6146567512070592</v>
      </c>
      <c r="H21" s="1022" t="s">
        <v>200</v>
      </c>
      <c r="I21" s="62"/>
    </row>
    <row r="22" spans="2:9" ht="22.5" customHeight="1">
      <c r="B22" s="434" t="s">
        <v>618</v>
      </c>
      <c r="C22" s="1020">
        <f>F11</f>
        <v>50000</v>
      </c>
      <c r="D22" s="1020">
        <f>SUMIF(Database!$K$5:$K$502,"Surrounding community",Database!$AM$5:$AM$502)</f>
        <v>30268.116666666669</v>
      </c>
      <c r="E22" s="1021">
        <f>D22/C22</f>
        <v>0.60536233333333334</v>
      </c>
      <c r="F22" s="1020">
        <f>SUMIF(Database!$K$5:$K$502,"Surrounding community",Database!$AK$5:$AK$502)</f>
        <v>25596.666666666668</v>
      </c>
      <c r="G22" s="1021">
        <f>F22/C22</f>
        <v>0.51193333333333335</v>
      </c>
      <c r="H22" s="1022" t="s">
        <v>200</v>
      </c>
      <c r="I22" s="62"/>
    </row>
    <row r="23" spans="2:9" ht="22.5" customHeight="1" thickBot="1">
      <c r="B23" s="439" t="s">
        <v>685</v>
      </c>
      <c r="C23" s="1023">
        <f>F12</f>
        <v>70000</v>
      </c>
      <c r="D23" s="1023">
        <f>SUMIF(Database!$B$5:$B$502,"Maungdaw",Database!$AM$5:$AM$502)+SUMIF(Database!$B$5:$B$502,"Buthidaung",Database!$AM$5:$AM$502)</f>
        <v>69685.333333333343</v>
      </c>
      <c r="E23" s="1024">
        <f>D23/C23</f>
        <v>0.995504761904762</v>
      </c>
      <c r="F23" s="1023">
        <f>SUMIF(Database!$B$5:$B$502,"Maungdaw",Database!$AK$5:$AK$502)+SUMIF(Database!$B$5:$B$502,"Buthidaung",Database!$AK$5:$AK$502)</f>
        <v>69685.333333333343</v>
      </c>
      <c r="G23" s="1024">
        <f>D23/C23</f>
        <v>0.995504761904762</v>
      </c>
      <c r="H23" s="465" t="s">
        <v>200</v>
      </c>
      <c r="I23" s="440"/>
    </row>
    <row r="25" spans="2:9" ht="67.5" customHeight="1" thickBot="1">
      <c r="B25" s="453" t="s">
        <v>202</v>
      </c>
      <c r="C25" s="435" t="s">
        <v>183</v>
      </c>
      <c r="D25" s="435" t="s">
        <v>185</v>
      </c>
      <c r="E25" s="435" t="s">
        <v>619</v>
      </c>
      <c r="F25" s="435" t="s">
        <v>622</v>
      </c>
      <c r="G25" s="435" t="s">
        <v>632</v>
      </c>
      <c r="H25" s="435" t="s">
        <v>199</v>
      </c>
      <c r="I25" s="454" t="s">
        <v>197</v>
      </c>
    </row>
    <row r="26" spans="2:9" ht="51.75" customHeight="1" thickBot="1">
      <c r="B26" s="433" t="s">
        <v>620</v>
      </c>
      <c r="C26" s="455">
        <f>SUM(C27:C30)</f>
        <v>237220.6</v>
      </c>
      <c r="D26" s="455">
        <f>SUM(D27:D30)</f>
        <v>190710</v>
      </c>
      <c r="E26" s="456">
        <f>D26/C26</f>
        <v>0.80393524002552896</v>
      </c>
      <c r="F26" s="455">
        <f>SUM(F27:F30)</f>
        <v>190619</v>
      </c>
      <c r="G26" s="456">
        <f>F26/C26</f>
        <v>0.80355163084487602</v>
      </c>
      <c r="H26" s="457" t="s">
        <v>200</v>
      </c>
      <c r="I26" s="436"/>
    </row>
    <row r="27" spans="2:9" ht="18.75" customHeight="1">
      <c r="B27" s="437" t="s">
        <v>616</v>
      </c>
      <c r="C27" s="458">
        <f>F7</f>
        <v>121975</v>
      </c>
      <c r="D27" s="458">
        <f>SUMIF(Database!$K$5:$K$502,"Camp with IDPs",Database!$BC$5:$BC$502)</f>
        <v>95244</v>
      </c>
      <c r="E27" s="459">
        <f>D27/C27</f>
        <v>0.78084853453576553</v>
      </c>
      <c r="F27" s="458">
        <f>SUMIF(Database!$K$5:$K$502,"Camp with IDPs",Database!$BE$5:$BE$502)</f>
        <v>95153</v>
      </c>
      <c r="G27" s="459">
        <f>F27/C27</f>
        <v>0.78010248001639682</v>
      </c>
      <c r="H27" s="460" t="s">
        <v>200</v>
      </c>
      <c r="I27" s="438"/>
    </row>
    <row r="28" spans="2:9" ht="18.75" customHeight="1">
      <c r="B28" s="434" t="s">
        <v>617</v>
      </c>
      <c r="C28" s="74">
        <f>(F8+F9+F10)*0.6</f>
        <v>43245.599999999999</v>
      </c>
      <c r="D28" s="74">
        <f>SUMIF(Database!$K$5:$K$502,"Village with IDPs",Database!$BC$5:$BC$502)+SUMIF(Database!$K$5:$K$502,"Village with affected HH",Database!$BC$5:$BC$502)</f>
        <v>16053</v>
      </c>
      <c r="E28" s="461">
        <f>D28/C28</f>
        <v>0.37120539430601035</v>
      </c>
      <c r="F28" s="74">
        <f>SUMIF(Database!$K$5:$K$502,"Village with IDPs",Database!$BE$5:$BE$502)+SUMIF(Database!$K$5:$K$502,"Village with affected HH",Database!$BE$5:$BE$502)</f>
        <v>16053</v>
      </c>
      <c r="G28" s="461">
        <f>F28/C28</f>
        <v>0.37120539430601035</v>
      </c>
      <c r="H28" s="61" t="s">
        <v>200</v>
      </c>
      <c r="I28" s="62"/>
    </row>
    <row r="29" spans="2:9" ht="18.75" customHeight="1">
      <c r="B29" s="434" t="s">
        <v>618</v>
      </c>
      <c r="C29" s="74">
        <f>(F11)*0.6</f>
        <v>30000</v>
      </c>
      <c r="D29" s="74">
        <f>SUMIF(Database!$K$5:$K$502,"Surrounding community",Database!$BC$5:$BC$502)</f>
        <v>17550</v>
      </c>
      <c r="E29" s="461">
        <f>D29/C29</f>
        <v>0.58499999999999996</v>
      </c>
      <c r="F29" s="74">
        <f>SUMIF(Database!$K$5:$K$502,"Surrounding community",Database!$BE$5:$BE$502)</f>
        <v>17550</v>
      </c>
      <c r="G29" s="461">
        <f>F29/C29</f>
        <v>0.58499999999999996</v>
      </c>
      <c r="H29" s="61" t="s">
        <v>200</v>
      </c>
      <c r="I29" s="62"/>
    </row>
    <row r="30" spans="2:9" ht="18.75" customHeight="1" thickBot="1">
      <c r="B30" s="439" t="s">
        <v>685</v>
      </c>
      <c r="C30" s="462">
        <f>(F12)*0.6</f>
        <v>42000</v>
      </c>
      <c r="D30" s="462">
        <f>SUMIF(Database!$B$5:$B$502,"Maungdaw",Database!$BC$5:$BC$502)+SUMIF(Database!$B$5:$B$502,"Buthidaung",Database!$BC$5:$BC$502)</f>
        <v>61863</v>
      </c>
      <c r="E30" s="960">
        <f>D30/C30</f>
        <v>1.4729285714285714</v>
      </c>
      <c r="F30" s="462">
        <f>SUMIF(Database!$B$5:$B$502,"Maungdaw",Database!$BE$5:$BE$502)+SUMIF(Database!$B$5:$B$502,"Buthidaung",Database!$BE$5:$BE$502)</f>
        <v>61863</v>
      </c>
      <c r="G30" s="464">
        <f>F30/C30</f>
        <v>1.4729285714285714</v>
      </c>
      <c r="H30" s="465" t="s">
        <v>200</v>
      </c>
      <c r="I30" s="440"/>
    </row>
    <row r="32" spans="2:9" ht="47.25" customHeight="1" thickBot="1">
      <c r="B32" s="453" t="s">
        <v>203</v>
      </c>
      <c r="C32" s="435" t="s">
        <v>183</v>
      </c>
      <c r="D32" s="435" t="s">
        <v>185</v>
      </c>
      <c r="E32" s="435"/>
      <c r="F32" s="435"/>
      <c r="G32" s="435" t="s">
        <v>619</v>
      </c>
      <c r="H32" s="435" t="s">
        <v>199</v>
      </c>
      <c r="I32" s="454" t="s">
        <v>197</v>
      </c>
    </row>
    <row r="33" spans="2:10" ht="50.25" customHeight="1" thickBot="1">
      <c r="B33" s="433" t="s">
        <v>623</v>
      </c>
      <c r="C33" s="455">
        <v>312343</v>
      </c>
      <c r="D33" s="455">
        <f>SUM((D34:D37))</f>
        <v>107858.44</v>
      </c>
      <c r="E33" s="455"/>
      <c r="F33" s="455"/>
      <c r="G33" s="456">
        <f>D33/C33</f>
        <v>0.34532049701770168</v>
      </c>
      <c r="H33" s="457" t="s">
        <v>624</v>
      </c>
      <c r="I33" s="436" t="s">
        <v>627</v>
      </c>
    </row>
    <row r="34" spans="2:10" ht="27" customHeight="1">
      <c r="B34" s="437" t="s">
        <v>616</v>
      </c>
      <c r="C34" s="458">
        <f>F7</f>
        <v>121975</v>
      </c>
      <c r="D34" s="458">
        <f>49%*F7</f>
        <v>59767.75</v>
      </c>
      <c r="E34" s="458"/>
      <c r="F34" s="458"/>
      <c r="G34" s="459">
        <f>D34/C34</f>
        <v>0.49</v>
      </c>
      <c r="H34" s="460"/>
      <c r="I34" s="438" t="s">
        <v>629</v>
      </c>
    </row>
    <row r="35" spans="2:10" ht="27" customHeight="1">
      <c r="B35" s="434" t="s">
        <v>617</v>
      </c>
      <c r="C35" s="74">
        <f>F8+F9+F10</f>
        <v>72076</v>
      </c>
      <c r="D35" s="74">
        <f>19%*(F8+F9)+24%*(F10)</f>
        <v>16090.689999999999</v>
      </c>
      <c r="E35" s="74"/>
      <c r="F35" s="74"/>
      <c r="G35" s="461">
        <f>D35/C35</f>
        <v>0.22324615683445251</v>
      </c>
      <c r="H35" s="61"/>
      <c r="I35" s="62" t="s">
        <v>628</v>
      </c>
    </row>
    <row r="36" spans="2:10" ht="27" customHeight="1">
      <c r="B36" s="434" t="s">
        <v>618</v>
      </c>
      <c r="C36" s="74">
        <f>F11</f>
        <v>50000</v>
      </c>
      <c r="D36" s="74">
        <f>G36*C36</f>
        <v>11000</v>
      </c>
      <c r="E36" s="74"/>
      <c r="F36" s="74"/>
      <c r="G36" s="461">
        <v>0.22</v>
      </c>
      <c r="H36" s="61"/>
      <c r="I36" s="62" t="s">
        <v>628</v>
      </c>
    </row>
    <row r="37" spans="2:10" ht="27" customHeight="1" thickBot="1">
      <c r="B37" s="439" t="s">
        <v>685</v>
      </c>
      <c r="C37" s="462">
        <f>F12</f>
        <v>70000</v>
      </c>
      <c r="D37" s="462">
        <f>C37*G37</f>
        <v>21000</v>
      </c>
      <c r="E37" s="462"/>
      <c r="F37" s="463"/>
      <c r="G37" s="464">
        <v>0.3</v>
      </c>
      <c r="H37" s="465"/>
      <c r="I37" s="961" t="s">
        <v>918</v>
      </c>
    </row>
    <row r="38" spans="2:10" ht="36.75" customHeight="1">
      <c r="H38" s="380"/>
    </row>
    <row r="39" spans="2:10" s="56" customFormat="1" ht="25.15" customHeight="1">
      <c r="B39" s="57" t="s">
        <v>579</v>
      </c>
      <c r="C39" s="58"/>
      <c r="D39" s="58"/>
      <c r="E39" s="58"/>
      <c r="F39" s="58"/>
      <c r="G39" s="58"/>
      <c r="H39" s="57"/>
      <c r="I39" s="59"/>
      <c r="J39" s="59"/>
    </row>
    <row r="40" spans="2:10" s="56" customFormat="1" ht="15">
      <c r="C40" s="63"/>
    </row>
    <row r="41" spans="2:10" s="56" customFormat="1" ht="15">
      <c r="C41" s="63"/>
    </row>
    <row r="42" spans="2:10" s="56" customFormat="1" ht="15">
      <c r="B42" s="419" t="s">
        <v>576</v>
      </c>
      <c r="C42" s="63"/>
      <c r="D42" s="426" t="s">
        <v>573</v>
      </c>
      <c r="E42" s="478"/>
    </row>
    <row r="43" spans="2:10" s="56" customFormat="1" ht="15">
      <c r="B43" s="413" t="s">
        <v>574</v>
      </c>
      <c r="C43" s="420">
        <f>H13</f>
        <v>1.1015726745019121</v>
      </c>
      <c r="D43" s="423">
        <v>0.4</v>
      </c>
      <c r="E43" s="479"/>
    </row>
    <row r="44" spans="2:10" s="56" customFormat="1" ht="15">
      <c r="B44" s="415" t="s">
        <v>575</v>
      </c>
      <c r="C44" s="421">
        <f>1-C43</f>
        <v>-0.1015726745019121</v>
      </c>
      <c r="D44" s="424">
        <v>0.3</v>
      </c>
      <c r="E44" s="479"/>
    </row>
    <row r="45" spans="2:10" s="56" customFormat="1" ht="15">
      <c r="B45" s="415" t="s">
        <v>573</v>
      </c>
      <c r="C45" s="421">
        <v>0.5</v>
      </c>
      <c r="D45" s="424">
        <v>0.3</v>
      </c>
      <c r="E45" s="479"/>
    </row>
    <row r="46" spans="2:10" s="56" customFormat="1" ht="15">
      <c r="B46" s="417" t="s">
        <v>573</v>
      </c>
      <c r="C46" s="422">
        <v>0.5</v>
      </c>
      <c r="D46" s="425">
        <v>1</v>
      </c>
      <c r="E46" s="479"/>
    </row>
    <row r="47" spans="2:10" s="56" customFormat="1" ht="15">
      <c r="B47" s="412"/>
      <c r="C47" s="411"/>
      <c r="D47" s="411"/>
      <c r="E47" s="411"/>
    </row>
    <row r="48" spans="2:10" s="56" customFormat="1" ht="15">
      <c r="C48" s="63"/>
    </row>
    <row r="49" spans="2:6" s="56" customFormat="1" ht="15">
      <c r="B49" s="419" t="s">
        <v>577</v>
      </c>
      <c r="C49" s="63"/>
      <c r="D49" s="15" t="s">
        <v>449</v>
      </c>
      <c r="E49" s="15"/>
    </row>
    <row r="50" spans="2:6" s="56" customFormat="1" ht="15">
      <c r="B50" s="413" t="s">
        <v>574</v>
      </c>
      <c r="C50" s="414">
        <f>G19</f>
        <v>0.75560338925843251</v>
      </c>
      <c r="D50" s="399">
        <f>F13*C50</f>
        <v>237298</v>
      </c>
      <c r="E50" s="399"/>
    </row>
    <row r="51" spans="2:6" s="56" customFormat="1" ht="15">
      <c r="B51" s="415" t="s">
        <v>575</v>
      </c>
      <c r="C51" s="416">
        <f>1-C50</f>
        <v>0.24439661074156749</v>
      </c>
    </row>
    <row r="52" spans="2:6" s="56" customFormat="1" ht="15">
      <c r="B52" s="415" t="s">
        <v>573</v>
      </c>
      <c r="C52" s="416">
        <v>0.5</v>
      </c>
    </row>
    <row r="53" spans="2:6" s="56" customFormat="1" ht="15">
      <c r="B53" s="417" t="s">
        <v>573</v>
      </c>
      <c r="C53" s="418">
        <v>0.5</v>
      </c>
    </row>
    <row r="54" spans="2:6" s="56" customFormat="1" ht="15">
      <c r="C54" s="63"/>
    </row>
    <row r="55" spans="2:6" s="56" customFormat="1" ht="15">
      <c r="C55" s="63"/>
    </row>
    <row r="56" spans="2:6" s="56" customFormat="1" ht="15">
      <c r="B56" s="419" t="s">
        <v>578</v>
      </c>
      <c r="C56" s="63"/>
      <c r="D56" s="15" t="s">
        <v>449</v>
      </c>
      <c r="E56" s="15"/>
      <c r="F56" s="15"/>
    </row>
    <row r="57" spans="2:6" s="56" customFormat="1" ht="15">
      <c r="B57" s="413" t="s">
        <v>574</v>
      </c>
      <c r="C57" s="414">
        <f>G26</f>
        <v>0.80355163084487602</v>
      </c>
      <c r="D57" s="399">
        <f>C26*C57</f>
        <v>190619</v>
      </c>
      <c r="E57" s="399"/>
      <c r="F57" s="427"/>
    </row>
    <row r="58" spans="2:6" s="56" customFormat="1" ht="15">
      <c r="B58" s="415" t="s">
        <v>575</v>
      </c>
      <c r="C58" s="416">
        <f>1-C57</f>
        <v>0.19644836915512398</v>
      </c>
    </row>
    <row r="59" spans="2:6" s="56" customFormat="1" ht="15">
      <c r="B59" s="415" t="s">
        <v>573</v>
      </c>
      <c r="C59" s="416">
        <v>0.5</v>
      </c>
    </row>
    <row r="60" spans="2:6" s="56" customFormat="1" ht="15">
      <c r="B60" s="417" t="s">
        <v>573</v>
      </c>
      <c r="C60" s="418">
        <v>0.5</v>
      </c>
    </row>
    <row r="61" spans="2:6" s="56" customFormat="1" ht="15">
      <c r="C61" s="63"/>
    </row>
    <row r="62" spans="2:6" s="56" customFormat="1" ht="15">
      <c r="C62" s="63"/>
    </row>
    <row r="63" spans="2:6" s="56" customFormat="1" ht="15">
      <c r="B63" s="419" t="s">
        <v>580</v>
      </c>
      <c r="C63" s="63"/>
    </row>
    <row r="64" spans="2:6" s="56" customFormat="1" ht="15">
      <c r="B64" s="413" t="s">
        <v>574</v>
      </c>
      <c r="C64" s="414">
        <f>G33</f>
        <v>0.34532049701770168</v>
      </c>
      <c r="D64" s="399">
        <f>C64*C33</f>
        <v>107858.44</v>
      </c>
      <c r="E64" s="399"/>
    </row>
    <row r="65" spans="2:3" s="56" customFormat="1" ht="15">
      <c r="B65" s="415" t="s">
        <v>575</v>
      </c>
      <c r="C65" s="416">
        <f>1-C64</f>
        <v>0.65467950298229827</v>
      </c>
    </row>
    <row r="66" spans="2:3" s="56" customFormat="1" ht="15">
      <c r="B66" s="415" t="s">
        <v>573</v>
      </c>
      <c r="C66" s="416">
        <v>0.5</v>
      </c>
    </row>
    <row r="67" spans="2:3" s="56" customFormat="1" ht="15">
      <c r="B67" s="417" t="s">
        <v>573</v>
      </c>
      <c r="C67" s="418">
        <v>0.5</v>
      </c>
    </row>
  </sheetData>
  <mergeCells count="4">
    <mergeCell ref="E10:E11"/>
    <mergeCell ref="B14:D14"/>
    <mergeCell ref="D10:D11"/>
    <mergeCell ref="B2:H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417"/>
  <sheetViews>
    <sheetView zoomScaleNormal="100" zoomScaleSheetLayoutView="30" workbookViewId="0">
      <pane xSplit="6" ySplit="4" topLeftCell="G5" activePane="bottomRight" state="frozen"/>
      <selection pane="topRight" activeCell="G1" sqref="G1"/>
      <selection pane="bottomLeft" activeCell="A5" sqref="A5"/>
      <selection pane="bottomRight"/>
    </sheetView>
  </sheetViews>
  <sheetFormatPr defaultColWidth="9.140625" defaultRowHeight="18" customHeight="1"/>
  <cols>
    <col min="1" max="1" width="7.140625" style="322" customWidth="1"/>
    <col min="2" max="2" width="14.85546875" style="1" bestFit="1" customWidth="1"/>
    <col min="3" max="4" width="14.85546875" style="322" hidden="1" customWidth="1"/>
    <col min="5" max="5" width="24" style="1048" bestFit="1" customWidth="1"/>
    <col min="6" max="6" width="28.7109375" style="555" bestFit="1" customWidth="1"/>
    <col min="7" max="7" width="14.5703125" style="1050" customWidth="1"/>
    <col min="8" max="8" width="12.28515625" style="1050" customWidth="1"/>
    <col min="9" max="9" width="10.5703125" style="33" customWidth="1"/>
    <col min="10" max="10" width="13" style="33" customWidth="1"/>
    <col min="11" max="11" width="24" style="33" customWidth="1"/>
    <col min="12" max="12" width="14.7109375" style="1" customWidth="1"/>
    <col min="13" max="13" width="19.42578125" style="1" customWidth="1"/>
    <col min="14" max="14" width="20.28515625" style="1" bestFit="1" customWidth="1"/>
    <col min="15" max="15" width="16.85546875" style="322" bestFit="1" customWidth="1"/>
    <col min="16" max="16" width="13.28515625" style="1" customWidth="1"/>
    <col min="17" max="17" width="13.28515625" style="322" customWidth="1"/>
    <col min="18" max="18" width="15.5703125" style="1" customWidth="1"/>
    <col min="19" max="19" width="12.140625" style="2" customWidth="1"/>
    <col min="20" max="20" width="15.85546875" style="2" hidden="1" customWidth="1"/>
    <col min="21" max="22" width="12.140625" style="2" customWidth="1"/>
    <col min="23" max="23" width="12.140625" style="2" hidden="1" customWidth="1"/>
    <col min="24" max="28" width="16.7109375" style="2" customWidth="1"/>
    <col min="29" max="29" width="24.140625" style="2" customWidth="1"/>
    <col min="30" max="33" width="16.7109375" style="2" customWidth="1"/>
    <col min="34" max="34" width="18.28515625" style="2" bestFit="1" customWidth="1"/>
    <col min="35" max="35" width="13" style="2" hidden="1" customWidth="1"/>
    <col min="36" max="36" width="14.7109375" style="2" customWidth="1"/>
    <col min="37" max="37" width="14.28515625" style="2" hidden="1" customWidth="1"/>
    <col min="38" max="38" width="14.7109375" style="2" customWidth="1"/>
    <col min="39" max="39" width="12.28515625" style="2" hidden="1" customWidth="1"/>
    <col min="40" max="40" width="15.28515625" style="2" hidden="1" customWidth="1"/>
    <col min="41" max="41" width="14.7109375" style="2" customWidth="1"/>
    <col min="42" max="42" width="13.7109375" style="2" hidden="1" customWidth="1"/>
    <col min="43" max="43" width="13.7109375" style="2" customWidth="1"/>
    <col min="44" max="44" width="15.5703125" style="2" customWidth="1"/>
    <col min="45" max="45" width="19.28515625" style="2" hidden="1" customWidth="1"/>
    <col min="46" max="46" width="11.85546875" style="2" hidden="1" customWidth="1"/>
    <col min="47" max="47" width="14.7109375" style="2" customWidth="1"/>
    <col min="48" max="48" width="12.5703125" style="2" hidden="1" customWidth="1"/>
    <col min="49" max="49" width="39.7109375" style="2" customWidth="1"/>
    <col min="50" max="50" width="15.7109375" style="2" customWidth="1" collapsed="1"/>
    <col min="51" max="51" width="20" style="2" customWidth="1"/>
    <col min="52" max="52" width="15.7109375" style="2" customWidth="1"/>
    <col min="53" max="53" width="39.7109375" style="2" customWidth="1"/>
    <col min="54" max="54" width="16.42578125" style="2" customWidth="1"/>
    <col min="55" max="55" width="14.7109375" style="2" hidden="1" customWidth="1"/>
    <col min="56" max="56" width="14.28515625" style="2" customWidth="1"/>
    <col min="57" max="57" width="16.42578125" style="2" hidden="1" customWidth="1"/>
    <col min="58" max="58" width="15.140625" style="2" customWidth="1"/>
    <col min="59" max="59" width="16.140625" style="2" hidden="1" customWidth="1"/>
    <col min="60" max="61" width="15" style="2" customWidth="1"/>
    <col min="62" max="62" width="16.5703125" style="2" hidden="1" customWidth="1"/>
    <col min="63" max="64" width="15.7109375" style="2" customWidth="1"/>
    <col min="65" max="65" width="15.42578125" style="2" customWidth="1"/>
    <col min="66" max="66" width="15.85546875" style="2" hidden="1" customWidth="1"/>
    <col min="67" max="67" width="14.85546875" style="2" customWidth="1"/>
    <col min="68" max="68" width="17.7109375" style="2" customWidth="1"/>
    <col min="69" max="69" width="15.85546875" style="2" hidden="1" customWidth="1"/>
    <col min="70" max="71" width="15.7109375" style="2" customWidth="1"/>
    <col min="72" max="72" width="17" style="2" customWidth="1"/>
    <col min="73" max="73" width="15.7109375" style="2" customWidth="1"/>
    <col min="74" max="74" width="13.7109375" style="2" hidden="1" customWidth="1"/>
    <col min="75" max="75" width="54.140625" style="2" customWidth="1"/>
    <col min="76" max="76" width="20.140625" style="392" bestFit="1" customWidth="1"/>
    <col min="77" max="77" width="29" style="392" customWidth="1"/>
    <col min="78" max="78" width="16.7109375" style="392" customWidth="1"/>
    <col min="79" max="79" width="24.85546875" style="392" customWidth="1"/>
    <col min="80" max="82" width="15.7109375" style="2" customWidth="1"/>
    <col min="83" max="83" width="15.5703125" style="2" customWidth="1"/>
    <col min="84" max="84" width="15.5703125" style="2" hidden="1" customWidth="1"/>
    <col min="85" max="85" width="15.7109375" style="2" customWidth="1"/>
    <col min="86" max="86" width="41.28515625" style="2" customWidth="1"/>
    <col min="87" max="87" width="17.5703125" style="2" customWidth="1"/>
    <col min="88" max="88" width="17.28515625" style="368" hidden="1" customWidth="1"/>
    <col min="89" max="89" width="15.7109375" style="2" customWidth="1"/>
    <col min="90" max="91" width="24.7109375" style="2" customWidth="1"/>
    <col min="92" max="92" width="15.7109375" style="2" customWidth="1"/>
    <col min="93" max="93" width="24.7109375" style="2" customWidth="1"/>
    <col min="94" max="94" width="25.85546875" style="2" customWidth="1"/>
    <col min="95" max="95" width="35" style="2" customWidth="1"/>
    <col min="96" max="96" width="9.140625" style="1"/>
    <col min="97" max="98" width="11.7109375" style="1067" hidden="1" customWidth="1"/>
    <col min="99" max="100" width="11.7109375" style="1064" hidden="1" customWidth="1"/>
    <col min="101" max="102" width="13.5703125" style="1" hidden="1" customWidth="1"/>
    <col min="103" max="16384" width="9.140625" style="1"/>
  </cols>
  <sheetData>
    <row r="1" spans="1:102" ht="18" customHeight="1" thickBot="1">
      <c r="F1" s="553"/>
      <c r="G1" s="1049"/>
      <c r="AI1" s="40"/>
      <c r="CD1" s="40"/>
      <c r="CE1" s="40"/>
    </row>
    <row r="2" spans="1:102" s="5" customFormat="1" ht="24" customHeight="1" thickBot="1">
      <c r="B2" s="1247" t="s">
        <v>0</v>
      </c>
      <c r="C2" s="1248"/>
      <c r="D2" s="1248"/>
      <c r="E2" s="1250"/>
      <c r="F2" s="557">
        <v>42277</v>
      </c>
      <c r="G2" s="1253" t="s">
        <v>367</v>
      </c>
      <c r="H2" s="1254"/>
      <c r="I2" s="1255"/>
      <c r="J2" s="1255"/>
      <c r="K2" s="1255"/>
      <c r="L2" s="1255"/>
      <c r="M2" s="1255"/>
      <c r="N2" s="1256"/>
      <c r="O2" s="1127"/>
      <c r="P2" s="3"/>
      <c r="Q2" s="3"/>
      <c r="R2" s="4"/>
      <c r="S2" s="25"/>
      <c r="T2" s="25"/>
      <c r="U2" s="26"/>
      <c r="V2" s="26"/>
      <c r="W2" s="26"/>
      <c r="X2" s="1257" t="s">
        <v>1</v>
      </c>
      <c r="Y2" s="1258"/>
      <c r="Z2" s="1258"/>
      <c r="AA2" s="1258"/>
      <c r="AB2" s="1258"/>
      <c r="AC2" s="1258"/>
      <c r="AD2" s="1258"/>
      <c r="AE2" s="1259"/>
      <c r="AF2" s="1258"/>
      <c r="AG2" s="1258"/>
      <c r="AH2" s="1258"/>
      <c r="AI2" s="1258"/>
      <c r="AJ2" s="1258"/>
      <c r="AK2" s="1258"/>
      <c r="AL2" s="1258"/>
      <c r="AM2" s="1258"/>
      <c r="AN2" s="1258"/>
      <c r="AO2" s="1258"/>
      <c r="AP2" s="1258"/>
      <c r="AQ2" s="1259"/>
      <c r="AR2" s="1258"/>
      <c r="AS2" s="1258"/>
      <c r="AT2" s="1258"/>
      <c r="AU2" s="1258"/>
      <c r="AV2" s="1258"/>
      <c r="AW2" s="1260"/>
      <c r="AX2" s="1261" t="s">
        <v>192</v>
      </c>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3"/>
      <c r="BX2" s="1275" t="s">
        <v>2</v>
      </c>
      <c r="BY2" s="1276"/>
      <c r="BZ2" s="1276"/>
      <c r="CA2" s="1277"/>
      <c r="CB2" s="1277"/>
      <c r="CC2" s="1277"/>
      <c r="CD2" s="1277"/>
      <c r="CE2" s="1277"/>
      <c r="CF2" s="1277"/>
      <c r="CG2" s="1277"/>
      <c r="CH2" s="1277"/>
      <c r="CI2" s="1277"/>
      <c r="CJ2" s="1278"/>
      <c r="CK2" s="1277"/>
      <c r="CL2" s="1277"/>
      <c r="CM2" s="1277"/>
      <c r="CN2" s="1277"/>
      <c r="CO2" s="1277"/>
      <c r="CP2" s="1277"/>
      <c r="CQ2" s="1279"/>
      <c r="CS2" s="1067"/>
      <c r="CT2" s="1067"/>
      <c r="CU2" s="1064"/>
      <c r="CV2" s="1064"/>
    </row>
    <row r="3" spans="1:102" s="5" customFormat="1" ht="35.25" customHeight="1" thickBot="1">
      <c r="B3" s="1247" t="s">
        <v>3</v>
      </c>
      <c r="C3" s="1248"/>
      <c r="D3" s="1248"/>
      <c r="E3" s="1249"/>
      <c r="F3" s="554">
        <f>COUNTA(F5:F322)</f>
        <v>285</v>
      </c>
      <c r="G3" s="1264"/>
      <c r="H3" s="1265"/>
      <c r="I3" s="1266"/>
      <c r="J3" s="1267"/>
      <c r="K3" s="34"/>
      <c r="L3" s="28">
        <f>SUM(L5:L289)</f>
        <v>31483</v>
      </c>
      <c r="M3" s="28">
        <f>SUM(M5:M289)</f>
        <v>154752</v>
      </c>
      <c r="N3" s="29">
        <f>SUM(N5:N289)</f>
        <v>410443</v>
      </c>
      <c r="O3" s="6"/>
      <c r="P3" s="6"/>
      <c r="Q3" s="6"/>
      <c r="R3" s="7"/>
      <c r="S3" s="1268" t="s">
        <v>4</v>
      </c>
      <c r="T3" s="1269"/>
      <c r="U3" s="1269"/>
      <c r="V3" s="1269"/>
      <c r="W3" s="1270"/>
      <c r="X3" s="1271" t="s">
        <v>5</v>
      </c>
      <c r="Y3" s="1272"/>
      <c r="Z3" s="1273"/>
      <c r="AA3" s="1240" t="s">
        <v>1174</v>
      </c>
      <c r="AB3" s="1241"/>
      <c r="AC3" s="1241"/>
      <c r="AD3" s="1241"/>
      <c r="AE3" s="1242"/>
      <c r="AF3" s="1271" t="s">
        <v>159</v>
      </c>
      <c r="AG3" s="1273"/>
      <c r="AH3" s="1271" t="s">
        <v>6</v>
      </c>
      <c r="AI3" s="1272"/>
      <c r="AJ3" s="1272"/>
      <c r="AK3" s="1272"/>
      <c r="AL3" s="1272"/>
      <c r="AM3" s="1272"/>
      <c r="AN3" s="1272"/>
      <c r="AO3" s="1272"/>
      <c r="AP3" s="1272"/>
      <c r="AQ3" s="1274"/>
      <c r="AR3" s="1272"/>
      <c r="AS3" s="1272"/>
      <c r="AT3" s="1272"/>
      <c r="AU3" s="1272"/>
      <c r="AV3" s="64"/>
      <c r="AW3" s="47"/>
      <c r="AX3" s="1251" t="s">
        <v>156</v>
      </c>
      <c r="AY3" s="1252"/>
      <c r="AZ3" s="1252"/>
      <c r="BA3" s="1252"/>
      <c r="BB3" s="1252"/>
      <c r="BC3" s="1252"/>
      <c r="BD3" s="1252"/>
      <c r="BE3" s="1252"/>
      <c r="BF3" s="1252"/>
      <c r="BG3" s="1252"/>
      <c r="BH3" s="1252"/>
      <c r="BI3" s="1252"/>
      <c r="BJ3" s="1252"/>
      <c r="BK3" s="1252"/>
      <c r="BL3" s="1252"/>
      <c r="BM3" s="1252"/>
      <c r="BN3" s="1252"/>
      <c r="BO3" s="1252"/>
      <c r="BP3" s="1252"/>
      <c r="BQ3" s="1252"/>
      <c r="BR3" s="1252"/>
      <c r="BS3" s="1252"/>
      <c r="BT3" s="1252"/>
      <c r="BU3" s="1252"/>
      <c r="BV3" s="1125"/>
      <c r="BW3" s="50"/>
      <c r="BX3" s="1243" t="s">
        <v>654</v>
      </c>
      <c r="BY3" s="1245"/>
      <c r="BZ3" s="1245"/>
      <c r="CA3" s="1245"/>
      <c r="CB3" s="1245"/>
      <c r="CC3" s="1245"/>
      <c r="CD3" s="1245"/>
      <c r="CE3" s="1245"/>
      <c r="CF3" s="1245"/>
      <c r="CG3" s="1245"/>
      <c r="CH3" s="1246"/>
      <c r="CI3" s="1243" t="s">
        <v>7</v>
      </c>
      <c r="CJ3" s="1244"/>
      <c r="CK3" s="1280" t="s">
        <v>655</v>
      </c>
      <c r="CL3" s="1281"/>
      <c r="CM3" s="1281"/>
      <c r="CN3" s="1281"/>
      <c r="CO3" s="1281"/>
      <c r="CP3" s="1281"/>
      <c r="CQ3" s="1128"/>
      <c r="CS3" s="1067"/>
      <c r="CT3" s="1067"/>
      <c r="CU3" s="1064"/>
      <c r="CV3" s="1064"/>
    </row>
    <row r="4" spans="1:102" s="8" customFormat="1" ht="79.5" customHeight="1" thickBot="1">
      <c r="B4" s="30" t="s">
        <v>8</v>
      </c>
      <c r="C4" s="1061" t="s">
        <v>951</v>
      </c>
      <c r="D4" s="1061" t="s">
        <v>952</v>
      </c>
      <c r="E4" s="1047" t="s">
        <v>966</v>
      </c>
      <c r="F4" s="552" t="s">
        <v>9</v>
      </c>
      <c r="G4" s="552" t="s">
        <v>10</v>
      </c>
      <c r="H4" s="552" t="s">
        <v>11</v>
      </c>
      <c r="I4" s="37" t="s">
        <v>12</v>
      </c>
      <c r="J4" s="37" t="s">
        <v>13</v>
      </c>
      <c r="K4" s="37" t="s">
        <v>163</v>
      </c>
      <c r="L4" s="37" t="s">
        <v>459</v>
      </c>
      <c r="M4" s="37" t="s">
        <v>496</v>
      </c>
      <c r="N4" s="566" t="s">
        <v>950</v>
      </c>
      <c r="O4" s="1121" t="s">
        <v>986</v>
      </c>
      <c r="P4" s="1061" t="s">
        <v>157</v>
      </c>
      <c r="Q4" s="565" t="s">
        <v>257</v>
      </c>
      <c r="R4" s="566" t="s">
        <v>15</v>
      </c>
      <c r="S4" s="30" t="s">
        <v>173</v>
      </c>
      <c r="T4" s="564" t="s">
        <v>536</v>
      </c>
      <c r="U4" s="565" t="s">
        <v>176</v>
      </c>
      <c r="V4" s="566" t="s">
        <v>16</v>
      </c>
      <c r="W4" s="563" t="s">
        <v>155</v>
      </c>
      <c r="X4" s="35" t="s">
        <v>460</v>
      </c>
      <c r="Y4" s="36" t="s">
        <v>461</v>
      </c>
      <c r="Z4" s="39" t="s">
        <v>17</v>
      </c>
      <c r="AA4" s="35" t="s">
        <v>462</v>
      </c>
      <c r="AB4" s="36" t="s">
        <v>18</v>
      </c>
      <c r="AC4" s="36" t="s">
        <v>463</v>
      </c>
      <c r="AD4" s="1063" t="s">
        <v>158</v>
      </c>
      <c r="AE4" s="1062" t="s">
        <v>1156</v>
      </c>
      <c r="AF4" s="35" t="s">
        <v>464</v>
      </c>
      <c r="AG4" s="72" t="s">
        <v>19</v>
      </c>
      <c r="AH4" s="71" t="s">
        <v>465</v>
      </c>
      <c r="AI4" s="31" t="s">
        <v>186</v>
      </c>
      <c r="AJ4" s="38" t="s">
        <v>466</v>
      </c>
      <c r="AK4" s="31" t="s">
        <v>467</v>
      </c>
      <c r="AL4" s="36" t="s">
        <v>468</v>
      </c>
      <c r="AM4" s="49" t="s">
        <v>469</v>
      </c>
      <c r="AN4" s="31" t="s">
        <v>470</v>
      </c>
      <c r="AO4" s="38" t="s">
        <v>471</v>
      </c>
      <c r="AP4" s="31" t="s">
        <v>472</v>
      </c>
      <c r="AQ4" s="38" t="s">
        <v>949</v>
      </c>
      <c r="AR4" s="38" t="s">
        <v>473</v>
      </c>
      <c r="AS4" s="43" t="s">
        <v>489</v>
      </c>
      <c r="AT4" s="43" t="s">
        <v>474</v>
      </c>
      <c r="AU4" s="523" t="s">
        <v>746</v>
      </c>
      <c r="AV4" s="43" t="s">
        <v>193</v>
      </c>
      <c r="AW4" s="110" t="s">
        <v>20</v>
      </c>
      <c r="AX4" s="528" t="s">
        <v>649</v>
      </c>
      <c r="AY4" s="44" t="s">
        <v>650</v>
      </c>
      <c r="AZ4" s="1070" t="s">
        <v>957</v>
      </c>
      <c r="BA4" s="320" t="s">
        <v>651</v>
      </c>
      <c r="BB4" s="320" t="s">
        <v>21</v>
      </c>
      <c r="BC4" s="31" t="s">
        <v>187</v>
      </c>
      <c r="BD4" s="320" t="s">
        <v>476</v>
      </c>
      <c r="BE4" s="31" t="s">
        <v>477</v>
      </c>
      <c r="BF4" s="320" t="s">
        <v>478</v>
      </c>
      <c r="BG4" s="31" t="s">
        <v>479</v>
      </c>
      <c r="BH4" s="320" t="s">
        <v>490</v>
      </c>
      <c r="BI4" s="44" t="s">
        <v>480</v>
      </c>
      <c r="BJ4" s="31" t="s">
        <v>190</v>
      </c>
      <c r="BK4" s="320" t="s">
        <v>22</v>
      </c>
      <c r="BL4" s="320" t="s">
        <v>648</v>
      </c>
      <c r="BM4" s="320" t="s">
        <v>160</v>
      </c>
      <c r="BN4" s="31" t="s">
        <v>188</v>
      </c>
      <c r="BO4" s="320" t="s">
        <v>245</v>
      </c>
      <c r="BP4" s="320" t="s">
        <v>162</v>
      </c>
      <c r="BQ4" s="31" t="s">
        <v>194</v>
      </c>
      <c r="BR4" s="320" t="s">
        <v>23</v>
      </c>
      <c r="BS4" s="320" t="s">
        <v>24</v>
      </c>
      <c r="BT4" s="320" t="s">
        <v>246</v>
      </c>
      <c r="BU4" s="653" t="s">
        <v>161</v>
      </c>
      <c r="BV4" s="49" t="s">
        <v>189</v>
      </c>
      <c r="BW4" s="403" t="s">
        <v>20</v>
      </c>
      <c r="BX4" s="393" t="s">
        <v>175</v>
      </c>
      <c r="BY4" s="1194" t="s">
        <v>1175</v>
      </c>
      <c r="BZ4" s="1194" t="s">
        <v>1185</v>
      </c>
      <c r="CA4" s="394" t="s">
        <v>174</v>
      </c>
      <c r="CB4" s="493" t="s">
        <v>652</v>
      </c>
      <c r="CC4" s="493" t="s">
        <v>653</v>
      </c>
      <c r="CD4" s="319" t="s">
        <v>656</v>
      </c>
      <c r="CE4" s="319" t="s">
        <v>25</v>
      </c>
      <c r="CF4" s="551" t="s">
        <v>191</v>
      </c>
      <c r="CG4" s="41" t="s">
        <v>657</v>
      </c>
      <c r="CH4" s="45" t="s">
        <v>20</v>
      </c>
      <c r="CI4" s="41" t="s">
        <v>26</v>
      </c>
      <c r="CJ4" s="369" t="s">
        <v>534</v>
      </c>
      <c r="CK4" s="45" t="s">
        <v>27</v>
      </c>
      <c r="CL4" s="46" t="s">
        <v>145</v>
      </c>
      <c r="CM4" s="319" t="s">
        <v>28</v>
      </c>
      <c r="CN4" s="319" t="s">
        <v>481</v>
      </c>
      <c r="CO4" s="319" t="s">
        <v>29</v>
      </c>
      <c r="CP4" s="48" t="s">
        <v>30</v>
      </c>
      <c r="CQ4" s="111" t="s">
        <v>31</v>
      </c>
      <c r="CS4" s="1068" t="s">
        <v>953</v>
      </c>
      <c r="CT4" s="1068" t="s">
        <v>954</v>
      </c>
      <c r="CU4" s="1065" t="s">
        <v>955</v>
      </c>
      <c r="CV4" s="1065" t="s">
        <v>956</v>
      </c>
      <c r="CW4" s="1068" t="s">
        <v>967</v>
      </c>
      <c r="CX4" s="1068" t="s">
        <v>968</v>
      </c>
    </row>
    <row r="5" spans="1:102" s="322" customFormat="1" ht="21" customHeight="1">
      <c r="A5" s="358"/>
      <c r="B5" s="612" t="s">
        <v>817</v>
      </c>
      <c r="C5" s="1074" t="s">
        <v>993</v>
      </c>
      <c r="D5" s="1074" t="s">
        <v>994</v>
      </c>
      <c r="E5" s="1132" t="s">
        <v>1084</v>
      </c>
      <c r="F5" s="1175" t="s">
        <v>836</v>
      </c>
      <c r="G5" s="1133"/>
      <c r="H5" s="1133"/>
      <c r="I5" s="613" t="s">
        <v>33</v>
      </c>
      <c r="J5" s="613" t="s">
        <v>34</v>
      </c>
      <c r="K5" s="614" t="s">
        <v>607</v>
      </c>
      <c r="L5" s="585">
        <v>0</v>
      </c>
      <c r="M5" s="639">
        <v>0</v>
      </c>
      <c r="N5" s="1176">
        <v>422</v>
      </c>
      <c r="O5" s="567"/>
      <c r="P5" s="717" t="str">
        <f t="shared" ref="P5:P68" si="0">IF(I5="Village",IF(N5&gt;1000,"3. Large",IF(N5&gt;500,"2. Medium","1. Small")),IF(L5&gt;50,IF(L5&gt;250,IF(L5&gt;500,IF(L5&gt;1000,"5. Massive","4. Big"),"3. Large"),"2. Medium"),"1. Small"))</f>
        <v>1. Small</v>
      </c>
      <c r="Q5" s="966" t="s">
        <v>926</v>
      </c>
      <c r="R5" s="1136"/>
      <c r="S5" s="1139" t="s">
        <v>811</v>
      </c>
      <c r="T5" s="323" t="str">
        <f t="shared" ref="T5:T68" si="1">IF(S5="None","Not Covered","Covered")</f>
        <v>Covered</v>
      </c>
      <c r="U5" s="324">
        <v>42376</v>
      </c>
      <c r="V5" s="1141"/>
      <c r="W5" s="558" t="s">
        <v>152</v>
      </c>
      <c r="X5" s="1146">
        <v>0</v>
      </c>
      <c r="Y5" s="639">
        <v>0</v>
      </c>
      <c r="Z5" s="1149" t="s">
        <v>43</v>
      </c>
      <c r="AA5" s="1146">
        <v>0</v>
      </c>
      <c r="AB5" s="1178">
        <v>0</v>
      </c>
      <c r="AC5" s="639">
        <v>0</v>
      </c>
      <c r="AD5" s="639">
        <v>5</v>
      </c>
      <c r="AE5" s="1149"/>
      <c r="AF5" s="599">
        <v>0</v>
      </c>
      <c r="AG5" s="325">
        <v>0</v>
      </c>
      <c r="AH5" s="628">
        <f t="shared" ref="AH5:AH68" si="2">IF(I5="Camp",CS5,CT5)</f>
        <v>0</v>
      </c>
      <c r="AI5" s="572">
        <f t="shared" ref="AI5:AI68" si="3">AH5*N5</f>
        <v>0</v>
      </c>
      <c r="AJ5" s="629">
        <f t="shared" ref="AJ5:AJ68" si="4">IF(I5="Camp",CU5,CV5)</f>
        <v>0</v>
      </c>
      <c r="AK5" s="572">
        <f t="shared" ref="AK5:AK68" si="5">AJ5*N5</f>
        <v>0</v>
      </c>
      <c r="AL5" s="629">
        <f t="shared" ref="AL5:AL68" si="6">IF(AG5=0,AH5,IF(AG5&lt;AH5,AH5,AG5))</f>
        <v>0</v>
      </c>
      <c r="AM5" s="572">
        <f t="shared" ref="AM5:AM68" si="7">AL5*N5</f>
        <v>0</v>
      </c>
      <c r="AN5" s="629" t="str">
        <f t="shared" ref="AN5:AN68" si="8">IF(AH5&gt;0.15,IF(AH5&gt;0.3,IF(AH5&gt;0.45,IF(AH5&gt;0.6,IF(AH5&gt;0.8,"80-100%","60-80%"),"45-60%"),"30-45%"),"15-30%"),"0-10%")</f>
        <v>0-10%</v>
      </c>
      <c r="AO5" s="629">
        <f t="shared" ref="AO5:AO68" si="9">AH5-AJ5</f>
        <v>0</v>
      </c>
      <c r="AP5" s="572">
        <f t="shared" ref="AP5:AP68" si="10">AO5*N5</f>
        <v>0</v>
      </c>
      <c r="AQ5" s="572" t="str">
        <f t="shared" ref="AQ5:AQ68" si="11">IF(AD5=0,"no","yes")</f>
        <v>yes</v>
      </c>
      <c r="AR5" s="572">
        <f t="shared" ref="AR5:AR68" si="12">IF(I5="Camp",CW5,CX5)</f>
        <v>1.6879999999999999</v>
      </c>
      <c r="AS5" s="572">
        <f t="shared" ref="AS5:AS68" si="13">AG5*N5</f>
        <v>0</v>
      </c>
      <c r="AT5" s="572">
        <f t="shared" ref="AT5:AT68" si="14">AF5*N5</f>
        <v>0</v>
      </c>
      <c r="AU5" s="663">
        <v>0.9</v>
      </c>
      <c r="AV5" s="634">
        <f t="shared" ref="AV5:AV68" si="15">AU5*N5</f>
        <v>379.8</v>
      </c>
      <c r="AW5" s="1179" t="s">
        <v>884</v>
      </c>
      <c r="AX5" s="1078">
        <v>0</v>
      </c>
      <c r="AY5" s="568">
        <v>15</v>
      </c>
      <c r="AZ5" s="568">
        <v>42</v>
      </c>
      <c r="BA5" s="639" t="s">
        <v>963</v>
      </c>
      <c r="BB5" s="640">
        <f t="shared" ref="BB5:BB68" si="16">IF(I5="Village",IF((((AY5)*AZ5)/N5)&gt;1,1,(((AY5)*AZ5)/N5)),IF((((AX5+AY5)*20)/N5)&gt;1,1,(((AX5+AY5)*20)/N5)))</f>
        <v>1</v>
      </c>
      <c r="BC5" s="641">
        <f t="shared" ref="BC5:BC68" si="17">BB5*N5</f>
        <v>422</v>
      </c>
      <c r="BD5" s="640">
        <f t="shared" ref="BD5:BD68" si="18">IF(I5="Village",IF(((AY5*AZ5)/N5)&gt;1,1,((AY5*AZ5)/N5)),IF(((AY5*20)/N5)&gt;1,1,((AY5*20)/N5)))</f>
        <v>1</v>
      </c>
      <c r="BE5" s="641">
        <f t="shared" ref="BE5:BE68" si="19">IF(I5="Village",BD5*N5,BD5*N5)</f>
        <v>422</v>
      </c>
      <c r="BF5" s="642">
        <f t="shared" ref="BF5:BF68" si="20">IF(I5="Village",BB5-BD5,BB5-BD5)</f>
        <v>0</v>
      </c>
      <c r="BG5" s="641">
        <f t="shared" ref="BG5:BG68" si="21">IF(I5="Village",BF5*N5,BF5*N5)</f>
        <v>0</v>
      </c>
      <c r="BH5" s="1159" t="s">
        <v>475</v>
      </c>
      <c r="BI5" s="1159" t="s">
        <v>475</v>
      </c>
      <c r="BJ5" s="641">
        <f t="shared" ref="BJ5:BJ36" si="22">IFERROR(BI5*N5,0)</f>
        <v>0</v>
      </c>
      <c r="BK5" s="641" t="str">
        <f t="shared" ref="BK5:BK68" si="23">IF(I5="Village","n/a",IF((N5/20-AY5)&lt;0,0,(N5/20-AY5)))</f>
        <v>n/a</v>
      </c>
      <c r="BL5" s="568" t="s">
        <v>475</v>
      </c>
      <c r="BM5" s="640" t="str">
        <f t="shared" ref="BM5:BM68" si="24">IF(I5="Village","n/a",IF((BL5*5.6/N5)&gt;1,1,(BL5*5.6/N5)))</f>
        <v>n/a</v>
      </c>
      <c r="BN5" s="641" t="str">
        <f t="shared" ref="BN5:BN68" si="25">IF(I5="Village","n/a",BM5*N5)</f>
        <v>n/a</v>
      </c>
      <c r="BO5" s="641" t="str">
        <f t="shared" ref="BO5:BO68" si="26">IF(I5="Village","n/a",IF(N5/5.6-BL5&lt;0,0,N5/5.6-BL5))</f>
        <v>n/a</v>
      </c>
      <c r="BP5" s="568" t="s">
        <v>475</v>
      </c>
      <c r="BQ5" s="641" t="s">
        <v>475</v>
      </c>
      <c r="BR5" s="568" t="s">
        <v>475</v>
      </c>
      <c r="BS5" s="640" t="str">
        <f t="shared" ref="BS5:BS68" si="27">IF(I5="Village","n/a",IF((BR5*100/N5)&gt;1,1,(BR5*100/N5)))</f>
        <v>n/a</v>
      </c>
      <c r="BT5" s="643" t="str">
        <f t="shared" ref="BT5:BT68" si="28">IF(I5="Village","n/a",IF(N5/100-BR5&lt;0,0,N5/100-BR5))</f>
        <v>n/a</v>
      </c>
      <c r="BU5" s="644">
        <v>0.7</v>
      </c>
      <c r="BV5" s="649" t="str">
        <f t="shared" ref="BV5:BV68" si="29">IF(I5="Village","n/a",BU5*N5)</f>
        <v>n/a</v>
      </c>
      <c r="BW5" s="1180" t="s">
        <v>891</v>
      </c>
      <c r="BX5" s="1166" t="s">
        <v>475</v>
      </c>
      <c r="BY5" s="1188"/>
      <c r="BZ5" s="1188"/>
      <c r="CA5" s="654" t="str">
        <f t="shared" ref="CA5:CA68" si="30">IF(I5="Camp",IF(BX5="","To be done",IF(BX5+365&lt;$F$2,"To be done",BX5+365)),"n/a")</f>
        <v>n/a</v>
      </c>
      <c r="CB5" s="568">
        <v>0</v>
      </c>
      <c r="CC5" s="568">
        <v>0</v>
      </c>
      <c r="CD5" s="655" t="str">
        <f t="shared" ref="CD5:CD68" si="31">IF(CA5="n/a","n/a",IF(CA5="To be done",L5,IF((L5-CB5)&lt;0,0,(L5-CB5))))</f>
        <v>n/a</v>
      </c>
      <c r="CE5" s="656" t="str">
        <f t="shared" ref="CE5:CE68" si="32">IF(CA5="n/a","n/a",IF(CD5=0,1,(L5-CD5)/L5))</f>
        <v>n/a</v>
      </c>
      <c r="CF5" s="655" t="str">
        <f t="shared" ref="CF5:CF68" si="33">IF(CE5="n/a","n/a",CE5*N5)</f>
        <v>n/a</v>
      </c>
      <c r="CG5" s="657" t="str">
        <f t="shared" ref="CG5:CG68" si="34">IF(CE5="n/a","n/a",IF(BX5="",IF((CC5-1/1/2014)/30&lt;0,0,ROUND((CC5-(1/1/2014)/30),0)), IF(($F$2-BX5)/30-CC5&lt;0,0,ROUND((($F$2-BX5)/30-CC5),0))))</f>
        <v>n/a</v>
      </c>
      <c r="CH5" s="1181" t="s">
        <v>893</v>
      </c>
      <c r="CI5" s="663">
        <v>0</v>
      </c>
      <c r="CJ5" s="664">
        <f t="shared" ref="CJ5:CJ68" si="35">CI5*N5</f>
        <v>0</v>
      </c>
      <c r="CK5" s="567">
        <v>0</v>
      </c>
      <c r="CL5" s="673" t="s">
        <v>671</v>
      </c>
      <c r="CM5" s="568" t="s">
        <v>475</v>
      </c>
      <c r="CN5" s="568" t="s">
        <v>475</v>
      </c>
      <c r="CO5" s="568" t="s">
        <v>38</v>
      </c>
      <c r="CP5" s="569" t="s">
        <v>170</v>
      </c>
      <c r="CQ5" s="1167" t="s">
        <v>894</v>
      </c>
      <c r="CS5" s="1069">
        <f t="shared" ref="CS5:CS68" si="36">IF((((1000*X5/15)+(1000*(Y5/30)/15)+AA5*400+AB5*500+(1000*AC5/15))/N5)&gt;1,1,(((1000*X5/15)+(1000*(Y5/30)/15)+AA5*400+AB5*500+(1000*AC5/15))/N5))</f>
        <v>0</v>
      </c>
      <c r="CT5" s="1069">
        <f t="shared" ref="CT5:CT68" si="37">IF((((1000*X5/15)+(1000*(Y5/30)/15)+AA5*250+AB5*250+(1000*AC5/15))/N5)&gt;1,1,(((1000*X5/15)+(1000*(Y5/30)/15)+AA5*250+AB5*250+(1000*AC5/15))/N5))</f>
        <v>0</v>
      </c>
      <c r="CU5" s="1066">
        <f t="shared" ref="CU5:CU68" si="38">IF(((AA5*400+AB5*500+(1000*AC5/15))/N5)&gt;1,1,(AA5*400+AB5*500+(1000*AC5/15))/N5)</f>
        <v>0</v>
      </c>
      <c r="CV5" s="1066">
        <f t="shared" ref="CV5:CV68" si="39">IF(((AA5*250+AB5*250+(1000*AC5/15))/N5)&gt;1,1,(AA5*250+AB5*250+(1000*AC5/15))/N5)</f>
        <v>0</v>
      </c>
      <c r="CW5" s="1082">
        <f t="shared" ref="CW5:CW68" si="40">IF(N5/400-(AA5+AB5)&lt;0,0,N5/400-(AA5+AB5))</f>
        <v>1.0549999999999999</v>
      </c>
      <c r="CX5" s="1082">
        <f t="shared" ref="CX5:CX68" si="41">IF(N5/250-(AA5+AB5)&lt;0,0,N5/250-(AA5+AB5))</f>
        <v>1.6879999999999999</v>
      </c>
    </row>
    <row r="6" spans="1:102" s="322" customFormat="1" ht="21" customHeight="1">
      <c r="A6" s="358"/>
      <c r="B6" s="402" t="s">
        <v>817</v>
      </c>
      <c r="C6" s="603" t="s">
        <v>1023</v>
      </c>
      <c r="D6" s="603" t="s">
        <v>1024</v>
      </c>
      <c r="E6" s="1058" t="s">
        <v>1025</v>
      </c>
      <c r="F6" s="730" t="s">
        <v>774</v>
      </c>
      <c r="G6" s="1051"/>
      <c r="H6" s="1051"/>
      <c r="I6" s="1120" t="s">
        <v>33</v>
      </c>
      <c r="J6" s="560" t="s">
        <v>34</v>
      </c>
      <c r="K6" s="604" t="s">
        <v>607</v>
      </c>
      <c r="L6" s="585">
        <v>0</v>
      </c>
      <c r="M6" s="473">
        <v>0</v>
      </c>
      <c r="N6" s="616">
        <v>2430</v>
      </c>
      <c r="O6" s="328"/>
      <c r="P6" s="718" t="str">
        <f t="shared" si="0"/>
        <v>3. Large</v>
      </c>
      <c r="Q6" s="965" t="s">
        <v>926</v>
      </c>
      <c r="R6" s="1138"/>
      <c r="S6" s="622" t="s">
        <v>143</v>
      </c>
      <c r="T6" s="323" t="str">
        <f t="shared" si="1"/>
        <v>Covered</v>
      </c>
      <c r="U6" s="561">
        <v>42376</v>
      </c>
      <c r="V6" s="1143"/>
      <c r="W6" s="558" t="s">
        <v>152</v>
      </c>
      <c r="X6" s="627">
        <v>0</v>
      </c>
      <c r="Y6" s="473">
        <v>0</v>
      </c>
      <c r="Z6" s="617" t="s">
        <v>43</v>
      </c>
      <c r="AA6" s="627">
        <v>0</v>
      </c>
      <c r="AB6" s="473">
        <v>3</v>
      </c>
      <c r="AC6" s="473">
        <v>0</v>
      </c>
      <c r="AD6" s="473">
        <v>3</v>
      </c>
      <c r="AE6" s="617"/>
      <c r="AF6" s="599">
        <v>0</v>
      </c>
      <c r="AG6" s="330">
        <v>0</v>
      </c>
      <c r="AH6" s="630">
        <f t="shared" si="2"/>
        <v>0.30864197530864196</v>
      </c>
      <c r="AI6" s="574">
        <f t="shared" si="3"/>
        <v>750</v>
      </c>
      <c r="AJ6" s="605">
        <f t="shared" si="4"/>
        <v>0.30864197530864196</v>
      </c>
      <c r="AK6" s="574">
        <f t="shared" si="5"/>
        <v>750</v>
      </c>
      <c r="AL6" s="605">
        <f t="shared" si="6"/>
        <v>0.30864197530864196</v>
      </c>
      <c r="AM6" s="574">
        <f t="shared" si="7"/>
        <v>750</v>
      </c>
      <c r="AN6" s="605" t="str">
        <f t="shared" si="8"/>
        <v>30-45%</v>
      </c>
      <c r="AO6" s="605">
        <f t="shared" si="9"/>
        <v>0</v>
      </c>
      <c r="AP6" s="574">
        <f t="shared" si="10"/>
        <v>0</v>
      </c>
      <c r="AQ6" s="574" t="str">
        <f t="shared" si="11"/>
        <v>yes</v>
      </c>
      <c r="AR6" s="574">
        <f t="shared" si="12"/>
        <v>6.7200000000000006</v>
      </c>
      <c r="AS6" s="574">
        <f t="shared" si="13"/>
        <v>0</v>
      </c>
      <c r="AT6" s="574">
        <f t="shared" si="14"/>
        <v>0</v>
      </c>
      <c r="AU6" s="1123">
        <v>0.31</v>
      </c>
      <c r="AV6" s="635">
        <f t="shared" si="15"/>
        <v>753.3</v>
      </c>
      <c r="AW6" s="638"/>
      <c r="AX6" s="740">
        <v>0</v>
      </c>
      <c r="AY6" s="428">
        <v>155</v>
      </c>
      <c r="AZ6" s="428">
        <v>42</v>
      </c>
      <c r="BA6" s="473" t="s">
        <v>526</v>
      </c>
      <c r="BB6" s="548">
        <f t="shared" si="16"/>
        <v>1</v>
      </c>
      <c r="BC6" s="606">
        <f t="shared" si="17"/>
        <v>2430</v>
      </c>
      <c r="BD6" s="548">
        <f t="shared" si="18"/>
        <v>1</v>
      </c>
      <c r="BE6" s="606">
        <f t="shared" si="19"/>
        <v>2430</v>
      </c>
      <c r="BF6" s="549">
        <f t="shared" si="20"/>
        <v>0</v>
      </c>
      <c r="BG6" s="606">
        <f t="shared" si="21"/>
        <v>0</v>
      </c>
      <c r="BH6" s="600" t="s">
        <v>475</v>
      </c>
      <c r="BI6" s="600" t="s">
        <v>475</v>
      </c>
      <c r="BJ6" s="606">
        <f t="shared" si="22"/>
        <v>0</v>
      </c>
      <c r="BK6" s="606" t="str">
        <f t="shared" si="23"/>
        <v>n/a</v>
      </c>
      <c r="BL6" s="428" t="s">
        <v>475</v>
      </c>
      <c r="BM6" s="548" t="str">
        <f t="shared" si="24"/>
        <v>n/a</v>
      </c>
      <c r="BN6" s="606" t="str">
        <f t="shared" si="25"/>
        <v>n/a</v>
      </c>
      <c r="BO6" s="606" t="str">
        <f t="shared" si="26"/>
        <v>n/a</v>
      </c>
      <c r="BP6" s="578" t="s">
        <v>475</v>
      </c>
      <c r="BQ6" s="606" t="s">
        <v>475</v>
      </c>
      <c r="BR6" s="519" t="s">
        <v>475</v>
      </c>
      <c r="BS6" s="548" t="str">
        <f t="shared" si="27"/>
        <v>n/a</v>
      </c>
      <c r="BT6" s="607" t="str">
        <f t="shared" si="28"/>
        <v>n/a</v>
      </c>
      <c r="BU6" s="325">
        <v>1</v>
      </c>
      <c r="BV6" s="650" t="str">
        <f t="shared" si="29"/>
        <v>n/a</v>
      </c>
      <c r="BW6" s="325" t="s">
        <v>567</v>
      </c>
      <c r="BX6" s="602" t="s">
        <v>475</v>
      </c>
      <c r="BY6" s="1189"/>
      <c r="BZ6" s="1189"/>
      <c r="CA6" s="608" t="str">
        <f t="shared" si="30"/>
        <v>n/a</v>
      </c>
      <c r="CB6" s="428">
        <v>0</v>
      </c>
      <c r="CC6" s="428">
        <v>0</v>
      </c>
      <c r="CD6" s="609" t="str">
        <f t="shared" si="31"/>
        <v>n/a</v>
      </c>
      <c r="CE6" s="610" t="str">
        <f t="shared" si="32"/>
        <v>n/a</v>
      </c>
      <c r="CF6" s="609" t="str">
        <f t="shared" si="33"/>
        <v>n/a</v>
      </c>
      <c r="CG6" s="658" t="str">
        <f t="shared" si="34"/>
        <v>n/a</v>
      </c>
      <c r="CH6" s="328" t="s">
        <v>809</v>
      </c>
      <c r="CI6" s="330">
        <v>0.5</v>
      </c>
      <c r="CJ6" s="664">
        <f t="shared" si="35"/>
        <v>1215</v>
      </c>
      <c r="CK6" s="328">
        <v>0</v>
      </c>
      <c r="CL6" s="611" t="s">
        <v>671</v>
      </c>
      <c r="CM6" s="428" t="s">
        <v>475</v>
      </c>
      <c r="CN6" s="428" t="s">
        <v>475</v>
      </c>
      <c r="CO6" s="428" t="s">
        <v>38</v>
      </c>
      <c r="CP6" s="570" t="s">
        <v>170</v>
      </c>
      <c r="CQ6" s="672"/>
      <c r="CS6" s="1069">
        <f t="shared" si="36"/>
        <v>0.61728395061728392</v>
      </c>
      <c r="CT6" s="1069">
        <f t="shared" si="37"/>
        <v>0.30864197530864196</v>
      </c>
      <c r="CU6" s="1066">
        <f t="shared" si="38"/>
        <v>0.61728395061728392</v>
      </c>
      <c r="CV6" s="1066">
        <f t="shared" si="39"/>
        <v>0.30864197530864196</v>
      </c>
      <c r="CW6" s="1082">
        <f t="shared" si="40"/>
        <v>3.0750000000000002</v>
      </c>
      <c r="CX6" s="1082">
        <f t="shared" si="41"/>
        <v>6.7200000000000006</v>
      </c>
    </row>
    <row r="7" spans="1:102" s="322" customFormat="1" ht="21" customHeight="1">
      <c r="A7" s="358"/>
      <c r="B7" s="402" t="s">
        <v>817</v>
      </c>
      <c r="C7" s="603" t="s">
        <v>1055</v>
      </c>
      <c r="D7" s="603" t="s">
        <v>1056</v>
      </c>
      <c r="E7" s="1058" t="s">
        <v>1059</v>
      </c>
      <c r="F7" s="1083" t="s">
        <v>821</v>
      </c>
      <c r="G7" s="1051"/>
      <c r="H7" s="1051"/>
      <c r="I7" s="560" t="s">
        <v>33</v>
      </c>
      <c r="J7" s="560" t="s">
        <v>34</v>
      </c>
      <c r="K7" s="604" t="s">
        <v>607</v>
      </c>
      <c r="L7" s="585">
        <v>0</v>
      </c>
      <c r="M7" s="473">
        <v>0</v>
      </c>
      <c r="N7" s="714">
        <v>2526</v>
      </c>
      <c r="O7" s="328"/>
      <c r="P7" s="718" t="str">
        <f t="shared" si="0"/>
        <v>3. Large</v>
      </c>
      <c r="Q7" s="965" t="s">
        <v>926</v>
      </c>
      <c r="R7" s="1138"/>
      <c r="S7" s="622" t="s">
        <v>811</v>
      </c>
      <c r="T7" s="323" t="str">
        <f t="shared" si="1"/>
        <v>Covered</v>
      </c>
      <c r="U7" s="561">
        <v>42376</v>
      </c>
      <c r="V7" s="1143"/>
      <c r="W7" s="558" t="s">
        <v>152</v>
      </c>
      <c r="X7" s="627">
        <v>0</v>
      </c>
      <c r="Y7" s="473">
        <v>0</v>
      </c>
      <c r="Z7" s="617" t="s">
        <v>43</v>
      </c>
      <c r="AA7" s="627">
        <v>0</v>
      </c>
      <c r="AB7" s="736">
        <v>10</v>
      </c>
      <c r="AC7" s="473">
        <v>0</v>
      </c>
      <c r="AD7" s="473">
        <v>8</v>
      </c>
      <c r="AE7" s="617"/>
      <c r="AF7" s="599">
        <v>0</v>
      </c>
      <c r="AG7" s="325">
        <v>0</v>
      </c>
      <c r="AH7" s="630">
        <f t="shared" si="2"/>
        <v>0.98970704671417264</v>
      </c>
      <c r="AI7" s="574">
        <f t="shared" si="3"/>
        <v>2500</v>
      </c>
      <c r="AJ7" s="605">
        <f t="shared" si="4"/>
        <v>0.98970704671417264</v>
      </c>
      <c r="AK7" s="574">
        <f t="shared" si="5"/>
        <v>2500</v>
      </c>
      <c r="AL7" s="605">
        <f t="shared" si="6"/>
        <v>0.98970704671417264</v>
      </c>
      <c r="AM7" s="574">
        <f t="shared" si="7"/>
        <v>2500</v>
      </c>
      <c r="AN7" s="605" t="str">
        <f t="shared" si="8"/>
        <v>80-100%</v>
      </c>
      <c r="AO7" s="605">
        <f t="shared" si="9"/>
        <v>0</v>
      </c>
      <c r="AP7" s="574">
        <f t="shared" si="10"/>
        <v>0</v>
      </c>
      <c r="AQ7" s="574" t="str">
        <f t="shared" si="11"/>
        <v>yes</v>
      </c>
      <c r="AR7" s="574">
        <f t="shared" si="12"/>
        <v>0.1039999999999992</v>
      </c>
      <c r="AS7" s="574">
        <f t="shared" si="13"/>
        <v>0</v>
      </c>
      <c r="AT7" s="574">
        <f t="shared" si="14"/>
        <v>0</v>
      </c>
      <c r="AU7" s="330">
        <v>0.99</v>
      </c>
      <c r="AV7" s="635">
        <f t="shared" si="15"/>
        <v>2500.7399999999998</v>
      </c>
      <c r="AW7" s="1155" t="s">
        <v>884</v>
      </c>
      <c r="AX7" s="740">
        <v>0</v>
      </c>
      <c r="AY7" s="428">
        <v>60</v>
      </c>
      <c r="AZ7" s="428">
        <v>42</v>
      </c>
      <c r="BA7" s="473" t="s">
        <v>963</v>
      </c>
      <c r="BB7" s="548">
        <f t="shared" si="16"/>
        <v>0.99762470308788598</v>
      </c>
      <c r="BC7" s="606">
        <f t="shared" si="17"/>
        <v>2520</v>
      </c>
      <c r="BD7" s="548">
        <f t="shared" si="18"/>
        <v>0.99762470308788598</v>
      </c>
      <c r="BE7" s="606">
        <f t="shared" si="19"/>
        <v>2520</v>
      </c>
      <c r="BF7" s="549">
        <f t="shared" si="20"/>
        <v>0</v>
      </c>
      <c r="BG7" s="606">
        <f t="shared" si="21"/>
        <v>0</v>
      </c>
      <c r="BH7" s="600" t="s">
        <v>475</v>
      </c>
      <c r="BI7" s="600" t="s">
        <v>475</v>
      </c>
      <c r="BJ7" s="606">
        <f t="shared" si="22"/>
        <v>0</v>
      </c>
      <c r="BK7" s="606" t="str">
        <f t="shared" si="23"/>
        <v>n/a</v>
      </c>
      <c r="BL7" s="428" t="s">
        <v>475</v>
      </c>
      <c r="BM7" s="548" t="str">
        <f t="shared" si="24"/>
        <v>n/a</v>
      </c>
      <c r="BN7" s="606" t="str">
        <f t="shared" si="25"/>
        <v>n/a</v>
      </c>
      <c r="BO7" s="606" t="str">
        <f t="shared" si="26"/>
        <v>n/a</v>
      </c>
      <c r="BP7" s="428" t="s">
        <v>475</v>
      </c>
      <c r="BQ7" s="606" t="s">
        <v>475</v>
      </c>
      <c r="BR7" s="428" t="s">
        <v>475</v>
      </c>
      <c r="BS7" s="548" t="str">
        <f t="shared" si="27"/>
        <v>n/a</v>
      </c>
      <c r="BT7" s="607" t="str">
        <f t="shared" si="28"/>
        <v>n/a</v>
      </c>
      <c r="BU7" s="325">
        <v>0.7</v>
      </c>
      <c r="BV7" s="650" t="str">
        <f t="shared" si="29"/>
        <v>n/a</v>
      </c>
      <c r="BW7" s="1165" t="s">
        <v>891</v>
      </c>
      <c r="BX7" s="602" t="s">
        <v>475</v>
      </c>
      <c r="BY7" s="1189"/>
      <c r="BZ7" s="1189"/>
      <c r="CA7" s="608" t="str">
        <f t="shared" si="30"/>
        <v>n/a</v>
      </c>
      <c r="CB7" s="428">
        <v>0</v>
      </c>
      <c r="CC7" s="428">
        <v>0</v>
      </c>
      <c r="CD7" s="609" t="str">
        <f t="shared" si="31"/>
        <v>n/a</v>
      </c>
      <c r="CE7" s="610" t="str">
        <f t="shared" si="32"/>
        <v>n/a</v>
      </c>
      <c r="CF7" s="609" t="str">
        <f t="shared" si="33"/>
        <v>n/a</v>
      </c>
      <c r="CG7" s="658" t="str">
        <f t="shared" si="34"/>
        <v>n/a</v>
      </c>
      <c r="CH7" s="743" t="s">
        <v>893</v>
      </c>
      <c r="CI7" s="330">
        <v>0</v>
      </c>
      <c r="CJ7" s="664">
        <f t="shared" si="35"/>
        <v>0</v>
      </c>
      <c r="CK7" s="328">
        <v>0</v>
      </c>
      <c r="CL7" s="611" t="s">
        <v>671</v>
      </c>
      <c r="CM7" s="428" t="s">
        <v>475</v>
      </c>
      <c r="CN7" s="428" t="s">
        <v>475</v>
      </c>
      <c r="CO7" s="428" t="s">
        <v>38</v>
      </c>
      <c r="CP7" s="570" t="s">
        <v>170</v>
      </c>
      <c r="CQ7" s="1167" t="s">
        <v>894</v>
      </c>
      <c r="CS7" s="1069">
        <f t="shared" si="36"/>
        <v>1</v>
      </c>
      <c r="CT7" s="1069">
        <f t="shared" si="37"/>
        <v>0.98970704671417264</v>
      </c>
      <c r="CU7" s="1066">
        <f t="shared" si="38"/>
        <v>1</v>
      </c>
      <c r="CV7" s="1066">
        <f t="shared" si="39"/>
        <v>0.98970704671417264</v>
      </c>
      <c r="CW7" s="1082">
        <f t="shared" si="40"/>
        <v>0</v>
      </c>
      <c r="CX7" s="1082">
        <f t="shared" si="41"/>
        <v>0.1039999999999992</v>
      </c>
    </row>
    <row r="8" spans="1:102" s="322" customFormat="1" ht="21" customHeight="1">
      <c r="A8" s="358"/>
      <c r="B8" s="402" t="s">
        <v>817</v>
      </c>
      <c r="C8" s="603" t="s">
        <v>1101</v>
      </c>
      <c r="D8" s="603" t="s">
        <v>1102</v>
      </c>
      <c r="E8" s="1058" t="s">
        <v>1104</v>
      </c>
      <c r="F8" s="1083" t="s">
        <v>848</v>
      </c>
      <c r="G8" s="1051"/>
      <c r="H8" s="1051"/>
      <c r="I8" s="560" t="s">
        <v>33</v>
      </c>
      <c r="J8" s="560" t="s">
        <v>965</v>
      </c>
      <c r="K8" s="604" t="s">
        <v>607</v>
      </c>
      <c r="L8" s="585">
        <v>0</v>
      </c>
      <c r="M8" s="473">
        <v>0</v>
      </c>
      <c r="N8" s="714">
        <v>547</v>
      </c>
      <c r="O8" s="328"/>
      <c r="P8" s="718" t="str">
        <f t="shared" si="0"/>
        <v>2. Medium</v>
      </c>
      <c r="Q8" s="965" t="s">
        <v>926</v>
      </c>
      <c r="R8" s="1138"/>
      <c r="S8" s="622" t="s">
        <v>811</v>
      </c>
      <c r="T8" s="323" t="str">
        <f t="shared" si="1"/>
        <v>Covered</v>
      </c>
      <c r="U8" s="561">
        <v>42376</v>
      </c>
      <c r="V8" s="1143"/>
      <c r="W8" s="558" t="s">
        <v>152</v>
      </c>
      <c r="X8" s="627">
        <v>0</v>
      </c>
      <c r="Y8" s="473">
        <v>0</v>
      </c>
      <c r="Z8" s="617" t="s">
        <v>43</v>
      </c>
      <c r="AA8" s="627">
        <v>0</v>
      </c>
      <c r="AB8" s="736">
        <v>0</v>
      </c>
      <c r="AC8" s="473">
        <v>0</v>
      </c>
      <c r="AD8" s="473">
        <v>2</v>
      </c>
      <c r="AE8" s="617"/>
      <c r="AF8" s="599">
        <v>0</v>
      </c>
      <c r="AG8" s="325">
        <v>0</v>
      </c>
      <c r="AH8" s="630">
        <f t="shared" si="2"/>
        <v>0</v>
      </c>
      <c r="AI8" s="574">
        <f t="shared" si="3"/>
        <v>0</v>
      </c>
      <c r="AJ8" s="605">
        <f t="shared" si="4"/>
        <v>0</v>
      </c>
      <c r="AK8" s="574">
        <f t="shared" si="5"/>
        <v>0</v>
      </c>
      <c r="AL8" s="605">
        <f t="shared" si="6"/>
        <v>0</v>
      </c>
      <c r="AM8" s="574">
        <f t="shared" si="7"/>
        <v>0</v>
      </c>
      <c r="AN8" s="605" t="str">
        <f t="shared" si="8"/>
        <v>0-10%</v>
      </c>
      <c r="AO8" s="605">
        <f t="shared" si="9"/>
        <v>0</v>
      </c>
      <c r="AP8" s="574">
        <f t="shared" si="10"/>
        <v>0</v>
      </c>
      <c r="AQ8" s="574" t="str">
        <f t="shared" si="11"/>
        <v>yes</v>
      </c>
      <c r="AR8" s="574">
        <f t="shared" si="12"/>
        <v>2.1880000000000002</v>
      </c>
      <c r="AS8" s="574">
        <f t="shared" si="13"/>
        <v>0</v>
      </c>
      <c r="AT8" s="574">
        <f t="shared" si="14"/>
        <v>0</v>
      </c>
      <c r="AU8" s="330">
        <v>0.9</v>
      </c>
      <c r="AV8" s="635">
        <f t="shared" si="15"/>
        <v>492.3</v>
      </c>
      <c r="AW8" s="1155" t="s">
        <v>884</v>
      </c>
      <c r="AX8" s="740">
        <v>0</v>
      </c>
      <c r="AY8" s="428">
        <v>15</v>
      </c>
      <c r="AZ8" s="428">
        <v>42</v>
      </c>
      <c r="BA8" s="473" t="s">
        <v>963</v>
      </c>
      <c r="BB8" s="548">
        <f t="shared" si="16"/>
        <v>1</v>
      </c>
      <c r="BC8" s="606">
        <f t="shared" si="17"/>
        <v>547</v>
      </c>
      <c r="BD8" s="548">
        <f t="shared" si="18"/>
        <v>1</v>
      </c>
      <c r="BE8" s="606">
        <f t="shared" si="19"/>
        <v>547</v>
      </c>
      <c r="BF8" s="549">
        <f t="shared" si="20"/>
        <v>0</v>
      </c>
      <c r="BG8" s="606">
        <f t="shared" si="21"/>
        <v>0</v>
      </c>
      <c r="BH8" s="600" t="s">
        <v>475</v>
      </c>
      <c r="BI8" s="600" t="s">
        <v>475</v>
      </c>
      <c r="BJ8" s="606">
        <f t="shared" si="22"/>
        <v>0</v>
      </c>
      <c r="BK8" s="606" t="str">
        <f t="shared" si="23"/>
        <v>n/a</v>
      </c>
      <c r="BL8" s="428" t="s">
        <v>475</v>
      </c>
      <c r="BM8" s="548" t="str">
        <f t="shared" si="24"/>
        <v>n/a</v>
      </c>
      <c r="BN8" s="606" t="str">
        <f t="shared" si="25"/>
        <v>n/a</v>
      </c>
      <c r="BO8" s="606" t="str">
        <f t="shared" si="26"/>
        <v>n/a</v>
      </c>
      <c r="BP8" s="428" t="s">
        <v>475</v>
      </c>
      <c r="BQ8" s="606" t="s">
        <v>475</v>
      </c>
      <c r="BR8" s="428" t="s">
        <v>475</v>
      </c>
      <c r="BS8" s="548" t="str">
        <f t="shared" si="27"/>
        <v>n/a</v>
      </c>
      <c r="BT8" s="607" t="str">
        <f t="shared" si="28"/>
        <v>n/a</v>
      </c>
      <c r="BU8" s="325">
        <v>0.7</v>
      </c>
      <c r="BV8" s="650" t="str">
        <f t="shared" si="29"/>
        <v>n/a</v>
      </c>
      <c r="BW8" s="1165" t="s">
        <v>891</v>
      </c>
      <c r="BX8" s="602" t="s">
        <v>475</v>
      </c>
      <c r="BY8" s="1189"/>
      <c r="BZ8" s="1189"/>
      <c r="CA8" s="608" t="str">
        <f t="shared" si="30"/>
        <v>n/a</v>
      </c>
      <c r="CB8" s="428">
        <v>0</v>
      </c>
      <c r="CC8" s="428">
        <v>0</v>
      </c>
      <c r="CD8" s="609" t="str">
        <f t="shared" si="31"/>
        <v>n/a</v>
      </c>
      <c r="CE8" s="610" t="str">
        <f t="shared" si="32"/>
        <v>n/a</v>
      </c>
      <c r="CF8" s="609" t="str">
        <f t="shared" si="33"/>
        <v>n/a</v>
      </c>
      <c r="CG8" s="658" t="str">
        <f t="shared" si="34"/>
        <v>n/a</v>
      </c>
      <c r="CH8" s="743" t="s">
        <v>893</v>
      </c>
      <c r="CI8" s="330">
        <v>0</v>
      </c>
      <c r="CJ8" s="664">
        <f t="shared" si="35"/>
        <v>0</v>
      </c>
      <c r="CK8" s="328">
        <v>0</v>
      </c>
      <c r="CL8" s="611" t="s">
        <v>671</v>
      </c>
      <c r="CM8" s="428" t="s">
        <v>475</v>
      </c>
      <c r="CN8" s="428" t="s">
        <v>475</v>
      </c>
      <c r="CO8" s="428" t="s">
        <v>38</v>
      </c>
      <c r="CP8" s="570" t="s">
        <v>170</v>
      </c>
      <c r="CQ8" s="1167" t="s">
        <v>894</v>
      </c>
      <c r="CS8" s="1069">
        <f t="shared" si="36"/>
        <v>0</v>
      </c>
      <c r="CT8" s="1069">
        <f t="shared" si="37"/>
        <v>0</v>
      </c>
      <c r="CU8" s="1066">
        <f t="shared" si="38"/>
        <v>0</v>
      </c>
      <c r="CV8" s="1066">
        <f t="shared" si="39"/>
        <v>0</v>
      </c>
      <c r="CW8" s="1082">
        <f t="shared" si="40"/>
        <v>1.3674999999999999</v>
      </c>
      <c r="CX8" s="1082">
        <f t="shared" si="41"/>
        <v>2.1880000000000002</v>
      </c>
    </row>
    <row r="9" spans="1:102" s="322" customFormat="1" ht="21" customHeight="1">
      <c r="A9" s="358"/>
      <c r="B9" s="402" t="s">
        <v>817</v>
      </c>
      <c r="C9" s="603" t="s">
        <v>1079</v>
      </c>
      <c r="D9" s="603" t="s">
        <v>1080</v>
      </c>
      <c r="E9" s="1058" t="s">
        <v>1083</v>
      </c>
      <c r="F9" s="1083" t="s">
        <v>835</v>
      </c>
      <c r="G9" s="1051"/>
      <c r="H9" s="1051"/>
      <c r="I9" s="560" t="s">
        <v>33</v>
      </c>
      <c r="J9" s="560" t="s">
        <v>34</v>
      </c>
      <c r="K9" s="604" t="s">
        <v>607</v>
      </c>
      <c r="L9" s="585">
        <v>0</v>
      </c>
      <c r="M9" s="473">
        <v>0</v>
      </c>
      <c r="N9" s="714">
        <v>639</v>
      </c>
      <c r="O9" s="328"/>
      <c r="P9" s="718" t="str">
        <f t="shared" si="0"/>
        <v>2. Medium</v>
      </c>
      <c r="Q9" s="965" t="s">
        <v>926</v>
      </c>
      <c r="R9" s="1138"/>
      <c r="S9" s="622" t="s">
        <v>811</v>
      </c>
      <c r="T9" s="323" t="str">
        <f t="shared" si="1"/>
        <v>Covered</v>
      </c>
      <c r="U9" s="561">
        <v>42376</v>
      </c>
      <c r="V9" s="1143"/>
      <c r="W9" s="558" t="s">
        <v>152</v>
      </c>
      <c r="X9" s="627">
        <v>0</v>
      </c>
      <c r="Y9" s="473">
        <v>0</v>
      </c>
      <c r="Z9" s="617" t="s">
        <v>43</v>
      </c>
      <c r="AA9" s="627">
        <v>2</v>
      </c>
      <c r="AB9" s="736">
        <v>0</v>
      </c>
      <c r="AC9" s="473">
        <v>0</v>
      </c>
      <c r="AD9" s="473">
        <v>2</v>
      </c>
      <c r="AE9" s="617"/>
      <c r="AF9" s="599">
        <v>0</v>
      </c>
      <c r="AG9" s="325">
        <v>0</v>
      </c>
      <c r="AH9" s="630">
        <f t="shared" si="2"/>
        <v>0.78247261345852892</v>
      </c>
      <c r="AI9" s="574">
        <f t="shared" si="3"/>
        <v>500</v>
      </c>
      <c r="AJ9" s="605">
        <f t="shared" si="4"/>
        <v>0.78247261345852892</v>
      </c>
      <c r="AK9" s="574">
        <f t="shared" si="5"/>
        <v>500</v>
      </c>
      <c r="AL9" s="605">
        <f t="shared" si="6"/>
        <v>0.78247261345852892</v>
      </c>
      <c r="AM9" s="574">
        <f t="shared" si="7"/>
        <v>500</v>
      </c>
      <c r="AN9" s="605" t="str">
        <f t="shared" si="8"/>
        <v>60-80%</v>
      </c>
      <c r="AO9" s="605">
        <f t="shared" si="9"/>
        <v>0</v>
      </c>
      <c r="AP9" s="574">
        <f t="shared" si="10"/>
        <v>0</v>
      </c>
      <c r="AQ9" s="574" t="str">
        <f t="shared" si="11"/>
        <v>yes</v>
      </c>
      <c r="AR9" s="574">
        <f t="shared" si="12"/>
        <v>0.55600000000000005</v>
      </c>
      <c r="AS9" s="574">
        <f t="shared" si="13"/>
        <v>0</v>
      </c>
      <c r="AT9" s="574">
        <f t="shared" si="14"/>
        <v>0</v>
      </c>
      <c r="AU9" s="330">
        <v>0.9</v>
      </c>
      <c r="AV9" s="635">
        <f t="shared" si="15"/>
        <v>575.1</v>
      </c>
      <c r="AW9" s="1155" t="s">
        <v>884</v>
      </c>
      <c r="AX9" s="740">
        <v>0</v>
      </c>
      <c r="AY9" s="428">
        <v>10</v>
      </c>
      <c r="AZ9" s="428">
        <v>42</v>
      </c>
      <c r="BA9" s="473" t="s">
        <v>963</v>
      </c>
      <c r="BB9" s="548">
        <f t="shared" si="16"/>
        <v>0.65727699530516437</v>
      </c>
      <c r="BC9" s="606">
        <f t="shared" si="17"/>
        <v>420.00000000000006</v>
      </c>
      <c r="BD9" s="548">
        <f t="shared" si="18"/>
        <v>0.65727699530516437</v>
      </c>
      <c r="BE9" s="606">
        <f t="shared" si="19"/>
        <v>420.00000000000006</v>
      </c>
      <c r="BF9" s="549">
        <f t="shared" si="20"/>
        <v>0</v>
      </c>
      <c r="BG9" s="606">
        <f t="shared" si="21"/>
        <v>0</v>
      </c>
      <c r="BH9" s="600" t="s">
        <v>475</v>
      </c>
      <c r="BI9" s="600" t="s">
        <v>475</v>
      </c>
      <c r="BJ9" s="606">
        <f t="shared" si="22"/>
        <v>0</v>
      </c>
      <c r="BK9" s="606" t="str">
        <f t="shared" si="23"/>
        <v>n/a</v>
      </c>
      <c r="BL9" s="428" t="s">
        <v>475</v>
      </c>
      <c r="BM9" s="548" t="str">
        <f t="shared" si="24"/>
        <v>n/a</v>
      </c>
      <c r="BN9" s="606" t="str">
        <f t="shared" si="25"/>
        <v>n/a</v>
      </c>
      <c r="BO9" s="606" t="str">
        <f t="shared" si="26"/>
        <v>n/a</v>
      </c>
      <c r="BP9" s="428" t="s">
        <v>475</v>
      </c>
      <c r="BQ9" s="606" t="s">
        <v>475</v>
      </c>
      <c r="BR9" s="428" t="s">
        <v>475</v>
      </c>
      <c r="BS9" s="548" t="str">
        <f t="shared" si="27"/>
        <v>n/a</v>
      </c>
      <c r="BT9" s="607" t="str">
        <f t="shared" si="28"/>
        <v>n/a</v>
      </c>
      <c r="BU9" s="325">
        <v>0.7</v>
      </c>
      <c r="BV9" s="650" t="str">
        <f t="shared" si="29"/>
        <v>n/a</v>
      </c>
      <c r="BW9" s="1165" t="s">
        <v>891</v>
      </c>
      <c r="BX9" s="602" t="s">
        <v>475</v>
      </c>
      <c r="BY9" s="1189"/>
      <c r="BZ9" s="1189"/>
      <c r="CA9" s="608" t="str">
        <f t="shared" si="30"/>
        <v>n/a</v>
      </c>
      <c r="CB9" s="428">
        <v>0</v>
      </c>
      <c r="CC9" s="428">
        <v>0</v>
      </c>
      <c r="CD9" s="609" t="str">
        <f t="shared" si="31"/>
        <v>n/a</v>
      </c>
      <c r="CE9" s="610" t="str">
        <f t="shared" si="32"/>
        <v>n/a</v>
      </c>
      <c r="CF9" s="609" t="str">
        <f t="shared" si="33"/>
        <v>n/a</v>
      </c>
      <c r="CG9" s="658" t="str">
        <f t="shared" si="34"/>
        <v>n/a</v>
      </c>
      <c r="CH9" s="743" t="s">
        <v>893</v>
      </c>
      <c r="CI9" s="330">
        <v>0</v>
      </c>
      <c r="CJ9" s="664">
        <f t="shared" si="35"/>
        <v>0</v>
      </c>
      <c r="CK9" s="328">
        <v>0</v>
      </c>
      <c r="CL9" s="611" t="s">
        <v>671</v>
      </c>
      <c r="CM9" s="428" t="s">
        <v>475</v>
      </c>
      <c r="CN9" s="428" t="s">
        <v>475</v>
      </c>
      <c r="CO9" s="428" t="s">
        <v>38</v>
      </c>
      <c r="CP9" s="570" t="s">
        <v>170</v>
      </c>
      <c r="CQ9" s="1167" t="s">
        <v>894</v>
      </c>
      <c r="CS9" s="1069">
        <f t="shared" si="36"/>
        <v>1</v>
      </c>
      <c r="CT9" s="1069">
        <f t="shared" si="37"/>
        <v>0.78247261345852892</v>
      </c>
      <c r="CU9" s="1066">
        <f t="shared" si="38"/>
        <v>1</v>
      </c>
      <c r="CV9" s="1066">
        <f t="shared" si="39"/>
        <v>0.78247261345852892</v>
      </c>
      <c r="CW9" s="1082">
        <f t="shared" si="40"/>
        <v>0</v>
      </c>
      <c r="CX9" s="1082">
        <f t="shared" si="41"/>
        <v>0.55600000000000005</v>
      </c>
    </row>
    <row r="10" spans="1:102" s="322" customFormat="1" ht="21" customHeight="1">
      <c r="A10" s="358"/>
      <c r="B10" s="402" t="s">
        <v>817</v>
      </c>
      <c r="C10" s="603" t="s">
        <v>1065</v>
      </c>
      <c r="D10" s="603" t="s">
        <v>1066</v>
      </c>
      <c r="E10" s="1058" t="s">
        <v>1069</v>
      </c>
      <c r="F10" s="1084" t="s">
        <v>827</v>
      </c>
      <c r="G10" s="1051"/>
      <c r="H10" s="1051"/>
      <c r="I10" s="560" t="s">
        <v>33</v>
      </c>
      <c r="J10" s="560" t="s">
        <v>34</v>
      </c>
      <c r="K10" s="604" t="s">
        <v>607</v>
      </c>
      <c r="L10" s="585">
        <v>0</v>
      </c>
      <c r="M10" s="473">
        <v>0</v>
      </c>
      <c r="N10" s="714">
        <v>155</v>
      </c>
      <c r="O10" s="328"/>
      <c r="P10" s="718" t="str">
        <f t="shared" si="0"/>
        <v>1. Small</v>
      </c>
      <c r="Q10" s="965" t="s">
        <v>926</v>
      </c>
      <c r="R10" s="1138"/>
      <c r="S10" s="622" t="s">
        <v>811</v>
      </c>
      <c r="T10" s="323" t="str">
        <f t="shared" si="1"/>
        <v>Covered</v>
      </c>
      <c r="U10" s="561">
        <v>42376</v>
      </c>
      <c r="V10" s="1143"/>
      <c r="W10" s="558" t="s">
        <v>152</v>
      </c>
      <c r="X10" s="627">
        <v>0</v>
      </c>
      <c r="Y10" s="473">
        <v>0</v>
      </c>
      <c r="Z10" s="617" t="s">
        <v>43</v>
      </c>
      <c r="AA10" s="627">
        <v>0</v>
      </c>
      <c r="AB10" s="736">
        <v>0</v>
      </c>
      <c r="AC10" s="473">
        <v>0</v>
      </c>
      <c r="AD10" s="473">
        <v>1</v>
      </c>
      <c r="AE10" s="617"/>
      <c r="AF10" s="599">
        <v>0</v>
      </c>
      <c r="AG10" s="325">
        <v>0</v>
      </c>
      <c r="AH10" s="630">
        <f t="shared" si="2"/>
        <v>0</v>
      </c>
      <c r="AI10" s="574">
        <f t="shared" si="3"/>
        <v>0</v>
      </c>
      <c r="AJ10" s="605">
        <f t="shared" si="4"/>
        <v>0</v>
      </c>
      <c r="AK10" s="574">
        <f t="shared" si="5"/>
        <v>0</v>
      </c>
      <c r="AL10" s="605">
        <f t="shared" si="6"/>
        <v>0</v>
      </c>
      <c r="AM10" s="574">
        <f t="shared" si="7"/>
        <v>0</v>
      </c>
      <c r="AN10" s="605" t="str">
        <f t="shared" si="8"/>
        <v>0-10%</v>
      </c>
      <c r="AO10" s="605">
        <f t="shared" si="9"/>
        <v>0</v>
      </c>
      <c r="AP10" s="574">
        <f t="shared" si="10"/>
        <v>0</v>
      </c>
      <c r="AQ10" s="574" t="str">
        <f t="shared" si="11"/>
        <v>yes</v>
      </c>
      <c r="AR10" s="574">
        <f t="shared" si="12"/>
        <v>0.62</v>
      </c>
      <c r="AS10" s="574">
        <f t="shared" si="13"/>
        <v>0</v>
      </c>
      <c r="AT10" s="574">
        <f t="shared" si="14"/>
        <v>0</v>
      </c>
      <c r="AU10" s="330">
        <v>0.9</v>
      </c>
      <c r="AV10" s="635">
        <f t="shared" si="15"/>
        <v>139.5</v>
      </c>
      <c r="AW10" s="1155" t="s">
        <v>884</v>
      </c>
      <c r="AX10" s="740">
        <v>0</v>
      </c>
      <c r="AY10" s="428">
        <v>2</v>
      </c>
      <c r="AZ10" s="428">
        <v>42</v>
      </c>
      <c r="BA10" s="473" t="s">
        <v>963</v>
      </c>
      <c r="BB10" s="548">
        <f t="shared" si="16"/>
        <v>0.54193548387096779</v>
      </c>
      <c r="BC10" s="606">
        <f t="shared" si="17"/>
        <v>84.000000000000014</v>
      </c>
      <c r="BD10" s="548">
        <f t="shared" si="18"/>
        <v>0.54193548387096779</v>
      </c>
      <c r="BE10" s="606">
        <f t="shared" si="19"/>
        <v>84.000000000000014</v>
      </c>
      <c r="BF10" s="549">
        <f t="shared" si="20"/>
        <v>0</v>
      </c>
      <c r="BG10" s="606">
        <f t="shared" si="21"/>
        <v>0</v>
      </c>
      <c r="BH10" s="600" t="s">
        <v>475</v>
      </c>
      <c r="BI10" s="600" t="s">
        <v>475</v>
      </c>
      <c r="BJ10" s="606">
        <f t="shared" si="22"/>
        <v>0</v>
      </c>
      <c r="BK10" s="606" t="str">
        <f t="shared" si="23"/>
        <v>n/a</v>
      </c>
      <c r="BL10" s="428" t="s">
        <v>475</v>
      </c>
      <c r="BM10" s="548" t="str">
        <f t="shared" si="24"/>
        <v>n/a</v>
      </c>
      <c r="BN10" s="606" t="str">
        <f t="shared" si="25"/>
        <v>n/a</v>
      </c>
      <c r="BO10" s="606" t="str">
        <f t="shared" si="26"/>
        <v>n/a</v>
      </c>
      <c r="BP10" s="428" t="s">
        <v>475</v>
      </c>
      <c r="BQ10" s="606" t="s">
        <v>475</v>
      </c>
      <c r="BR10" s="428" t="s">
        <v>475</v>
      </c>
      <c r="BS10" s="548" t="str">
        <f t="shared" si="27"/>
        <v>n/a</v>
      </c>
      <c r="BT10" s="607" t="str">
        <f t="shared" si="28"/>
        <v>n/a</v>
      </c>
      <c r="BU10" s="325">
        <v>0.7</v>
      </c>
      <c r="BV10" s="650" t="str">
        <f t="shared" si="29"/>
        <v>n/a</v>
      </c>
      <c r="BW10" s="1165" t="s">
        <v>891</v>
      </c>
      <c r="BX10" s="602" t="s">
        <v>475</v>
      </c>
      <c r="BY10" s="1189"/>
      <c r="BZ10" s="1189"/>
      <c r="CA10" s="608" t="str">
        <f t="shared" si="30"/>
        <v>n/a</v>
      </c>
      <c r="CB10" s="428">
        <v>0</v>
      </c>
      <c r="CC10" s="428">
        <v>0</v>
      </c>
      <c r="CD10" s="609" t="str">
        <f t="shared" si="31"/>
        <v>n/a</v>
      </c>
      <c r="CE10" s="610" t="str">
        <f t="shared" si="32"/>
        <v>n/a</v>
      </c>
      <c r="CF10" s="609" t="str">
        <f t="shared" si="33"/>
        <v>n/a</v>
      </c>
      <c r="CG10" s="658" t="str">
        <f t="shared" si="34"/>
        <v>n/a</v>
      </c>
      <c r="CH10" s="743" t="s">
        <v>893</v>
      </c>
      <c r="CI10" s="330">
        <v>0</v>
      </c>
      <c r="CJ10" s="664">
        <f t="shared" si="35"/>
        <v>0</v>
      </c>
      <c r="CK10" s="328">
        <v>0</v>
      </c>
      <c r="CL10" s="611" t="s">
        <v>671</v>
      </c>
      <c r="CM10" s="428" t="s">
        <v>475</v>
      </c>
      <c r="CN10" s="428" t="s">
        <v>475</v>
      </c>
      <c r="CO10" s="428" t="s">
        <v>38</v>
      </c>
      <c r="CP10" s="570" t="s">
        <v>170</v>
      </c>
      <c r="CQ10" s="1167" t="s">
        <v>894</v>
      </c>
      <c r="CS10" s="1069">
        <f t="shared" si="36"/>
        <v>0</v>
      </c>
      <c r="CT10" s="1069">
        <f t="shared" si="37"/>
        <v>0</v>
      </c>
      <c r="CU10" s="1066">
        <f t="shared" si="38"/>
        <v>0</v>
      </c>
      <c r="CV10" s="1066">
        <f t="shared" si="39"/>
        <v>0</v>
      </c>
      <c r="CW10" s="1082">
        <f t="shared" si="40"/>
        <v>0.38750000000000001</v>
      </c>
      <c r="CX10" s="1082">
        <f t="shared" si="41"/>
        <v>0.62</v>
      </c>
    </row>
    <row r="11" spans="1:102" s="322" customFormat="1" ht="21" customHeight="1">
      <c r="A11" s="358"/>
      <c r="B11" s="402" t="s">
        <v>817</v>
      </c>
      <c r="C11" s="603" t="s">
        <v>1075</v>
      </c>
      <c r="D11" s="603" t="s">
        <v>1076</v>
      </c>
      <c r="E11" s="1058" t="s">
        <v>1077</v>
      </c>
      <c r="F11" s="1083" t="s">
        <v>832</v>
      </c>
      <c r="G11" s="1051"/>
      <c r="H11" s="1051"/>
      <c r="I11" s="560" t="s">
        <v>33</v>
      </c>
      <c r="J11" s="560" t="s">
        <v>45</v>
      </c>
      <c r="K11" s="604" t="s">
        <v>607</v>
      </c>
      <c r="L11" s="585">
        <v>0</v>
      </c>
      <c r="M11" s="473">
        <v>0</v>
      </c>
      <c r="N11" s="714">
        <v>153</v>
      </c>
      <c r="O11" s="328"/>
      <c r="P11" s="718" t="str">
        <f t="shared" si="0"/>
        <v>1. Small</v>
      </c>
      <c r="Q11" s="965" t="s">
        <v>926</v>
      </c>
      <c r="R11" s="1138"/>
      <c r="S11" s="622" t="s">
        <v>811</v>
      </c>
      <c r="T11" s="323" t="str">
        <f t="shared" si="1"/>
        <v>Covered</v>
      </c>
      <c r="U11" s="561">
        <v>42376</v>
      </c>
      <c r="V11" s="1143"/>
      <c r="W11" s="558" t="s">
        <v>152</v>
      </c>
      <c r="X11" s="627">
        <v>0</v>
      </c>
      <c r="Y11" s="473">
        <v>0</v>
      </c>
      <c r="Z11" s="617" t="s">
        <v>43</v>
      </c>
      <c r="AA11" s="627">
        <v>0</v>
      </c>
      <c r="AB11" s="736">
        <v>0</v>
      </c>
      <c r="AC11" s="473">
        <v>0</v>
      </c>
      <c r="AD11" s="473">
        <v>3</v>
      </c>
      <c r="AE11" s="617"/>
      <c r="AF11" s="599">
        <v>0</v>
      </c>
      <c r="AG11" s="325">
        <v>0</v>
      </c>
      <c r="AH11" s="630">
        <f t="shared" si="2"/>
        <v>0</v>
      </c>
      <c r="AI11" s="574">
        <f t="shared" si="3"/>
        <v>0</v>
      </c>
      <c r="AJ11" s="605">
        <f t="shared" si="4"/>
        <v>0</v>
      </c>
      <c r="AK11" s="574">
        <f t="shared" si="5"/>
        <v>0</v>
      </c>
      <c r="AL11" s="605">
        <f t="shared" si="6"/>
        <v>0</v>
      </c>
      <c r="AM11" s="574">
        <f t="shared" si="7"/>
        <v>0</v>
      </c>
      <c r="AN11" s="605" t="str">
        <f t="shared" si="8"/>
        <v>0-10%</v>
      </c>
      <c r="AO11" s="605">
        <f t="shared" si="9"/>
        <v>0</v>
      </c>
      <c r="AP11" s="574">
        <f t="shared" si="10"/>
        <v>0</v>
      </c>
      <c r="AQ11" s="574" t="str">
        <f t="shared" si="11"/>
        <v>yes</v>
      </c>
      <c r="AR11" s="574">
        <f t="shared" si="12"/>
        <v>0.61199999999999999</v>
      </c>
      <c r="AS11" s="574">
        <f t="shared" si="13"/>
        <v>0</v>
      </c>
      <c r="AT11" s="574">
        <f t="shared" si="14"/>
        <v>0</v>
      </c>
      <c r="AU11" s="330">
        <v>0.9</v>
      </c>
      <c r="AV11" s="635">
        <f t="shared" si="15"/>
        <v>137.70000000000002</v>
      </c>
      <c r="AW11" s="1155" t="s">
        <v>889</v>
      </c>
      <c r="AX11" s="740">
        <v>0</v>
      </c>
      <c r="AY11" s="428">
        <v>5</v>
      </c>
      <c r="AZ11" s="428">
        <v>42</v>
      </c>
      <c r="BA11" s="473" t="s">
        <v>963</v>
      </c>
      <c r="BB11" s="548">
        <f t="shared" si="16"/>
        <v>1</v>
      </c>
      <c r="BC11" s="606">
        <f t="shared" si="17"/>
        <v>153</v>
      </c>
      <c r="BD11" s="548">
        <f t="shared" si="18"/>
        <v>1</v>
      </c>
      <c r="BE11" s="606">
        <f t="shared" si="19"/>
        <v>153</v>
      </c>
      <c r="BF11" s="549">
        <f t="shared" si="20"/>
        <v>0</v>
      </c>
      <c r="BG11" s="606">
        <f t="shared" si="21"/>
        <v>0</v>
      </c>
      <c r="BH11" s="600" t="s">
        <v>475</v>
      </c>
      <c r="BI11" s="600" t="s">
        <v>475</v>
      </c>
      <c r="BJ11" s="606">
        <f t="shared" si="22"/>
        <v>0</v>
      </c>
      <c r="BK11" s="606" t="str">
        <f t="shared" si="23"/>
        <v>n/a</v>
      </c>
      <c r="BL11" s="428" t="s">
        <v>475</v>
      </c>
      <c r="BM11" s="548" t="str">
        <f t="shared" si="24"/>
        <v>n/a</v>
      </c>
      <c r="BN11" s="606" t="str">
        <f t="shared" si="25"/>
        <v>n/a</v>
      </c>
      <c r="BO11" s="606" t="str">
        <f t="shared" si="26"/>
        <v>n/a</v>
      </c>
      <c r="BP11" s="428" t="s">
        <v>475</v>
      </c>
      <c r="BQ11" s="606" t="s">
        <v>475</v>
      </c>
      <c r="BR11" s="428" t="s">
        <v>475</v>
      </c>
      <c r="BS11" s="548" t="str">
        <f t="shared" si="27"/>
        <v>n/a</v>
      </c>
      <c r="BT11" s="607" t="str">
        <f t="shared" si="28"/>
        <v>n/a</v>
      </c>
      <c r="BU11" s="325">
        <v>0.7</v>
      </c>
      <c r="BV11" s="650" t="str">
        <f t="shared" si="29"/>
        <v>n/a</v>
      </c>
      <c r="BW11" s="1165" t="s">
        <v>891</v>
      </c>
      <c r="BX11" s="602" t="s">
        <v>475</v>
      </c>
      <c r="BY11" s="1189"/>
      <c r="BZ11" s="1189"/>
      <c r="CA11" s="608" t="str">
        <f t="shared" si="30"/>
        <v>n/a</v>
      </c>
      <c r="CB11" s="428">
        <v>0</v>
      </c>
      <c r="CC11" s="428">
        <v>0</v>
      </c>
      <c r="CD11" s="609" t="str">
        <f t="shared" si="31"/>
        <v>n/a</v>
      </c>
      <c r="CE11" s="610" t="str">
        <f t="shared" si="32"/>
        <v>n/a</v>
      </c>
      <c r="CF11" s="609" t="str">
        <f t="shared" si="33"/>
        <v>n/a</v>
      </c>
      <c r="CG11" s="658" t="str">
        <f t="shared" si="34"/>
        <v>n/a</v>
      </c>
      <c r="CH11" s="743" t="s">
        <v>893</v>
      </c>
      <c r="CI11" s="330">
        <v>0</v>
      </c>
      <c r="CJ11" s="664">
        <f t="shared" si="35"/>
        <v>0</v>
      </c>
      <c r="CK11" s="328">
        <v>0</v>
      </c>
      <c r="CL11" s="611" t="s">
        <v>671</v>
      </c>
      <c r="CM11" s="428" t="s">
        <v>475</v>
      </c>
      <c r="CN11" s="428" t="s">
        <v>475</v>
      </c>
      <c r="CO11" s="428" t="s">
        <v>38</v>
      </c>
      <c r="CP11" s="570" t="s">
        <v>170</v>
      </c>
      <c r="CQ11" s="1167" t="s">
        <v>894</v>
      </c>
      <c r="CS11" s="1069">
        <f t="shared" si="36"/>
        <v>0</v>
      </c>
      <c r="CT11" s="1069">
        <f t="shared" si="37"/>
        <v>0</v>
      </c>
      <c r="CU11" s="1066">
        <f t="shared" si="38"/>
        <v>0</v>
      </c>
      <c r="CV11" s="1066">
        <f t="shared" si="39"/>
        <v>0</v>
      </c>
      <c r="CW11" s="1082">
        <f t="shared" si="40"/>
        <v>0.38250000000000001</v>
      </c>
      <c r="CX11" s="1082">
        <f t="shared" si="41"/>
        <v>0.61199999999999999</v>
      </c>
    </row>
    <row r="12" spans="1:102" s="322" customFormat="1" ht="21" customHeight="1">
      <c r="A12" s="358"/>
      <c r="B12" s="402" t="s">
        <v>817</v>
      </c>
      <c r="C12" s="603" t="s">
        <v>1026</v>
      </c>
      <c r="D12" s="603" t="s">
        <v>1026</v>
      </c>
      <c r="E12" s="1058"/>
      <c r="F12" s="730" t="s">
        <v>775</v>
      </c>
      <c r="G12" s="1051"/>
      <c r="H12" s="1051"/>
      <c r="I12" s="1120" t="s">
        <v>33</v>
      </c>
      <c r="J12" s="560" t="s">
        <v>45</v>
      </c>
      <c r="K12" s="604" t="s">
        <v>607</v>
      </c>
      <c r="L12" s="585">
        <v>0</v>
      </c>
      <c r="M12" s="473">
        <v>0</v>
      </c>
      <c r="N12" s="616">
        <v>574</v>
      </c>
      <c r="O12" s="328"/>
      <c r="P12" s="718" t="str">
        <f t="shared" si="0"/>
        <v>2. Medium</v>
      </c>
      <c r="Q12" s="965" t="s">
        <v>926</v>
      </c>
      <c r="R12" s="1138"/>
      <c r="S12" s="622" t="s">
        <v>143</v>
      </c>
      <c r="T12" s="323" t="str">
        <f t="shared" si="1"/>
        <v>Covered</v>
      </c>
      <c r="U12" s="561">
        <v>42376</v>
      </c>
      <c r="V12" s="1143"/>
      <c r="W12" s="558" t="s">
        <v>152</v>
      </c>
      <c r="X12" s="627">
        <v>0</v>
      </c>
      <c r="Y12" s="473">
        <v>0</v>
      </c>
      <c r="Z12" s="617" t="s">
        <v>43</v>
      </c>
      <c r="AA12" s="627">
        <v>0</v>
      </c>
      <c r="AB12" s="473">
        <v>3</v>
      </c>
      <c r="AC12" s="473">
        <v>0</v>
      </c>
      <c r="AD12" s="473">
        <v>0</v>
      </c>
      <c r="AE12" s="617"/>
      <c r="AF12" s="599">
        <v>0</v>
      </c>
      <c r="AG12" s="330">
        <v>0</v>
      </c>
      <c r="AH12" s="630">
        <f t="shared" si="2"/>
        <v>1</v>
      </c>
      <c r="AI12" s="574">
        <f t="shared" si="3"/>
        <v>574</v>
      </c>
      <c r="AJ12" s="605">
        <f t="shared" si="4"/>
        <v>1</v>
      </c>
      <c r="AK12" s="574">
        <f t="shared" si="5"/>
        <v>574</v>
      </c>
      <c r="AL12" s="605">
        <f t="shared" si="6"/>
        <v>1</v>
      </c>
      <c r="AM12" s="574">
        <f t="shared" si="7"/>
        <v>574</v>
      </c>
      <c r="AN12" s="605" t="str">
        <f t="shared" si="8"/>
        <v>80-100%</v>
      </c>
      <c r="AO12" s="605">
        <f t="shared" si="9"/>
        <v>0</v>
      </c>
      <c r="AP12" s="574">
        <f t="shared" si="10"/>
        <v>0</v>
      </c>
      <c r="AQ12" s="574" t="str">
        <f t="shared" si="11"/>
        <v>no</v>
      </c>
      <c r="AR12" s="574">
        <f t="shared" si="12"/>
        <v>0</v>
      </c>
      <c r="AS12" s="574">
        <f t="shared" si="13"/>
        <v>0</v>
      </c>
      <c r="AT12" s="574">
        <f t="shared" si="14"/>
        <v>0</v>
      </c>
      <c r="AU12" s="1123">
        <v>1</v>
      </c>
      <c r="AV12" s="635">
        <f t="shared" si="15"/>
        <v>574</v>
      </c>
      <c r="AW12" s="638"/>
      <c r="AX12" s="740">
        <v>0</v>
      </c>
      <c r="AY12" s="428">
        <v>2</v>
      </c>
      <c r="AZ12" s="428">
        <v>42</v>
      </c>
      <c r="BA12" s="473" t="s">
        <v>965</v>
      </c>
      <c r="BB12" s="548">
        <f t="shared" si="16"/>
        <v>0.14634146341463414</v>
      </c>
      <c r="BC12" s="606">
        <f t="shared" si="17"/>
        <v>84</v>
      </c>
      <c r="BD12" s="548">
        <f t="shared" si="18"/>
        <v>0.14634146341463414</v>
      </c>
      <c r="BE12" s="606">
        <f t="shared" si="19"/>
        <v>84</v>
      </c>
      <c r="BF12" s="549">
        <f t="shared" si="20"/>
        <v>0</v>
      </c>
      <c r="BG12" s="606">
        <f t="shared" si="21"/>
        <v>0</v>
      </c>
      <c r="BH12" s="600" t="s">
        <v>475</v>
      </c>
      <c r="BI12" s="600" t="s">
        <v>475</v>
      </c>
      <c r="BJ12" s="606">
        <f t="shared" si="22"/>
        <v>0</v>
      </c>
      <c r="BK12" s="606" t="str">
        <f t="shared" si="23"/>
        <v>n/a</v>
      </c>
      <c r="BL12" s="428" t="s">
        <v>475</v>
      </c>
      <c r="BM12" s="548" t="str">
        <f t="shared" si="24"/>
        <v>n/a</v>
      </c>
      <c r="BN12" s="606" t="str">
        <f t="shared" si="25"/>
        <v>n/a</v>
      </c>
      <c r="BO12" s="606" t="str">
        <f t="shared" si="26"/>
        <v>n/a</v>
      </c>
      <c r="BP12" s="578" t="s">
        <v>475</v>
      </c>
      <c r="BQ12" s="606" t="s">
        <v>475</v>
      </c>
      <c r="BR12" s="519" t="s">
        <v>475</v>
      </c>
      <c r="BS12" s="548" t="str">
        <f t="shared" si="27"/>
        <v>n/a</v>
      </c>
      <c r="BT12" s="607" t="str">
        <f t="shared" si="28"/>
        <v>n/a</v>
      </c>
      <c r="BU12" s="325">
        <v>1</v>
      </c>
      <c r="BV12" s="650" t="str">
        <f t="shared" si="29"/>
        <v>n/a</v>
      </c>
      <c r="BW12" s="325" t="s">
        <v>567</v>
      </c>
      <c r="BX12" s="602" t="s">
        <v>475</v>
      </c>
      <c r="BY12" s="1189"/>
      <c r="BZ12" s="1189"/>
      <c r="CA12" s="608" t="str">
        <f t="shared" si="30"/>
        <v>n/a</v>
      </c>
      <c r="CB12" s="428">
        <v>0</v>
      </c>
      <c r="CC12" s="428">
        <v>0</v>
      </c>
      <c r="CD12" s="609" t="str">
        <f t="shared" si="31"/>
        <v>n/a</v>
      </c>
      <c r="CE12" s="610" t="str">
        <f t="shared" si="32"/>
        <v>n/a</v>
      </c>
      <c r="CF12" s="609" t="str">
        <f t="shared" si="33"/>
        <v>n/a</v>
      </c>
      <c r="CG12" s="658" t="str">
        <f t="shared" si="34"/>
        <v>n/a</v>
      </c>
      <c r="CH12" s="328" t="s">
        <v>809</v>
      </c>
      <c r="CI12" s="330">
        <v>0.4</v>
      </c>
      <c r="CJ12" s="664">
        <f t="shared" si="35"/>
        <v>229.60000000000002</v>
      </c>
      <c r="CK12" s="328">
        <v>0</v>
      </c>
      <c r="CL12" s="611" t="s">
        <v>671</v>
      </c>
      <c r="CM12" s="428" t="s">
        <v>475</v>
      </c>
      <c r="CN12" s="428" t="s">
        <v>475</v>
      </c>
      <c r="CO12" s="428" t="s">
        <v>38</v>
      </c>
      <c r="CP12" s="570" t="s">
        <v>170</v>
      </c>
      <c r="CQ12" s="672"/>
      <c r="CS12" s="1069">
        <f t="shared" si="36"/>
        <v>1</v>
      </c>
      <c r="CT12" s="1069">
        <f t="shared" si="37"/>
        <v>1</v>
      </c>
      <c r="CU12" s="1066">
        <f t="shared" si="38"/>
        <v>1</v>
      </c>
      <c r="CV12" s="1066">
        <f t="shared" si="39"/>
        <v>1</v>
      </c>
      <c r="CW12" s="1082">
        <f t="shared" si="40"/>
        <v>0</v>
      </c>
      <c r="CX12" s="1082">
        <f t="shared" si="41"/>
        <v>0</v>
      </c>
    </row>
    <row r="13" spans="1:102" s="322" customFormat="1" ht="21" customHeight="1">
      <c r="A13" s="358"/>
      <c r="B13" s="402" t="s">
        <v>817</v>
      </c>
      <c r="C13" s="603" t="s">
        <v>1000</v>
      </c>
      <c r="D13" s="603" t="s">
        <v>1001</v>
      </c>
      <c r="E13" s="1058" t="s">
        <v>1002</v>
      </c>
      <c r="F13" s="728" t="s">
        <v>755</v>
      </c>
      <c r="G13" s="1051"/>
      <c r="H13" s="1051"/>
      <c r="I13" s="1120" t="s">
        <v>33</v>
      </c>
      <c r="J13" s="560" t="s">
        <v>34</v>
      </c>
      <c r="K13" s="604" t="s">
        <v>607</v>
      </c>
      <c r="L13" s="585">
        <v>0</v>
      </c>
      <c r="M13" s="473">
        <v>0</v>
      </c>
      <c r="N13" s="616">
        <v>227</v>
      </c>
      <c r="O13" s="328"/>
      <c r="P13" s="718" t="str">
        <f t="shared" si="0"/>
        <v>1. Small</v>
      </c>
      <c r="Q13" s="965" t="s">
        <v>926</v>
      </c>
      <c r="R13" s="1138"/>
      <c r="S13" s="622" t="s">
        <v>143</v>
      </c>
      <c r="T13" s="323" t="str">
        <f t="shared" si="1"/>
        <v>Covered</v>
      </c>
      <c r="U13" s="561">
        <v>42376</v>
      </c>
      <c r="V13" s="1143"/>
      <c r="W13" s="558" t="s">
        <v>152</v>
      </c>
      <c r="X13" s="627">
        <v>0</v>
      </c>
      <c r="Y13" s="473">
        <v>0</v>
      </c>
      <c r="Z13" s="617" t="s">
        <v>43</v>
      </c>
      <c r="AA13" s="627">
        <v>0</v>
      </c>
      <c r="AB13" s="473">
        <v>0</v>
      </c>
      <c r="AC13" s="473">
        <v>0</v>
      </c>
      <c r="AD13" s="473">
        <v>1</v>
      </c>
      <c r="AE13" s="617"/>
      <c r="AF13" s="599">
        <v>0</v>
      </c>
      <c r="AG13" s="330">
        <v>0</v>
      </c>
      <c r="AH13" s="630">
        <f t="shared" si="2"/>
        <v>0</v>
      </c>
      <c r="AI13" s="574">
        <f t="shared" si="3"/>
        <v>0</v>
      </c>
      <c r="AJ13" s="605">
        <f t="shared" si="4"/>
        <v>0</v>
      </c>
      <c r="AK13" s="574">
        <f t="shared" si="5"/>
        <v>0</v>
      </c>
      <c r="AL13" s="605">
        <f t="shared" si="6"/>
        <v>0</v>
      </c>
      <c r="AM13" s="574">
        <f t="shared" si="7"/>
        <v>0</v>
      </c>
      <c r="AN13" s="605" t="str">
        <f t="shared" si="8"/>
        <v>0-10%</v>
      </c>
      <c r="AO13" s="605">
        <f t="shared" si="9"/>
        <v>0</v>
      </c>
      <c r="AP13" s="574">
        <f t="shared" si="10"/>
        <v>0</v>
      </c>
      <c r="AQ13" s="574" t="str">
        <f t="shared" si="11"/>
        <v>yes</v>
      </c>
      <c r="AR13" s="574">
        <f t="shared" si="12"/>
        <v>0.90800000000000003</v>
      </c>
      <c r="AS13" s="574">
        <f t="shared" si="13"/>
        <v>0</v>
      </c>
      <c r="AT13" s="574">
        <f t="shared" si="14"/>
        <v>0</v>
      </c>
      <c r="AU13" s="1123"/>
      <c r="AV13" s="635">
        <f t="shared" si="15"/>
        <v>0</v>
      </c>
      <c r="AW13" s="638"/>
      <c r="AX13" s="740">
        <v>0</v>
      </c>
      <c r="AY13" s="428">
        <v>2</v>
      </c>
      <c r="AZ13" s="428">
        <v>42</v>
      </c>
      <c r="BA13" s="473" t="s">
        <v>526</v>
      </c>
      <c r="BB13" s="548">
        <f t="shared" si="16"/>
        <v>0.37004405286343611</v>
      </c>
      <c r="BC13" s="606">
        <f t="shared" si="17"/>
        <v>84</v>
      </c>
      <c r="BD13" s="548">
        <f t="shared" si="18"/>
        <v>0.37004405286343611</v>
      </c>
      <c r="BE13" s="606">
        <f t="shared" si="19"/>
        <v>84</v>
      </c>
      <c r="BF13" s="549">
        <f t="shared" si="20"/>
        <v>0</v>
      </c>
      <c r="BG13" s="606">
        <f t="shared" si="21"/>
        <v>0</v>
      </c>
      <c r="BH13" s="600" t="s">
        <v>475</v>
      </c>
      <c r="BI13" s="600" t="s">
        <v>475</v>
      </c>
      <c r="BJ13" s="606">
        <f t="shared" si="22"/>
        <v>0</v>
      </c>
      <c r="BK13" s="606" t="str">
        <f t="shared" si="23"/>
        <v>n/a</v>
      </c>
      <c r="BL13" s="428" t="s">
        <v>475</v>
      </c>
      <c r="BM13" s="548" t="str">
        <f t="shared" si="24"/>
        <v>n/a</v>
      </c>
      <c r="BN13" s="606" t="str">
        <f t="shared" si="25"/>
        <v>n/a</v>
      </c>
      <c r="BO13" s="606" t="str">
        <f t="shared" si="26"/>
        <v>n/a</v>
      </c>
      <c r="BP13" s="578" t="s">
        <v>475</v>
      </c>
      <c r="BQ13" s="606" t="s">
        <v>475</v>
      </c>
      <c r="BR13" s="519" t="s">
        <v>475</v>
      </c>
      <c r="BS13" s="548" t="str">
        <f t="shared" si="27"/>
        <v>n/a</v>
      </c>
      <c r="BT13" s="607" t="str">
        <f t="shared" si="28"/>
        <v>n/a</v>
      </c>
      <c r="BU13" s="325">
        <v>1</v>
      </c>
      <c r="BV13" s="650" t="str">
        <f t="shared" si="29"/>
        <v>n/a</v>
      </c>
      <c r="BW13" s="325" t="s">
        <v>567</v>
      </c>
      <c r="BX13" s="602" t="s">
        <v>475</v>
      </c>
      <c r="BY13" s="1189"/>
      <c r="BZ13" s="1189"/>
      <c r="CA13" s="608" t="str">
        <f t="shared" si="30"/>
        <v>n/a</v>
      </c>
      <c r="CB13" s="428">
        <v>0</v>
      </c>
      <c r="CC13" s="428">
        <v>0</v>
      </c>
      <c r="CD13" s="609" t="str">
        <f t="shared" si="31"/>
        <v>n/a</v>
      </c>
      <c r="CE13" s="610" t="str">
        <f t="shared" si="32"/>
        <v>n/a</v>
      </c>
      <c r="CF13" s="609" t="str">
        <f t="shared" si="33"/>
        <v>n/a</v>
      </c>
      <c r="CG13" s="658" t="str">
        <f t="shared" si="34"/>
        <v>n/a</v>
      </c>
      <c r="CH13" s="328" t="s">
        <v>809</v>
      </c>
      <c r="CI13" s="330">
        <v>1</v>
      </c>
      <c r="CJ13" s="664">
        <f t="shared" si="35"/>
        <v>227</v>
      </c>
      <c r="CK13" s="328">
        <v>2</v>
      </c>
      <c r="CL13" s="611" t="s">
        <v>671</v>
      </c>
      <c r="CM13" s="428" t="s">
        <v>475</v>
      </c>
      <c r="CN13" s="428" t="s">
        <v>475</v>
      </c>
      <c r="CO13" s="428" t="s">
        <v>38</v>
      </c>
      <c r="CP13" s="570" t="s">
        <v>170</v>
      </c>
      <c r="CQ13" s="672"/>
      <c r="CS13" s="1069">
        <f t="shared" si="36"/>
        <v>0</v>
      </c>
      <c r="CT13" s="1069">
        <f t="shared" si="37"/>
        <v>0</v>
      </c>
      <c r="CU13" s="1066">
        <f t="shared" si="38"/>
        <v>0</v>
      </c>
      <c r="CV13" s="1066">
        <f t="shared" si="39"/>
        <v>0</v>
      </c>
      <c r="CW13" s="1082">
        <f t="shared" si="40"/>
        <v>0.5675</v>
      </c>
      <c r="CX13" s="1082">
        <f t="shared" si="41"/>
        <v>0.90800000000000003</v>
      </c>
    </row>
    <row r="14" spans="1:102" s="322" customFormat="1" ht="21" customHeight="1">
      <c r="A14" s="358"/>
      <c r="B14" s="402" t="s">
        <v>817</v>
      </c>
      <c r="C14" s="603"/>
      <c r="D14" s="603"/>
      <c r="E14" s="1058"/>
      <c r="F14" s="1083" t="s">
        <v>841</v>
      </c>
      <c r="G14" s="1051"/>
      <c r="H14" s="1051"/>
      <c r="I14" s="560" t="s">
        <v>33</v>
      </c>
      <c r="J14" s="560" t="s">
        <v>34</v>
      </c>
      <c r="K14" s="604" t="s">
        <v>607</v>
      </c>
      <c r="L14" s="585">
        <v>0</v>
      </c>
      <c r="M14" s="473">
        <v>0</v>
      </c>
      <c r="N14" s="714">
        <v>420</v>
      </c>
      <c r="O14" s="328"/>
      <c r="P14" s="718" t="str">
        <f t="shared" si="0"/>
        <v>1. Small</v>
      </c>
      <c r="Q14" s="965" t="s">
        <v>926</v>
      </c>
      <c r="R14" s="1138"/>
      <c r="S14" s="622" t="s">
        <v>811</v>
      </c>
      <c r="T14" s="323" t="str">
        <f t="shared" si="1"/>
        <v>Covered</v>
      </c>
      <c r="U14" s="561">
        <v>42376</v>
      </c>
      <c r="V14" s="1143"/>
      <c r="W14" s="558" t="s">
        <v>152</v>
      </c>
      <c r="X14" s="627">
        <v>0</v>
      </c>
      <c r="Y14" s="473">
        <v>0</v>
      </c>
      <c r="Z14" s="617" t="s">
        <v>43</v>
      </c>
      <c r="AA14" s="627">
        <v>0</v>
      </c>
      <c r="AB14" s="736">
        <v>0</v>
      </c>
      <c r="AC14" s="473">
        <v>0</v>
      </c>
      <c r="AD14" s="473">
        <v>2</v>
      </c>
      <c r="AE14" s="617"/>
      <c r="AF14" s="599">
        <v>0</v>
      </c>
      <c r="AG14" s="325">
        <v>0</v>
      </c>
      <c r="AH14" s="630">
        <f t="shared" si="2"/>
        <v>0</v>
      </c>
      <c r="AI14" s="574">
        <f t="shared" si="3"/>
        <v>0</v>
      </c>
      <c r="AJ14" s="605">
        <f t="shared" si="4"/>
        <v>0</v>
      </c>
      <c r="AK14" s="574">
        <f t="shared" si="5"/>
        <v>0</v>
      </c>
      <c r="AL14" s="605">
        <f t="shared" si="6"/>
        <v>0</v>
      </c>
      <c r="AM14" s="574">
        <f t="shared" si="7"/>
        <v>0</v>
      </c>
      <c r="AN14" s="605" t="str">
        <f t="shared" si="8"/>
        <v>0-10%</v>
      </c>
      <c r="AO14" s="605">
        <f t="shared" si="9"/>
        <v>0</v>
      </c>
      <c r="AP14" s="574">
        <f t="shared" si="10"/>
        <v>0</v>
      </c>
      <c r="AQ14" s="574" t="str">
        <f t="shared" si="11"/>
        <v>yes</v>
      </c>
      <c r="AR14" s="574">
        <f t="shared" si="12"/>
        <v>1.68</v>
      </c>
      <c r="AS14" s="574">
        <f t="shared" si="13"/>
        <v>0</v>
      </c>
      <c r="AT14" s="574">
        <f t="shared" si="14"/>
        <v>0</v>
      </c>
      <c r="AU14" s="330">
        <v>0.9</v>
      </c>
      <c r="AV14" s="635">
        <f t="shared" si="15"/>
        <v>378</v>
      </c>
      <c r="AW14" s="1155" t="s">
        <v>884</v>
      </c>
      <c r="AX14" s="740">
        <v>0</v>
      </c>
      <c r="AY14" s="428">
        <v>9</v>
      </c>
      <c r="AZ14" s="428">
        <v>42</v>
      </c>
      <c r="BA14" s="473" t="s">
        <v>963</v>
      </c>
      <c r="BB14" s="548">
        <f t="shared" si="16"/>
        <v>0.9</v>
      </c>
      <c r="BC14" s="606">
        <f t="shared" si="17"/>
        <v>378</v>
      </c>
      <c r="BD14" s="548">
        <f t="shared" si="18"/>
        <v>0.9</v>
      </c>
      <c r="BE14" s="606">
        <f t="shared" si="19"/>
        <v>378</v>
      </c>
      <c r="BF14" s="549">
        <f t="shared" si="20"/>
        <v>0</v>
      </c>
      <c r="BG14" s="606">
        <f t="shared" si="21"/>
        <v>0</v>
      </c>
      <c r="BH14" s="600" t="s">
        <v>475</v>
      </c>
      <c r="BI14" s="600" t="s">
        <v>475</v>
      </c>
      <c r="BJ14" s="606">
        <f t="shared" si="22"/>
        <v>0</v>
      </c>
      <c r="BK14" s="606" t="str">
        <f t="shared" si="23"/>
        <v>n/a</v>
      </c>
      <c r="BL14" s="428" t="s">
        <v>475</v>
      </c>
      <c r="BM14" s="548" t="str">
        <f t="shared" si="24"/>
        <v>n/a</v>
      </c>
      <c r="BN14" s="606" t="str">
        <f t="shared" si="25"/>
        <v>n/a</v>
      </c>
      <c r="BO14" s="606" t="str">
        <f t="shared" si="26"/>
        <v>n/a</v>
      </c>
      <c r="BP14" s="428" t="s">
        <v>475</v>
      </c>
      <c r="BQ14" s="606" t="s">
        <v>475</v>
      </c>
      <c r="BR14" s="428" t="s">
        <v>475</v>
      </c>
      <c r="BS14" s="548" t="str">
        <f t="shared" si="27"/>
        <v>n/a</v>
      </c>
      <c r="BT14" s="607" t="str">
        <f t="shared" si="28"/>
        <v>n/a</v>
      </c>
      <c r="BU14" s="325">
        <v>0.7</v>
      </c>
      <c r="BV14" s="650" t="str">
        <f t="shared" si="29"/>
        <v>n/a</v>
      </c>
      <c r="BW14" s="1165" t="s">
        <v>891</v>
      </c>
      <c r="BX14" s="602" t="s">
        <v>475</v>
      </c>
      <c r="BY14" s="1189"/>
      <c r="BZ14" s="1189"/>
      <c r="CA14" s="608" t="str">
        <f t="shared" si="30"/>
        <v>n/a</v>
      </c>
      <c r="CB14" s="428">
        <v>0</v>
      </c>
      <c r="CC14" s="428">
        <v>0</v>
      </c>
      <c r="CD14" s="609" t="str">
        <f t="shared" si="31"/>
        <v>n/a</v>
      </c>
      <c r="CE14" s="610" t="str">
        <f t="shared" si="32"/>
        <v>n/a</v>
      </c>
      <c r="CF14" s="609" t="str">
        <f t="shared" si="33"/>
        <v>n/a</v>
      </c>
      <c r="CG14" s="658" t="str">
        <f t="shared" si="34"/>
        <v>n/a</v>
      </c>
      <c r="CH14" s="743" t="s">
        <v>893</v>
      </c>
      <c r="CI14" s="330">
        <v>0</v>
      </c>
      <c r="CJ14" s="664">
        <f t="shared" si="35"/>
        <v>0</v>
      </c>
      <c r="CK14" s="328">
        <v>0</v>
      </c>
      <c r="CL14" s="611" t="s">
        <v>671</v>
      </c>
      <c r="CM14" s="428" t="s">
        <v>475</v>
      </c>
      <c r="CN14" s="428" t="s">
        <v>475</v>
      </c>
      <c r="CO14" s="428" t="s">
        <v>38</v>
      </c>
      <c r="CP14" s="570" t="s">
        <v>170</v>
      </c>
      <c r="CQ14" s="1167" t="s">
        <v>894</v>
      </c>
      <c r="CS14" s="1069">
        <f t="shared" si="36"/>
        <v>0</v>
      </c>
      <c r="CT14" s="1069">
        <f t="shared" si="37"/>
        <v>0</v>
      </c>
      <c r="CU14" s="1066">
        <f t="shared" si="38"/>
        <v>0</v>
      </c>
      <c r="CV14" s="1066">
        <f t="shared" si="39"/>
        <v>0</v>
      </c>
      <c r="CW14" s="1082">
        <f t="shared" si="40"/>
        <v>1.05</v>
      </c>
      <c r="CX14" s="1082">
        <f t="shared" si="41"/>
        <v>1.68</v>
      </c>
    </row>
    <row r="15" spans="1:102" s="322" customFormat="1" ht="21" customHeight="1">
      <c r="A15" s="358"/>
      <c r="B15" s="402" t="s">
        <v>817</v>
      </c>
      <c r="C15" s="603" t="s">
        <v>989</v>
      </c>
      <c r="D15" s="603" t="s">
        <v>990</v>
      </c>
      <c r="E15" s="1058" t="s">
        <v>991</v>
      </c>
      <c r="F15" s="728" t="s">
        <v>750</v>
      </c>
      <c r="G15" s="1051"/>
      <c r="H15" s="1051"/>
      <c r="I15" s="1120" t="s">
        <v>33</v>
      </c>
      <c r="J15" s="560" t="s">
        <v>34</v>
      </c>
      <c r="K15" s="604" t="s">
        <v>607</v>
      </c>
      <c r="L15" s="585">
        <v>0</v>
      </c>
      <c r="M15" s="473">
        <v>0</v>
      </c>
      <c r="N15" s="615">
        <v>1794</v>
      </c>
      <c r="O15" s="328"/>
      <c r="P15" s="718" t="str">
        <f t="shared" si="0"/>
        <v>3. Large</v>
      </c>
      <c r="Q15" s="965" t="s">
        <v>926</v>
      </c>
      <c r="R15" s="1138"/>
      <c r="S15" s="622" t="s">
        <v>143</v>
      </c>
      <c r="T15" s="323" t="str">
        <f t="shared" si="1"/>
        <v>Covered</v>
      </c>
      <c r="U15" s="561">
        <v>42376</v>
      </c>
      <c r="V15" s="1143"/>
      <c r="W15" s="558" t="s">
        <v>152</v>
      </c>
      <c r="X15" s="1147">
        <v>0</v>
      </c>
      <c r="Y15" s="1148">
        <v>0</v>
      </c>
      <c r="Z15" s="1150" t="s">
        <v>43</v>
      </c>
      <c r="AA15" s="627">
        <v>0</v>
      </c>
      <c r="AB15" s="473">
        <v>0</v>
      </c>
      <c r="AC15" s="473">
        <v>0</v>
      </c>
      <c r="AD15" s="473">
        <v>2</v>
      </c>
      <c r="AE15" s="617"/>
      <c r="AF15" s="599">
        <v>0</v>
      </c>
      <c r="AG15" s="330">
        <v>0</v>
      </c>
      <c r="AH15" s="630">
        <f t="shared" si="2"/>
        <v>0</v>
      </c>
      <c r="AI15" s="574">
        <f t="shared" si="3"/>
        <v>0</v>
      </c>
      <c r="AJ15" s="605">
        <f t="shared" si="4"/>
        <v>0</v>
      </c>
      <c r="AK15" s="574">
        <f t="shared" si="5"/>
        <v>0</v>
      </c>
      <c r="AL15" s="605">
        <f t="shared" si="6"/>
        <v>0</v>
      </c>
      <c r="AM15" s="574">
        <f t="shared" si="7"/>
        <v>0</v>
      </c>
      <c r="AN15" s="605" t="str">
        <f t="shared" si="8"/>
        <v>0-10%</v>
      </c>
      <c r="AO15" s="605">
        <f t="shared" si="9"/>
        <v>0</v>
      </c>
      <c r="AP15" s="574">
        <f t="shared" si="10"/>
        <v>0</v>
      </c>
      <c r="AQ15" s="574" t="str">
        <f t="shared" si="11"/>
        <v>yes</v>
      </c>
      <c r="AR15" s="574">
        <f t="shared" si="12"/>
        <v>7.1760000000000002</v>
      </c>
      <c r="AS15" s="574">
        <f t="shared" si="13"/>
        <v>0</v>
      </c>
      <c r="AT15" s="574">
        <f t="shared" si="14"/>
        <v>0</v>
      </c>
      <c r="AU15" s="1123"/>
      <c r="AV15" s="635">
        <f t="shared" si="15"/>
        <v>0</v>
      </c>
      <c r="AW15" s="638"/>
      <c r="AX15" s="740">
        <v>0</v>
      </c>
      <c r="AY15" s="428">
        <v>116</v>
      </c>
      <c r="AZ15" s="428">
        <v>42</v>
      </c>
      <c r="BA15" s="473" t="s">
        <v>963</v>
      </c>
      <c r="BB15" s="548">
        <f t="shared" si="16"/>
        <v>1</v>
      </c>
      <c r="BC15" s="606">
        <f t="shared" si="17"/>
        <v>1794</v>
      </c>
      <c r="BD15" s="548">
        <f t="shared" si="18"/>
        <v>1</v>
      </c>
      <c r="BE15" s="606">
        <f t="shared" si="19"/>
        <v>1794</v>
      </c>
      <c r="BF15" s="549">
        <f t="shared" si="20"/>
        <v>0</v>
      </c>
      <c r="BG15" s="606">
        <f t="shared" si="21"/>
        <v>0</v>
      </c>
      <c r="BH15" s="600" t="s">
        <v>475</v>
      </c>
      <c r="BI15" s="600" t="s">
        <v>475</v>
      </c>
      <c r="BJ15" s="606">
        <f t="shared" si="22"/>
        <v>0</v>
      </c>
      <c r="BK15" s="606" t="str">
        <f t="shared" si="23"/>
        <v>n/a</v>
      </c>
      <c r="BL15" s="428" t="s">
        <v>475</v>
      </c>
      <c r="BM15" s="548" t="str">
        <f t="shared" si="24"/>
        <v>n/a</v>
      </c>
      <c r="BN15" s="606" t="str">
        <f t="shared" si="25"/>
        <v>n/a</v>
      </c>
      <c r="BO15" s="606" t="str">
        <f t="shared" si="26"/>
        <v>n/a</v>
      </c>
      <c r="BP15" s="578" t="s">
        <v>475</v>
      </c>
      <c r="BQ15" s="606" t="s">
        <v>475</v>
      </c>
      <c r="BR15" s="519" t="s">
        <v>475</v>
      </c>
      <c r="BS15" s="548" t="str">
        <f t="shared" si="27"/>
        <v>n/a</v>
      </c>
      <c r="BT15" s="607" t="str">
        <f t="shared" si="28"/>
        <v>n/a</v>
      </c>
      <c r="BU15" s="325">
        <v>1</v>
      </c>
      <c r="BV15" s="650" t="str">
        <f t="shared" si="29"/>
        <v>n/a</v>
      </c>
      <c r="BW15" s="325" t="s">
        <v>567</v>
      </c>
      <c r="BX15" s="602" t="s">
        <v>475</v>
      </c>
      <c r="BY15" s="1189"/>
      <c r="BZ15" s="1189"/>
      <c r="CA15" s="608" t="str">
        <f t="shared" si="30"/>
        <v>n/a</v>
      </c>
      <c r="CB15" s="428">
        <v>0</v>
      </c>
      <c r="CC15" s="428">
        <v>0</v>
      </c>
      <c r="CD15" s="609" t="str">
        <f t="shared" si="31"/>
        <v>n/a</v>
      </c>
      <c r="CE15" s="610" t="str">
        <f t="shared" si="32"/>
        <v>n/a</v>
      </c>
      <c r="CF15" s="609" t="str">
        <f t="shared" si="33"/>
        <v>n/a</v>
      </c>
      <c r="CG15" s="658" t="str">
        <f t="shared" si="34"/>
        <v>n/a</v>
      </c>
      <c r="CH15" s="328" t="s">
        <v>809</v>
      </c>
      <c r="CI15" s="330">
        <v>0</v>
      </c>
      <c r="CJ15" s="664">
        <f t="shared" si="35"/>
        <v>0</v>
      </c>
      <c r="CK15" s="328">
        <v>0</v>
      </c>
      <c r="CL15" s="611" t="s">
        <v>671</v>
      </c>
      <c r="CM15" s="428" t="s">
        <v>475</v>
      </c>
      <c r="CN15" s="428" t="s">
        <v>475</v>
      </c>
      <c r="CO15" s="428" t="s">
        <v>38</v>
      </c>
      <c r="CP15" s="570" t="s">
        <v>170</v>
      </c>
      <c r="CQ15" s="672"/>
      <c r="CS15" s="1069">
        <f t="shared" si="36"/>
        <v>0</v>
      </c>
      <c r="CT15" s="1069">
        <f t="shared" si="37"/>
        <v>0</v>
      </c>
      <c r="CU15" s="1066">
        <f t="shared" si="38"/>
        <v>0</v>
      </c>
      <c r="CV15" s="1066">
        <f t="shared" si="39"/>
        <v>0</v>
      </c>
      <c r="CW15" s="1082">
        <f t="shared" si="40"/>
        <v>4.4850000000000003</v>
      </c>
      <c r="CX15" s="1082">
        <f t="shared" si="41"/>
        <v>7.1760000000000002</v>
      </c>
    </row>
    <row r="16" spans="1:102" s="322" customFormat="1" ht="21" customHeight="1">
      <c r="A16" s="358"/>
      <c r="B16" s="402" t="s">
        <v>817</v>
      </c>
      <c r="C16" s="603" t="s">
        <v>1000</v>
      </c>
      <c r="D16" s="603" t="s">
        <v>1001</v>
      </c>
      <c r="E16" s="1058" t="s">
        <v>1003</v>
      </c>
      <c r="F16" s="728" t="s">
        <v>756</v>
      </c>
      <c r="G16" s="1051"/>
      <c r="H16" s="1051"/>
      <c r="I16" s="1120" t="s">
        <v>33</v>
      </c>
      <c r="J16" s="560" t="s">
        <v>34</v>
      </c>
      <c r="K16" s="604" t="s">
        <v>607</v>
      </c>
      <c r="L16" s="585">
        <v>0</v>
      </c>
      <c r="M16" s="473">
        <v>0</v>
      </c>
      <c r="N16" s="616">
        <v>1337</v>
      </c>
      <c r="O16" s="328"/>
      <c r="P16" s="718" t="str">
        <f t="shared" si="0"/>
        <v>3. Large</v>
      </c>
      <c r="Q16" s="965" t="s">
        <v>926</v>
      </c>
      <c r="R16" s="1138"/>
      <c r="S16" s="622" t="s">
        <v>143</v>
      </c>
      <c r="T16" s="323" t="str">
        <f t="shared" si="1"/>
        <v>Covered</v>
      </c>
      <c r="U16" s="561">
        <v>42376</v>
      </c>
      <c r="V16" s="1143"/>
      <c r="W16" s="558" t="s">
        <v>152</v>
      </c>
      <c r="X16" s="627">
        <v>0</v>
      </c>
      <c r="Y16" s="473">
        <v>0</v>
      </c>
      <c r="Z16" s="617" t="s">
        <v>43</v>
      </c>
      <c r="AA16" s="627">
        <v>0</v>
      </c>
      <c r="AB16" s="473">
        <v>0</v>
      </c>
      <c r="AC16" s="473">
        <v>0</v>
      </c>
      <c r="AD16" s="473">
        <v>2</v>
      </c>
      <c r="AE16" s="617"/>
      <c r="AF16" s="599">
        <v>0</v>
      </c>
      <c r="AG16" s="330">
        <v>0</v>
      </c>
      <c r="AH16" s="630">
        <f t="shared" si="2"/>
        <v>0</v>
      </c>
      <c r="AI16" s="574">
        <f t="shared" si="3"/>
        <v>0</v>
      </c>
      <c r="AJ16" s="605">
        <f t="shared" si="4"/>
        <v>0</v>
      </c>
      <c r="AK16" s="574">
        <f t="shared" si="5"/>
        <v>0</v>
      </c>
      <c r="AL16" s="605">
        <f t="shared" si="6"/>
        <v>0</v>
      </c>
      <c r="AM16" s="574">
        <f t="shared" si="7"/>
        <v>0</v>
      </c>
      <c r="AN16" s="605" t="str">
        <f t="shared" si="8"/>
        <v>0-10%</v>
      </c>
      <c r="AO16" s="605">
        <f t="shared" si="9"/>
        <v>0</v>
      </c>
      <c r="AP16" s="574">
        <f t="shared" si="10"/>
        <v>0</v>
      </c>
      <c r="AQ16" s="574" t="str">
        <f t="shared" si="11"/>
        <v>yes</v>
      </c>
      <c r="AR16" s="574">
        <f t="shared" si="12"/>
        <v>5.3479999999999999</v>
      </c>
      <c r="AS16" s="574">
        <f t="shared" si="13"/>
        <v>0</v>
      </c>
      <c r="AT16" s="574">
        <f t="shared" si="14"/>
        <v>0</v>
      </c>
      <c r="AU16" s="1123"/>
      <c r="AV16" s="635">
        <f t="shared" si="15"/>
        <v>0</v>
      </c>
      <c r="AW16" s="638"/>
      <c r="AX16" s="740">
        <v>0</v>
      </c>
      <c r="AY16" s="428">
        <v>22</v>
      </c>
      <c r="AZ16" s="428">
        <v>42</v>
      </c>
      <c r="BA16" s="473" t="s">
        <v>526</v>
      </c>
      <c r="BB16" s="548">
        <f t="shared" si="16"/>
        <v>0.69109947643979053</v>
      </c>
      <c r="BC16" s="606">
        <f t="shared" si="17"/>
        <v>923.99999999999989</v>
      </c>
      <c r="BD16" s="548">
        <f t="shared" si="18"/>
        <v>0.69109947643979053</v>
      </c>
      <c r="BE16" s="606">
        <f t="shared" si="19"/>
        <v>923.99999999999989</v>
      </c>
      <c r="BF16" s="549">
        <f t="shared" si="20"/>
        <v>0</v>
      </c>
      <c r="BG16" s="606">
        <f t="shared" si="21"/>
        <v>0</v>
      </c>
      <c r="BH16" s="600" t="s">
        <v>475</v>
      </c>
      <c r="BI16" s="600" t="s">
        <v>475</v>
      </c>
      <c r="BJ16" s="606">
        <f t="shared" si="22"/>
        <v>0</v>
      </c>
      <c r="BK16" s="606" t="str">
        <f t="shared" si="23"/>
        <v>n/a</v>
      </c>
      <c r="BL16" s="428" t="s">
        <v>475</v>
      </c>
      <c r="BM16" s="548" t="str">
        <f t="shared" si="24"/>
        <v>n/a</v>
      </c>
      <c r="BN16" s="606" t="str">
        <f t="shared" si="25"/>
        <v>n/a</v>
      </c>
      <c r="BO16" s="606" t="str">
        <f t="shared" si="26"/>
        <v>n/a</v>
      </c>
      <c r="BP16" s="578" t="s">
        <v>475</v>
      </c>
      <c r="BQ16" s="606" t="s">
        <v>475</v>
      </c>
      <c r="BR16" s="519" t="s">
        <v>475</v>
      </c>
      <c r="BS16" s="548" t="str">
        <f t="shared" si="27"/>
        <v>n/a</v>
      </c>
      <c r="BT16" s="607" t="str">
        <f t="shared" si="28"/>
        <v>n/a</v>
      </c>
      <c r="BU16" s="325">
        <v>1</v>
      </c>
      <c r="BV16" s="650" t="str">
        <f t="shared" si="29"/>
        <v>n/a</v>
      </c>
      <c r="BW16" s="325" t="s">
        <v>567</v>
      </c>
      <c r="BX16" s="602" t="s">
        <v>475</v>
      </c>
      <c r="BY16" s="1189"/>
      <c r="BZ16" s="1189"/>
      <c r="CA16" s="608" t="str">
        <f t="shared" si="30"/>
        <v>n/a</v>
      </c>
      <c r="CB16" s="428">
        <v>0</v>
      </c>
      <c r="CC16" s="428">
        <v>0</v>
      </c>
      <c r="CD16" s="609" t="str">
        <f t="shared" si="31"/>
        <v>n/a</v>
      </c>
      <c r="CE16" s="610" t="str">
        <f t="shared" si="32"/>
        <v>n/a</v>
      </c>
      <c r="CF16" s="609" t="str">
        <f t="shared" si="33"/>
        <v>n/a</v>
      </c>
      <c r="CG16" s="658" t="str">
        <f t="shared" si="34"/>
        <v>n/a</v>
      </c>
      <c r="CH16" s="328" t="s">
        <v>809</v>
      </c>
      <c r="CI16" s="330">
        <v>0.8</v>
      </c>
      <c r="CJ16" s="664">
        <f t="shared" si="35"/>
        <v>1069.6000000000001</v>
      </c>
      <c r="CK16" s="328">
        <v>0</v>
      </c>
      <c r="CL16" s="611" t="s">
        <v>671</v>
      </c>
      <c r="CM16" s="428" t="s">
        <v>475</v>
      </c>
      <c r="CN16" s="428" t="s">
        <v>475</v>
      </c>
      <c r="CO16" s="428" t="s">
        <v>38</v>
      </c>
      <c r="CP16" s="570" t="s">
        <v>170</v>
      </c>
      <c r="CQ16" s="672"/>
      <c r="CS16" s="1069">
        <f t="shared" si="36"/>
        <v>0</v>
      </c>
      <c r="CT16" s="1069">
        <f t="shared" si="37"/>
        <v>0</v>
      </c>
      <c r="CU16" s="1066">
        <f t="shared" si="38"/>
        <v>0</v>
      </c>
      <c r="CV16" s="1066">
        <f t="shared" si="39"/>
        <v>0</v>
      </c>
      <c r="CW16" s="1082">
        <f t="shared" si="40"/>
        <v>3.3424999999999998</v>
      </c>
      <c r="CX16" s="1082">
        <f t="shared" si="41"/>
        <v>5.3479999999999999</v>
      </c>
    </row>
    <row r="17" spans="1:102" s="322" customFormat="1" ht="21" customHeight="1">
      <c r="A17" s="358"/>
      <c r="B17" s="402" t="s">
        <v>817</v>
      </c>
      <c r="C17" s="603" t="s">
        <v>1000</v>
      </c>
      <c r="D17" s="603" t="s">
        <v>1001</v>
      </c>
      <c r="E17" s="1058" t="s">
        <v>1004</v>
      </c>
      <c r="F17" s="728" t="s">
        <v>757</v>
      </c>
      <c r="G17" s="1051"/>
      <c r="H17" s="1051"/>
      <c r="I17" s="1120" t="s">
        <v>33</v>
      </c>
      <c r="J17" s="560" t="s">
        <v>45</v>
      </c>
      <c r="K17" s="604" t="s">
        <v>607</v>
      </c>
      <c r="L17" s="585">
        <v>0</v>
      </c>
      <c r="M17" s="473">
        <v>0</v>
      </c>
      <c r="N17" s="616">
        <v>563</v>
      </c>
      <c r="O17" s="328"/>
      <c r="P17" s="718" t="str">
        <f t="shared" si="0"/>
        <v>2. Medium</v>
      </c>
      <c r="Q17" s="965" t="s">
        <v>926</v>
      </c>
      <c r="R17" s="1138"/>
      <c r="S17" s="622" t="s">
        <v>143</v>
      </c>
      <c r="T17" s="323" t="str">
        <f t="shared" si="1"/>
        <v>Covered</v>
      </c>
      <c r="U17" s="561">
        <v>42376</v>
      </c>
      <c r="V17" s="1143"/>
      <c r="W17" s="558" t="s">
        <v>152</v>
      </c>
      <c r="X17" s="627">
        <v>0</v>
      </c>
      <c r="Y17" s="473">
        <v>0</v>
      </c>
      <c r="Z17" s="617" t="s">
        <v>43</v>
      </c>
      <c r="AA17" s="627">
        <v>0</v>
      </c>
      <c r="AB17" s="473">
        <v>0</v>
      </c>
      <c r="AC17" s="473">
        <v>0</v>
      </c>
      <c r="AD17" s="473">
        <v>3</v>
      </c>
      <c r="AE17" s="617"/>
      <c r="AF17" s="599">
        <v>0</v>
      </c>
      <c r="AG17" s="330">
        <v>0</v>
      </c>
      <c r="AH17" s="630">
        <f t="shared" si="2"/>
        <v>0</v>
      </c>
      <c r="AI17" s="574">
        <f t="shared" si="3"/>
        <v>0</v>
      </c>
      <c r="AJ17" s="605">
        <f t="shared" si="4"/>
        <v>0</v>
      </c>
      <c r="AK17" s="574">
        <f t="shared" si="5"/>
        <v>0</v>
      </c>
      <c r="AL17" s="605">
        <f t="shared" si="6"/>
        <v>0</v>
      </c>
      <c r="AM17" s="574">
        <f t="shared" si="7"/>
        <v>0</v>
      </c>
      <c r="AN17" s="605" t="str">
        <f t="shared" si="8"/>
        <v>0-10%</v>
      </c>
      <c r="AO17" s="605">
        <f t="shared" si="9"/>
        <v>0</v>
      </c>
      <c r="AP17" s="574">
        <f t="shared" si="10"/>
        <v>0</v>
      </c>
      <c r="AQ17" s="574" t="str">
        <f t="shared" si="11"/>
        <v>yes</v>
      </c>
      <c r="AR17" s="574">
        <f t="shared" si="12"/>
        <v>2.2519999999999998</v>
      </c>
      <c r="AS17" s="574">
        <f t="shared" si="13"/>
        <v>0</v>
      </c>
      <c r="AT17" s="574">
        <f t="shared" si="14"/>
        <v>0</v>
      </c>
      <c r="AU17" s="1123"/>
      <c r="AV17" s="635">
        <f t="shared" si="15"/>
        <v>0</v>
      </c>
      <c r="AW17" s="638"/>
      <c r="AX17" s="740">
        <v>0</v>
      </c>
      <c r="AY17" s="428">
        <v>13</v>
      </c>
      <c r="AZ17" s="428">
        <v>42</v>
      </c>
      <c r="BA17" s="473" t="s">
        <v>963</v>
      </c>
      <c r="BB17" s="548">
        <f t="shared" si="16"/>
        <v>0.96980461811722918</v>
      </c>
      <c r="BC17" s="606">
        <f t="shared" si="17"/>
        <v>546</v>
      </c>
      <c r="BD17" s="548">
        <f t="shared" si="18"/>
        <v>0.96980461811722918</v>
      </c>
      <c r="BE17" s="606">
        <f t="shared" si="19"/>
        <v>546</v>
      </c>
      <c r="BF17" s="549">
        <f t="shared" si="20"/>
        <v>0</v>
      </c>
      <c r="BG17" s="606">
        <f t="shared" si="21"/>
        <v>0</v>
      </c>
      <c r="BH17" s="600" t="s">
        <v>475</v>
      </c>
      <c r="BI17" s="600" t="s">
        <v>475</v>
      </c>
      <c r="BJ17" s="606">
        <f t="shared" si="22"/>
        <v>0</v>
      </c>
      <c r="BK17" s="606" t="str">
        <f t="shared" si="23"/>
        <v>n/a</v>
      </c>
      <c r="BL17" s="428" t="s">
        <v>475</v>
      </c>
      <c r="BM17" s="548" t="str">
        <f t="shared" si="24"/>
        <v>n/a</v>
      </c>
      <c r="BN17" s="606" t="str">
        <f t="shared" si="25"/>
        <v>n/a</v>
      </c>
      <c r="BO17" s="606" t="str">
        <f t="shared" si="26"/>
        <v>n/a</v>
      </c>
      <c r="BP17" s="578" t="s">
        <v>475</v>
      </c>
      <c r="BQ17" s="606" t="s">
        <v>475</v>
      </c>
      <c r="BR17" s="519" t="s">
        <v>475</v>
      </c>
      <c r="BS17" s="548" t="str">
        <f t="shared" si="27"/>
        <v>n/a</v>
      </c>
      <c r="BT17" s="607" t="str">
        <f t="shared" si="28"/>
        <v>n/a</v>
      </c>
      <c r="BU17" s="325">
        <v>1</v>
      </c>
      <c r="BV17" s="650" t="str">
        <f t="shared" si="29"/>
        <v>n/a</v>
      </c>
      <c r="BW17" s="325" t="s">
        <v>567</v>
      </c>
      <c r="BX17" s="602" t="s">
        <v>475</v>
      </c>
      <c r="BY17" s="1189"/>
      <c r="BZ17" s="1189"/>
      <c r="CA17" s="608" t="str">
        <f t="shared" si="30"/>
        <v>n/a</v>
      </c>
      <c r="CB17" s="428">
        <v>0</v>
      </c>
      <c r="CC17" s="428">
        <v>0</v>
      </c>
      <c r="CD17" s="609" t="str">
        <f t="shared" si="31"/>
        <v>n/a</v>
      </c>
      <c r="CE17" s="610" t="str">
        <f t="shared" si="32"/>
        <v>n/a</v>
      </c>
      <c r="CF17" s="609" t="str">
        <f t="shared" si="33"/>
        <v>n/a</v>
      </c>
      <c r="CG17" s="658" t="str">
        <f t="shared" si="34"/>
        <v>n/a</v>
      </c>
      <c r="CH17" s="328" t="s">
        <v>809</v>
      </c>
      <c r="CI17" s="330">
        <v>0.2</v>
      </c>
      <c r="CJ17" s="664">
        <f t="shared" si="35"/>
        <v>112.60000000000001</v>
      </c>
      <c r="CK17" s="328">
        <v>2</v>
      </c>
      <c r="CL17" s="611" t="s">
        <v>671</v>
      </c>
      <c r="CM17" s="428" t="s">
        <v>475</v>
      </c>
      <c r="CN17" s="428" t="s">
        <v>475</v>
      </c>
      <c r="CO17" s="428" t="s">
        <v>38</v>
      </c>
      <c r="CP17" s="570" t="s">
        <v>170</v>
      </c>
      <c r="CQ17" s="672"/>
      <c r="CS17" s="1069">
        <f t="shared" si="36"/>
        <v>0</v>
      </c>
      <c r="CT17" s="1069">
        <f t="shared" si="37"/>
        <v>0</v>
      </c>
      <c r="CU17" s="1066">
        <f t="shared" si="38"/>
        <v>0</v>
      </c>
      <c r="CV17" s="1066">
        <f t="shared" si="39"/>
        <v>0</v>
      </c>
      <c r="CW17" s="1082">
        <f t="shared" si="40"/>
        <v>1.4075</v>
      </c>
      <c r="CX17" s="1082">
        <f t="shared" si="41"/>
        <v>2.2519999999999998</v>
      </c>
    </row>
    <row r="18" spans="1:102" s="322" customFormat="1" ht="21" customHeight="1">
      <c r="A18" s="358"/>
      <c r="B18" s="402" t="s">
        <v>817</v>
      </c>
      <c r="C18" s="603" t="s">
        <v>1007</v>
      </c>
      <c r="D18" s="603" t="s">
        <v>1008</v>
      </c>
      <c r="E18" s="1058" t="s">
        <v>1009</v>
      </c>
      <c r="F18" s="728" t="s">
        <v>760</v>
      </c>
      <c r="G18" s="1051"/>
      <c r="H18" s="1051"/>
      <c r="I18" s="1120" t="s">
        <v>33</v>
      </c>
      <c r="J18" s="560" t="s">
        <v>34</v>
      </c>
      <c r="K18" s="604" t="s">
        <v>607</v>
      </c>
      <c r="L18" s="585">
        <v>0</v>
      </c>
      <c r="M18" s="473">
        <v>0</v>
      </c>
      <c r="N18" s="616">
        <v>260</v>
      </c>
      <c r="O18" s="328"/>
      <c r="P18" s="718" t="str">
        <f t="shared" si="0"/>
        <v>1. Small</v>
      </c>
      <c r="Q18" s="965" t="s">
        <v>926</v>
      </c>
      <c r="R18" s="1138"/>
      <c r="S18" s="622" t="s">
        <v>143</v>
      </c>
      <c r="T18" s="323" t="str">
        <f t="shared" si="1"/>
        <v>Covered</v>
      </c>
      <c r="U18" s="561">
        <v>42376</v>
      </c>
      <c r="V18" s="1143"/>
      <c r="W18" s="558" t="s">
        <v>152</v>
      </c>
      <c r="X18" s="627">
        <v>0</v>
      </c>
      <c r="Y18" s="473">
        <v>0</v>
      </c>
      <c r="Z18" s="617" t="s">
        <v>43</v>
      </c>
      <c r="AA18" s="627">
        <v>0</v>
      </c>
      <c r="AB18" s="473">
        <v>0</v>
      </c>
      <c r="AC18" s="473">
        <v>0</v>
      </c>
      <c r="AD18" s="473">
        <v>1</v>
      </c>
      <c r="AE18" s="617"/>
      <c r="AF18" s="599">
        <v>0</v>
      </c>
      <c r="AG18" s="330">
        <v>0</v>
      </c>
      <c r="AH18" s="630">
        <f t="shared" si="2"/>
        <v>0</v>
      </c>
      <c r="AI18" s="574">
        <f t="shared" si="3"/>
        <v>0</v>
      </c>
      <c r="AJ18" s="605">
        <f t="shared" si="4"/>
        <v>0</v>
      </c>
      <c r="AK18" s="574">
        <f t="shared" si="5"/>
        <v>0</v>
      </c>
      <c r="AL18" s="605">
        <f t="shared" si="6"/>
        <v>0</v>
      </c>
      <c r="AM18" s="574">
        <f t="shared" si="7"/>
        <v>0</v>
      </c>
      <c r="AN18" s="605" t="str">
        <f t="shared" si="8"/>
        <v>0-10%</v>
      </c>
      <c r="AO18" s="605">
        <f t="shared" si="9"/>
        <v>0</v>
      </c>
      <c r="AP18" s="574">
        <f t="shared" si="10"/>
        <v>0</v>
      </c>
      <c r="AQ18" s="574" t="str">
        <f t="shared" si="11"/>
        <v>yes</v>
      </c>
      <c r="AR18" s="574">
        <f t="shared" si="12"/>
        <v>1.04</v>
      </c>
      <c r="AS18" s="574">
        <f t="shared" si="13"/>
        <v>0</v>
      </c>
      <c r="AT18" s="574">
        <f t="shared" si="14"/>
        <v>0</v>
      </c>
      <c r="AU18" s="1123"/>
      <c r="AV18" s="635">
        <f t="shared" si="15"/>
        <v>0</v>
      </c>
      <c r="AW18" s="638"/>
      <c r="AX18" s="740">
        <v>0</v>
      </c>
      <c r="AY18" s="428">
        <v>6</v>
      </c>
      <c r="AZ18" s="428">
        <v>42</v>
      </c>
      <c r="BA18" s="473" t="s">
        <v>526</v>
      </c>
      <c r="BB18" s="548">
        <f t="shared" si="16"/>
        <v>0.96923076923076923</v>
      </c>
      <c r="BC18" s="606">
        <f t="shared" si="17"/>
        <v>252</v>
      </c>
      <c r="BD18" s="548">
        <f t="shared" si="18"/>
        <v>0.96923076923076923</v>
      </c>
      <c r="BE18" s="606">
        <f t="shared" si="19"/>
        <v>252</v>
      </c>
      <c r="BF18" s="549">
        <f t="shared" si="20"/>
        <v>0</v>
      </c>
      <c r="BG18" s="606">
        <f t="shared" si="21"/>
        <v>0</v>
      </c>
      <c r="BH18" s="600" t="s">
        <v>475</v>
      </c>
      <c r="BI18" s="600" t="s">
        <v>475</v>
      </c>
      <c r="BJ18" s="606">
        <f t="shared" si="22"/>
        <v>0</v>
      </c>
      <c r="BK18" s="606" t="str">
        <f t="shared" si="23"/>
        <v>n/a</v>
      </c>
      <c r="BL18" s="428" t="s">
        <v>475</v>
      </c>
      <c r="BM18" s="548" t="str">
        <f t="shared" si="24"/>
        <v>n/a</v>
      </c>
      <c r="BN18" s="606" t="str">
        <f t="shared" si="25"/>
        <v>n/a</v>
      </c>
      <c r="BO18" s="606" t="str">
        <f t="shared" si="26"/>
        <v>n/a</v>
      </c>
      <c r="BP18" s="578" t="s">
        <v>475</v>
      </c>
      <c r="BQ18" s="606" t="s">
        <v>475</v>
      </c>
      <c r="BR18" s="519" t="s">
        <v>475</v>
      </c>
      <c r="BS18" s="548" t="str">
        <f t="shared" si="27"/>
        <v>n/a</v>
      </c>
      <c r="BT18" s="607" t="str">
        <f t="shared" si="28"/>
        <v>n/a</v>
      </c>
      <c r="BU18" s="325">
        <v>1</v>
      </c>
      <c r="BV18" s="650" t="str">
        <f t="shared" si="29"/>
        <v>n/a</v>
      </c>
      <c r="BW18" s="325" t="s">
        <v>567</v>
      </c>
      <c r="BX18" s="602" t="s">
        <v>475</v>
      </c>
      <c r="BY18" s="1189"/>
      <c r="BZ18" s="1189"/>
      <c r="CA18" s="608" t="str">
        <f t="shared" si="30"/>
        <v>n/a</v>
      </c>
      <c r="CB18" s="428">
        <v>0</v>
      </c>
      <c r="CC18" s="428">
        <v>0</v>
      </c>
      <c r="CD18" s="609" t="str">
        <f t="shared" si="31"/>
        <v>n/a</v>
      </c>
      <c r="CE18" s="610" t="str">
        <f t="shared" si="32"/>
        <v>n/a</v>
      </c>
      <c r="CF18" s="609" t="str">
        <f t="shared" si="33"/>
        <v>n/a</v>
      </c>
      <c r="CG18" s="658" t="str">
        <f t="shared" si="34"/>
        <v>n/a</v>
      </c>
      <c r="CH18" s="328" t="s">
        <v>809</v>
      </c>
      <c r="CI18" s="330">
        <v>1</v>
      </c>
      <c r="CJ18" s="664">
        <f t="shared" si="35"/>
        <v>260</v>
      </c>
      <c r="CK18" s="328">
        <v>3</v>
      </c>
      <c r="CL18" s="611" t="s">
        <v>671</v>
      </c>
      <c r="CM18" s="428" t="s">
        <v>475</v>
      </c>
      <c r="CN18" s="428" t="s">
        <v>475</v>
      </c>
      <c r="CO18" s="428" t="s">
        <v>38</v>
      </c>
      <c r="CP18" s="570" t="s">
        <v>170</v>
      </c>
      <c r="CQ18" s="672"/>
      <c r="CS18" s="1069">
        <f t="shared" si="36"/>
        <v>0</v>
      </c>
      <c r="CT18" s="1069">
        <f t="shared" si="37"/>
        <v>0</v>
      </c>
      <c r="CU18" s="1066">
        <f t="shared" si="38"/>
        <v>0</v>
      </c>
      <c r="CV18" s="1066">
        <f t="shared" si="39"/>
        <v>0</v>
      </c>
      <c r="CW18" s="1082">
        <f t="shared" si="40"/>
        <v>0.65</v>
      </c>
      <c r="CX18" s="1082">
        <f t="shared" si="41"/>
        <v>1.04</v>
      </c>
    </row>
    <row r="19" spans="1:102" s="322" customFormat="1" ht="21" customHeight="1">
      <c r="A19" s="358"/>
      <c r="B19" s="402" t="s">
        <v>817</v>
      </c>
      <c r="C19" s="603" t="s">
        <v>1055</v>
      </c>
      <c r="D19" s="603" t="s">
        <v>1056</v>
      </c>
      <c r="E19" s="1058" t="s">
        <v>1058</v>
      </c>
      <c r="F19" s="1083" t="s">
        <v>819</v>
      </c>
      <c r="G19" s="1051"/>
      <c r="H19" s="1051"/>
      <c r="I19" s="560" t="s">
        <v>33</v>
      </c>
      <c r="J19" s="560" t="s">
        <v>820</v>
      </c>
      <c r="K19" s="604" t="s">
        <v>607</v>
      </c>
      <c r="L19" s="585">
        <v>0</v>
      </c>
      <c r="M19" s="473">
        <v>0</v>
      </c>
      <c r="N19" s="714">
        <v>374</v>
      </c>
      <c r="O19" s="328"/>
      <c r="P19" s="718" t="str">
        <f t="shared" si="0"/>
        <v>1. Small</v>
      </c>
      <c r="Q19" s="965" t="s">
        <v>926</v>
      </c>
      <c r="R19" s="1138"/>
      <c r="S19" s="622" t="s">
        <v>811</v>
      </c>
      <c r="T19" s="323" t="str">
        <f t="shared" si="1"/>
        <v>Covered</v>
      </c>
      <c r="U19" s="561">
        <v>42376</v>
      </c>
      <c r="V19" s="1143"/>
      <c r="W19" s="558" t="s">
        <v>152</v>
      </c>
      <c r="X19" s="627">
        <v>0</v>
      </c>
      <c r="Y19" s="473">
        <v>0</v>
      </c>
      <c r="Z19" s="617" t="s">
        <v>43</v>
      </c>
      <c r="AA19" s="627">
        <v>0</v>
      </c>
      <c r="AB19" s="736">
        <v>1</v>
      </c>
      <c r="AC19" s="473">
        <v>0</v>
      </c>
      <c r="AD19" s="473">
        <v>2</v>
      </c>
      <c r="AE19" s="617"/>
      <c r="AF19" s="599">
        <v>0</v>
      </c>
      <c r="AG19" s="325">
        <v>0</v>
      </c>
      <c r="AH19" s="630">
        <f t="shared" si="2"/>
        <v>0.66844919786096257</v>
      </c>
      <c r="AI19" s="574">
        <f t="shared" si="3"/>
        <v>250</v>
      </c>
      <c r="AJ19" s="605">
        <f t="shared" si="4"/>
        <v>0.66844919786096257</v>
      </c>
      <c r="AK19" s="574">
        <f t="shared" si="5"/>
        <v>250</v>
      </c>
      <c r="AL19" s="605">
        <f t="shared" si="6"/>
        <v>0.66844919786096257</v>
      </c>
      <c r="AM19" s="574">
        <f t="shared" si="7"/>
        <v>250</v>
      </c>
      <c r="AN19" s="605" t="str">
        <f t="shared" si="8"/>
        <v>60-80%</v>
      </c>
      <c r="AO19" s="605">
        <f t="shared" si="9"/>
        <v>0</v>
      </c>
      <c r="AP19" s="574">
        <f t="shared" si="10"/>
        <v>0</v>
      </c>
      <c r="AQ19" s="574" t="str">
        <f t="shared" si="11"/>
        <v>yes</v>
      </c>
      <c r="AR19" s="574">
        <f t="shared" si="12"/>
        <v>0.496</v>
      </c>
      <c r="AS19" s="574">
        <f t="shared" si="13"/>
        <v>0</v>
      </c>
      <c r="AT19" s="574">
        <f t="shared" si="14"/>
        <v>0</v>
      </c>
      <c r="AU19" s="330">
        <v>0.9</v>
      </c>
      <c r="AV19" s="635">
        <f t="shared" si="15"/>
        <v>336.6</v>
      </c>
      <c r="AW19" s="1155" t="s">
        <v>884</v>
      </c>
      <c r="AX19" s="740">
        <v>0</v>
      </c>
      <c r="AY19" s="428">
        <v>2</v>
      </c>
      <c r="AZ19" s="428">
        <v>42</v>
      </c>
      <c r="BA19" s="473" t="s">
        <v>963</v>
      </c>
      <c r="BB19" s="548">
        <f t="shared" si="16"/>
        <v>0.22459893048128343</v>
      </c>
      <c r="BC19" s="606">
        <f t="shared" si="17"/>
        <v>84</v>
      </c>
      <c r="BD19" s="548">
        <f t="shared" si="18"/>
        <v>0.22459893048128343</v>
      </c>
      <c r="BE19" s="606">
        <f t="shared" si="19"/>
        <v>84</v>
      </c>
      <c r="BF19" s="549">
        <f t="shared" si="20"/>
        <v>0</v>
      </c>
      <c r="BG19" s="606">
        <f t="shared" si="21"/>
        <v>0</v>
      </c>
      <c r="BH19" s="600" t="s">
        <v>475</v>
      </c>
      <c r="BI19" s="600" t="s">
        <v>475</v>
      </c>
      <c r="BJ19" s="606">
        <f t="shared" si="22"/>
        <v>0</v>
      </c>
      <c r="BK19" s="606" t="str">
        <f t="shared" si="23"/>
        <v>n/a</v>
      </c>
      <c r="BL19" s="428" t="s">
        <v>475</v>
      </c>
      <c r="BM19" s="548" t="str">
        <f t="shared" si="24"/>
        <v>n/a</v>
      </c>
      <c r="BN19" s="606" t="str">
        <f t="shared" si="25"/>
        <v>n/a</v>
      </c>
      <c r="BO19" s="606" t="str">
        <f t="shared" si="26"/>
        <v>n/a</v>
      </c>
      <c r="BP19" s="428" t="s">
        <v>475</v>
      </c>
      <c r="BQ19" s="606" t="s">
        <v>475</v>
      </c>
      <c r="BR19" s="428" t="s">
        <v>475</v>
      </c>
      <c r="BS19" s="548" t="str">
        <f t="shared" si="27"/>
        <v>n/a</v>
      </c>
      <c r="BT19" s="607" t="str">
        <f t="shared" si="28"/>
        <v>n/a</v>
      </c>
      <c r="BU19" s="325">
        <v>0.7</v>
      </c>
      <c r="BV19" s="650" t="str">
        <f t="shared" si="29"/>
        <v>n/a</v>
      </c>
      <c r="BW19" s="1165" t="s">
        <v>891</v>
      </c>
      <c r="BX19" s="602" t="s">
        <v>475</v>
      </c>
      <c r="BY19" s="1189"/>
      <c r="BZ19" s="1189"/>
      <c r="CA19" s="608" t="str">
        <f t="shared" si="30"/>
        <v>n/a</v>
      </c>
      <c r="CB19" s="428">
        <v>0</v>
      </c>
      <c r="CC19" s="428">
        <v>0</v>
      </c>
      <c r="CD19" s="609" t="str">
        <f t="shared" si="31"/>
        <v>n/a</v>
      </c>
      <c r="CE19" s="610" t="str">
        <f t="shared" si="32"/>
        <v>n/a</v>
      </c>
      <c r="CF19" s="609" t="str">
        <f t="shared" si="33"/>
        <v>n/a</v>
      </c>
      <c r="CG19" s="658" t="str">
        <f t="shared" si="34"/>
        <v>n/a</v>
      </c>
      <c r="CH19" s="743" t="s">
        <v>893</v>
      </c>
      <c r="CI19" s="330">
        <v>0</v>
      </c>
      <c r="CJ19" s="664">
        <f t="shared" si="35"/>
        <v>0</v>
      </c>
      <c r="CK19" s="328">
        <v>0</v>
      </c>
      <c r="CL19" s="611" t="s">
        <v>671</v>
      </c>
      <c r="CM19" s="428" t="s">
        <v>475</v>
      </c>
      <c r="CN19" s="428" t="s">
        <v>475</v>
      </c>
      <c r="CO19" s="428" t="s">
        <v>38</v>
      </c>
      <c r="CP19" s="570" t="s">
        <v>170</v>
      </c>
      <c r="CQ19" s="1167" t="s">
        <v>894</v>
      </c>
      <c r="CS19" s="1069">
        <f t="shared" si="36"/>
        <v>1</v>
      </c>
      <c r="CT19" s="1069">
        <f t="shared" si="37"/>
        <v>0.66844919786096257</v>
      </c>
      <c r="CU19" s="1066">
        <f t="shared" si="38"/>
        <v>1</v>
      </c>
      <c r="CV19" s="1066">
        <f t="shared" si="39"/>
        <v>0.66844919786096257</v>
      </c>
      <c r="CW19" s="1082">
        <f t="shared" si="40"/>
        <v>0</v>
      </c>
      <c r="CX19" s="1082">
        <f t="shared" si="41"/>
        <v>0.496</v>
      </c>
    </row>
    <row r="20" spans="1:102" s="322" customFormat="1" ht="21" customHeight="1">
      <c r="A20" s="358"/>
      <c r="B20" s="402" t="s">
        <v>817</v>
      </c>
      <c r="C20" s="603" t="s">
        <v>1055</v>
      </c>
      <c r="D20" s="603" t="s">
        <v>1056</v>
      </c>
      <c r="E20" s="1058" t="s">
        <v>1057</v>
      </c>
      <c r="F20" s="1083" t="s">
        <v>818</v>
      </c>
      <c r="G20" s="1051"/>
      <c r="H20" s="1051"/>
      <c r="I20" s="560" t="s">
        <v>33</v>
      </c>
      <c r="J20" s="560" t="s">
        <v>34</v>
      </c>
      <c r="K20" s="604" t="s">
        <v>607</v>
      </c>
      <c r="L20" s="585">
        <v>0</v>
      </c>
      <c r="M20" s="473">
        <v>0</v>
      </c>
      <c r="N20" s="714">
        <v>229</v>
      </c>
      <c r="O20" s="328"/>
      <c r="P20" s="718" t="str">
        <f t="shared" si="0"/>
        <v>1. Small</v>
      </c>
      <c r="Q20" s="965" t="s">
        <v>926</v>
      </c>
      <c r="R20" s="1138"/>
      <c r="S20" s="622" t="s">
        <v>811</v>
      </c>
      <c r="T20" s="323" t="str">
        <f t="shared" si="1"/>
        <v>Covered</v>
      </c>
      <c r="U20" s="561">
        <v>42376</v>
      </c>
      <c r="V20" s="1143"/>
      <c r="W20" s="558" t="s">
        <v>152</v>
      </c>
      <c r="X20" s="627">
        <v>0</v>
      </c>
      <c r="Y20" s="473">
        <v>0</v>
      </c>
      <c r="Z20" s="617" t="s">
        <v>43</v>
      </c>
      <c r="AA20" s="627">
        <v>0</v>
      </c>
      <c r="AB20" s="736">
        <v>1</v>
      </c>
      <c r="AC20" s="473">
        <v>0</v>
      </c>
      <c r="AD20" s="473">
        <v>3</v>
      </c>
      <c r="AE20" s="617"/>
      <c r="AF20" s="599">
        <v>0</v>
      </c>
      <c r="AG20" s="325">
        <v>0</v>
      </c>
      <c r="AH20" s="630">
        <f t="shared" si="2"/>
        <v>1</v>
      </c>
      <c r="AI20" s="574">
        <f t="shared" si="3"/>
        <v>229</v>
      </c>
      <c r="AJ20" s="605">
        <f t="shared" si="4"/>
        <v>1</v>
      </c>
      <c r="AK20" s="574">
        <f t="shared" si="5"/>
        <v>229</v>
      </c>
      <c r="AL20" s="605">
        <f t="shared" si="6"/>
        <v>1</v>
      </c>
      <c r="AM20" s="574">
        <f t="shared" si="7"/>
        <v>229</v>
      </c>
      <c r="AN20" s="605" t="str">
        <f t="shared" si="8"/>
        <v>80-100%</v>
      </c>
      <c r="AO20" s="605">
        <f t="shared" si="9"/>
        <v>0</v>
      </c>
      <c r="AP20" s="574">
        <f t="shared" si="10"/>
        <v>0</v>
      </c>
      <c r="AQ20" s="574" t="str">
        <f t="shared" si="11"/>
        <v>yes</v>
      </c>
      <c r="AR20" s="574">
        <f t="shared" si="12"/>
        <v>0</v>
      </c>
      <c r="AS20" s="574">
        <f t="shared" si="13"/>
        <v>0</v>
      </c>
      <c r="AT20" s="574">
        <f t="shared" si="14"/>
        <v>0</v>
      </c>
      <c r="AU20" s="330">
        <v>1</v>
      </c>
      <c r="AV20" s="635">
        <f t="shared" si="15"/>
        <v>229</v>
      </c>
      <c r="AW20" s="1155" t="s">
        <v>884</v>
      </c>
      <c r="AX20" s="740">
        <v>0</v>
      </c>
      <c r="AY20" s="428">
        <v>3</v>
      </c>
      <c r="AZ20" s="428">
        <v>42</v>
      </c>
      <c r="BA20" s="473" t="s">
        <v>963</v>
      </c>
      <c r="BB20" s="548">
        <f t="shared" si="16"/>
        <v>0.55021834061135366</v>
      </c>
      <c r="BC20" s="606">
        <f t="shared" si="17"/>
        <v>125.99999999999999</v>
      </c>
      <c r="BD20" s="548">
        <f t="shared" si="18"/>
        <v>0.55021834061135366</v>
      </c>
      <c r="BE20" s="606">
        <f t="shared" si="19"/>
        <v>125.99999999999999</v>
      </c>
      <c r="BF20" s="549">
        <f t="shared" si="20"/>
        <v>0</v>
      </c>
      <c r="BG20" s="606">
        <f t="shared" si="21"/>
        <v>0</v>
      </c>
      <c r="BH20" s="600" t="s">
        <v>475</v>
      </c>
      <c r="BI20" s="600" t="s">
        <v>475</v>
      </c>
      <c r="BJ20" s="606">
        <f t="shared" si="22"/>
        <v>0</v>
      </c>
      <c r="BK20" s="606" t="str">
        <f t="shared" si="23"/>
        <v>n/a</v>
      </c>
      <c r="BL20" s="428" t="s">
        <v>475</v>
      </c>
      <c r="BM20" s="548" t="str">
        <f t="shared" si="24"/>
        <v>n/a</v>
      </c>
      <c r="BN20" s="606" t="str">
        <f t="shared" si="25"/>
        <v>n/a</v>
      </c>
      <c r="BO20" s="606" t="str">
        <f t="shared" si="26"/>
        <v>n/a</v>
      </c>
      <c r="BP20" s="428" t="s">
        <v>475</v>
      </c>
      <c r="BQ20" s="606" t="s">
        <v>475</v>
      </c>
      <c r="BR20" s="428" t="s">
        <v>475</v>
      </c>
      <c r="BS20" s="548" t="str">
        <f t="shared" si="27"/>
        <v>n/a</v>
      </c>
      <c r="BT20" s="607" t="str">
        <f t="shared" si="28"/>
        <v>n/a</v>
      </c>
      <c r="BU20" s="325">
        <v>0.7</v>
      </c>
      <c r="BV20" s="650" t="str">
        <f t="shared" si="29"/>
        <v>n/a</v>
      </c>
      <c r="BW20" s="1165" t="s">
        <v>891</v>
      </c>
      <c r="BX20" s="602" t="s">
        <v>475</v>
      </c>
      <c r="BY20" s="1189"/>
      <c r="BZ20" s="1189"/>
      <c r="CA20" s="608" t="str">
        <f t="shared" si="30"/>
        <v>n/a</v>
      </c>
      <c r="CB20" s="428">
        <v>0</v>
      </c>
      <c r="CC20" s="428">
        <v>0</v>
      </c>
      <c r="CD20" s="609" t="str">
        <f t="shared" si="31"/>
        <v>n/a</v>
      </c>
      <c r="CE20" s="610" t="str">
        <f t="shared" si="32"/>
        <v>n/a</v>
      </c>
      <c r="CF20" s="609" t="str">
        <f t="shared" si="33"/>
        <v>n/a</v>
      </c>
      <c r="CG20" s="658" t="str">
        <f t="shared" si="34"/>
        <v>n/a</v>
      </c>
      <c r="CH20" s="743" t="s">
        <v>892</v>
      </c>
      <c r="CI20" s="330">
        <v>0</v>
      </c>
      <c r="CJ20" s="664">
        <f t="shared" si="35"/>
        <v>0</v>
      </c>
      <c r="CK20" s="328">
        <v>0</v>
      </c>
      <c r="CL20" s="611" t="s">
        <v>671</v>
      </c>
      <c r="CM20" s="428" t="s">
        <v>475</v>
      </c>
      <c r="CN20" s="428" t="s">
        <v>475</v>
      </c>
      <c r="CO20" s="428" t="s">
        <v>38</v>
      </c>
      <c r="CP20" s="570" t="s">
        <v>170</v>
      </c>
      <c r="CQ20" s="1167" t="s">
        <v>894</v>
      </c>
      <c r="CS20" s="1069">
        <f t="shared" si="36"/>
        <v>1</v>
      </c>
      <c r="CT20" s="1069">
        <f t="shared" si="37"/>
        <v>1</v>
      </c>
      <c r="CU20" s="1066">
        <f t="shared" si="38"/>
        <v>1</v>
      </c>
      <c r="CV20" s="1066">
        <f t="shared" si="39"/>
        <v>1</v>
      </c>
      <c r="CW20" s="1082">
        <f t="shared" si="40"/>
        <v>0</v>
      </c>
      <c r="CX20" s="1082">
        <f t="shared" si="41"/>
        <v>0</v>
      </c>
    </row>
    <row r="21" spans="1:102" s="322" customFormat="1" ht="21" customHeight="1">
      <c r="A21" s="358"/>
      <c r="B21" s="402" t="s">
        <v>817</v>
      </c>
      <c r="C21" s="603" t="s">
        <v>1014</v>
      </c>
      <c r="D21" s="603" t="s">
        <v>1015</v>
      </c>
      <c r="E21" s="1058" t="s">
        <v>1016</v>
      </c>
      <c r="F21" s="730" t="s">
        <v>765</v>
      </c>
      <c r="G21" s="1051"/>
      <c r="H21" s="1051"/>
      <c r="I21" s="1120" t="s">
        <v>33</v>
      </c>
      <c r="J21" s="560" t="s">
        <v>34</v>
      </c>
      <c r="K21" s="604" t="s">
        <v>607</v>
      </c>
      <c r="L21" s="585">
        <v>0</v>
      </c>
      <c r="M21" s="473">
        <v>0</v>
      </c>
      <c r="N21" s="616">
        <v>1450</v>
      </c>
      <c r="O21" s="328"/>
      <c r="P21" s="718" t="str">
        <f t="shared" si="0"/>
        <v>3. Large</v>
      </c>
      <c r="Q21" s="965" t="s">
        <v>926</v>
      </c>
      <c r="R21" s="1138"/>
      <c r="S21" s="622" t="s">
        <v>143</v>
      </c>
      <c r="T21" s="323" t="str">
        <f t="shared" si="1"/>
        <v>Covered</v>
      </c>
      <c r="U21" s="561">
        <v>42376</v>
      </c>
      <c r="V21" s="1143"/>
      <c r="W21" s="558" t="s">
        <v>152</v>
      </c>
      <c r="X21" s="627">
        <v>0</v>
      </c>
      <c r="Y21" s="473">
        <v>0</v>
      </c>
      <c r="Z21" s="617" t="s">
        <v>43</v>
      </c>
      <c r="AA21" s="627">
        <v>0</v>
      </c>
      <c r="AB21" s="473">
        <v>1</v>
      </c>
      <c r="AC21" s="473">
        <v>0</v>
      </c>
      <c r="AD21" s="473">
        <v>1</v>
      </c>
      <c r="AE21" s="617"/>
      <c r="AF21" s="599">
        <v>0</v>
      </c>
      <c r="AG21" s="330">
        <v>0</v>
      </c>
      <c r="AH21" s="630">
        <f t="shared" si="2"/>
        <v>0.17241379310344829</v>
      </c>
      <c r="AI21" s="574">
        <f t="shared" si="3"/>
        <v>250.00000000000003</v>
      </c>
      <c r="AJ21" s="605">
        <f t="shared" si="4"/>
        <v>0.17241379310344829</v>
      </c>
      <c r="AK21" s="574">
        <f t="shared" si="5"/>
        <v>250.00000000000003</v>
      </c>
      <c r="AL21" s="605">
        <f t="shared" si="6"/>
        <v>0.17241379310344829</v>
      </c>
      <c r="AM21" s="574">
        <f t="shared" si="7"/>
        <v>250.00000000000003</v>
      </c>
      <c r="AN21" s="605" t="str">
        <f t="shared" si="8"/>
        <v>15-30%</v>
      </c>
      <c r="AO21" s="605">
        <f t="shared" si="9"/>
        <v>0</v>
      </c>
      <c r="AP21" s="574">
        <f t="shared" si="10"/>
        <v>0</v>
      </c>
      <c r="AQ21" s="574" t="str">
        <f t="shared" si="11"/>
        <v>yes</v>
      </c>
      <c r="AR21" s="574">
        <f t="shared" si="12"/>
        <v>4.8</v>
      </c>
      <c r="AS21" s="574">
        <f t="shared" si="13"/>
        <v>0</v>
      </c>
      <c r="AT21" s="574">
        <f t="shared" si="14"/>
        <v>0</v>
      </c>
      <c r="AU21" s="1123">
        <v>0.17</v>
      </c>
      <c r="AV21" s="635">
        <f t="shared" si="15"/>
        <v>246.50000000000003</v>
      </c>
      <c r="AW21" s="638"/>
      <c r="AX21" s="740">
        <v>0</v>
      </c>
      <c r="AY21" s="428">
        <v>52</v>
      </c>
      <c r="AZ21" s="428">
        <v>42</v>
      </c>
      <c r="BA21" s="473" t="s">
        <v>963</v>
      </c>
      <c r="BB21" s="548">
        <f t="shared" si="16"/>
        <v>1</v>
      </c>
      <c r="BC21" s="606">
        <f t="shared" si="17"/>
        <v>1450</v>
      </c>
      <c r="BD21" s="548">
        <f t="shared" si="18"/>
        <v>1</v>
      </c>
      <c r="BE21" s="606">
        <f t="shared" si="19"/>
        <v>1450</v>
      </c>
      <c r="BF21" s="549">
        <f t="shared" si="20"/>
        <v>0</v>
      </c>
      <c r="BG21" s="606">
        <f t="shared" si="21"/>
        <v>0</v>
      </c>
      <c r="BH21" s="600" t="s">
        <v>475</v>
      </c>
      <c r="BI21" s="600" t="s">
        <v>475</v>
      </c>
      <c r="BJ21" s="606">
        <f t="shared" si="22"/>
        <v>0</v>
      </c>
      <c r="BK21" s="606" t="str">
        <f t="shared" si="23"/>
        <v>n/a</v>
      </c>
      <c r="BL21" s="428" t="s">
        <v>475</v>
      </c>
      <c r="BM21" s="548" t="str">
        <f t="shared" si="24"/>
        <v>n/a</v>
      </c>
      <c r="BN21" s="606" t="str">
        <f t="shared" si="25"/>
        <v>n/a</v>
      </c>
      <c r="BO21" s="606" t="str">
        <f t="shared" si="26"/>
        <v>n/a</v>
      </c>
      <c r="BP21" s="578" t="s">
        <v>475</v>
      </c>
      <c r="BQ21" s="606" t="s">
        <v>475</v>
      </c>
      <c r="BR21" s="519" t="s">
        <v>475</v>
      </c>
      <c r="BS21" s="548" t="str">
        <f t="shared" si="27"/>
        <v>n/a</v>
      </c>
      <c r="BT21" s="607" t="str">
        <f t="shared" si="28"/>
        <v>n/a</v>
      </c>
      <c r="BU21" s="325">
        <v>1</v>
      </c>
      <c r="BV21" s="650" t="str">
        <f t="shared" si="29"/>
        <v>n/a</v>
      </c>
      <c r="BW21" s="325" t="s">
        <v>567</v>
      </c>
      <c r="BX21" s="602" t="s">
        <v>475</v>
      </c>
      <c r="BY21" s="1189"/>
      <c r="BZ21" s="1189"/>
      <c r="CA21" s="608" t="str">
        <f t="shared" si="30"/>
        <v>n/a</v>
      </c>
      <c r="CB21" s="428">
        <v>0</v>
      </c>
      <c r="CC21" s="428">
        <v>0</v>
      </c>
      <c r="CD21" s="609" t="str">
        <f t="shared" si="31"/>
        <v>n/a</v>
      </c>
      <c r="CE21" s="610" t="str">
        <f t="shared" si="32"/>
        <v>n/a</v>
      </c>
      <c r="CF21" s="609" t="str">
        <f t="shared" si="33"/>
        <v>n/a</v>
      </c>
      <c r="CG21" s="658" t="str">
        <f t="shared" si="34"/>
        <v>n/a</v>
      </c>
      <c r="CH21" s="328" t="s">
        <v>809</v>
      </c>
      <c r="CI21" s="330">
        <v>0.8</v>
      </c>
      <c r="CJ21" s="664">
        <f t="shared" si="35"/>
        <v>1160</v>
      </c>
      <c r="CK21" s="328">
        <v>0</v>
      </c>
      <c r="CL21" s="611" t="s">
        <v>671</v>
      </c>
      <c r="CM21" s="428" t="s">
        <v>475</v>
      </c>
      <c r="CN21" s="428" t="s">
        <v>475</v>
      </c>
      <c r="CO21" s="428" t="s">
        <v>38</v>
      </c>
      <c r="CP21" s="570" t="s">
        <v>170</v>
      </c>
      <c r="CQ21" s="672"/>
      <c r="CS21" s="1069">
        <f t="shared" si="36"/>
        <v>0.34482758620689657</v>
      </c>
      <c r="CT21" s="1069">
        <f t="shared" si="37"/>
        <v>0.17241379310344829</v>
      </c>
      <c r="CU21" s="1066">
        <f t="shared" si="38"/>
        <v>0.34482758620689657</v>
      </c>
      <c r="CV21" s="1066">
        <f t="shared" si="39"/>
        <v>0.17241379310344829</v>
      </c>
      <c r="CW21" s="1082">
        <f t="shared" si="40"/>
        <v>2.625</v>
      </c>
      <c r="CX21" s="1082">
        <f t="shared" si="41"/>
        <v>4.8</v>
      </c>
    </row>
    <row r="22" spans="1:102" s="322" customFormat="1" ht="21" customHeight="1">
      <c r="A22" s="358"/>
      <c r="B22" s="402" t="s">
        <v>817</v>
      </c>
      <c r="C22" s="603" t="s">
        <v>1109</v>
      </c>
      <c r="D22" s="603" t="s">
        <v>851</v>
      </c>
      <c r="E22" s="1058" t="s">
        <v>1111</v>
      </c>
      <c r="F22" s="1083" t="s">
        <v>852</v>
      </c>
      <c r="G22" s="1051"/>
      <c r="H22" s="1051"/>
      <c r="I22" s="560" t="s">
        <v>33</v>
      </c>
      <c r="J22" s="560" t="s">
        <v>45</v>
      </c>
      <c r="K22" s="604" t="s">
        <v>607</v>
      </c>
      <c r="L22" s="585">
        <v>0</v>
      </c>
      <c r="M22" s="473">
        <v>0</v>
      </c>
      <c r="N22" s="714">
        <v>303</v>
      </c>
      <c r="O22" s="328"/>
      <c r="P22" s="718" t="str">
        <f t="shared" si="0"/>
        <v>1. Small</v>
      </c>
      <c r="Q22" s="965" t="s">
        <v>926</v>
      </c>
      <c r="R22" s="1138"/>
      <c r="S22" s="622" t="s">
        <v>811</v>
      </c>
      <c r="T22" s="323" t="str">
        <f t="shared" si="1"/>
        <v>Covered</v>
      </c>
      <c r="U22" s="561">
        <v>42376</v>
      </c>
      <c r="V22" s="1143"/>
      <c r="W22" s="558" t="s">
        <v>152</v>
      </c>
      <c r="X22" s="627">
        <v>0</v>
      </c>
      <c r="Y22" s="473">
        <v>0</v>
      </c>
      <c r="Z22" s="617" t="s">
        <v>43</v>
      </c>
      <c r="AA22" s="627">
        <v>0</v>
      </c>
      <c r="AB22" s="736">
        <v>0</v>
      </c>
      <c r="AC22" s="473">
        <v>0</v>
      </c>
      <c r="AD22" s="473">
        <v>2</v>
      </c>
      <c r="AE22" s="617"/>
      <c r="AF22" s="599">
        <v>0</v>
      </c>
      <c r="AG22" s="325">
        <v>0</v>
      </c>
      <c r="AH22" s="630">
        <f t="shared" si="2"/>
        <v>0</v>
      </c>
      <c r="AI22" s="574">
        <f t="shared" si="3"/>
        <v>0</v>
      </c>
      <c r="AJ22" s="605">
        <f t="shared" si="4"/>
        <v>0</v>
      </c>
      <c r="AK22" s="574">
        <f t="shared" si="5"/>
        <v>0</v>
      </c>
      <c r="AL22" s="605">
        <f t="shared" si="6"/>
        <v>0</v>
      </c>
      <c r="AM22" s="574">
        <f t="shared" si="7"/>
        <v>0</v>
      </c>
      <c r="AN22" s="605" t="str">
        <f t="shared" si="8"/>
        <v>0-10%</v>
      </c>
      <c r="AO22" s="605">
        <f t="shared" si="9"/>
        <v>0</v>
      </c>
      <c r="AP22" s="574">
        <f t="shared" si="10"/>
        <v>0</v>
      </c>
      <c r="AQ22" s="574" t="str">
        <f t="shared" si="11"/>
        <v>yes</v>
      </c>
      <c r="AR22" s="574">
        <f t="shared" si="12"/>
        <v>1.212</v>
      </c>
      <c r="AS22" s="574">
        <f t="shared" si="13"/>
        <v>0</v>
      </c>
      <c r="AT22" s="574">
        <f t="shared" si="14"/>
        <v>0</v>
      </c>
      <c r="AU22" s="330">
        <v>0.9</v>
      </c>
      <c r="AV22" s="635">
        <f t="shared" si="15"/>
        <v>272.7</v>
      </c>
      <c r="AW22" s="1155" t="s">
        <v>884</v>
      </c>
      <c r="AX22" s="740">
        <v>0</v>
      </c>
      <c r="AY22" s="428">
        <v>0</v>
      </c>
      <c r="AZ22" s="428">
        <v>42</v>
      </c>
      <c r="BA22" s="473" t="s">
        <v>963</v>
      </c>
      <c r="BB22" s="548">
        <f t="shared" si="16"/>
        <v>0</v>
      </c>
      <c r="BC22" s="606">
        <f t="shared" si="17"/>
        <v>0</v>
      </c>
      <c r="BD22" s="548">
        <f t="shared" si="18"/>
        <v>0</v>
      </c>
      <c r="BE22" s="606">
        <f t="shared" si="19"/>
        <v>0</v>
      </c>
      <c r="BF22" s="549">
        <f t="shared" si="20"/>
        <v>0</v>
      </c>
      <c r="BG22" s="606">
        <f t="shared" si="21"/>
        <v>0</v>
      </c>
      <c r="BH22" s="600" t="s">
        <v>475</v>
      </c>
      <c r="BI22" s="600" t="s">
        <v>475</v>
      </c>
      <c r="BJ22" s="606">
        <f t="shared" si="22"/>
        <v>0</v>
      </c>
      <c r="BK22" s="606" t="str">
        <f t="shared" si="23"/>
        <v>n/a</v>
      </c>
      <c r="BL22" s="428" t="s">
        <v>475</v>
      </c>
      <c r="BM22" s="548" t="str">
        <f t="shared" si="24"/>
        <v>n/a</v>
      </c>
      <c r="BN22" s="606" t="str">
        <f t="shared" si="25"/>
        <v>n/a</v>
      </c>
      <c r="BO22" s="606" t="str">
        <f t="shared" si="26"/>
        <v>n/a</v>
      </c>
      <c r="BP22" s="428" t="s">
        <v>475</v>
      </c>
      <c r="BQ22" s="606" t="s">
        <v>475</v>
      </c>
      <c r="BR22" s="428" t="s">
        <v>475</v>
      </c>
      <c r="BS22" s="548" t="str">
        <f t="shared" si="27"/>
        <v>n/a</v>
      </c>
      <c r="BT22" s="607" t="str">
        <f t="shared" si="28"/>
        <v>n/a</v>
      </c>
      <c r="BU22" s="325">
        <v>0.7</v>
      </c>
      <c r="BV22" s="650" t="str">
        <f t="shared" si="29"/>
        <v>n/a</v>
      </c>
      <c r="BW22" s="1165" t="s">
        <v>891</v>
      </c>
      <c r="BX22" s="602" t="s">
        <v>475</v>
      </c>
      <c r="BY22" s="1189"/>
      <c r="BZ22" s="1189"/>
      <c r="CA22" s="608" t="str">
        <f t="shared" si="30"/>
        <v>n/a</v>
      </c>
      <c r="CB22" s="428">
        <v>0</v>
      </c>
      <c r="CC22" s="428">
        <v>0</v>
      </c>
      <c r="CD22" s="609" t="str">
        <f t="shared" si="31"/>
        <v>n/a</v>
      </c>
      <c r="CE22" s="610" t="str">
        <f t="shared" si="32"/>
        <v>n/a</v>
      </c>
      <c r="CF22" s="609" t="str">
        <f t="shared" si="33"/>
        <v>n/a</v>
      </c>
      <c r="CG22" s="658" t="str">
        <f t="shared" si="34"/>
        <v>n/a</v>
      </c>
      <c r="CH22" s="743" t="s">
        <v>893</v>
      </c>
      <c r="CI22" s="330">
        <v>0</v>
      </c>
      <c r="CJ22" s="664">
        <f t="shared" si="35"/>
        <v>0</v>
      </c>
      <c r="CK22" s="328">
        <v>0</v>
      </c>
      <c r="CL22" s="611" t="s">
        <v>671</v>
      </c>
      <c r="CM22" s="428" t="s">
        <v>475</v>
      </c>
      <c r="CN22" s="428" t="s">
        <v>475</v>
      </c>
      <c r="CO22" s="428" t="s">
        <v>38</v>
      </c>
      <c r="CP22" s="570" t="s">
        <v>170</v>
      </c>
      <c r="CQ22" s="1167" t="s">
        <v>894</v>
      </c>
      <c r="CS22" s="1069">
        <f t="shared" si="36"/>
        <v>0</v>
      </c>
      <c r="CT22" s="1069">
        <f t="shared" si="37"/>
        <v>0</v>
      </c>
      <c r="CU22" s="1066">
        <f t="shared" si="38"/>
        <v>0</v>
      </c>
      <c r="CV22" s="1066">
        <f t="shared" si="39"/>
        <v>0</v>
      </c>
      <c r="CW22" s="1082">
        <f t="shared" si="40"/>
        <v>0.75749999999999995</v>
      </c>
      <c r="CX22" s="1082">
        <f t="shared" si="41"/>
        <v>1.212</v>
      </c>
    </row>
    <row r="23" spans="1:102" s="322" customFormat="1" ht="21" customHeight="1">
      <c r="A23" s="358"/>
      <c r="B23" s="402" t="s">
        <v>817</v>
      </c>
      <c r="C23" s="603" t="s">
        <v>1088</v>
      </c>
      <c r="D23" s="603" t="s">
        <v>1089</v>
      </c>
      <c r="E23" s="1058" t="s">
        <v>1091</v>
      </c>
      <c r="F23" s="1083" t="s">
        <v>840</v>
      </c>
      <c r="G23" s="1051"/>
      <c r="H23" s="1051"/>
      <c r="I23" s="560" t="s">
        <v>33</v>
      </c>
      <c r="J23" s="560" t="s">
        <v>34</v>
      </c>
      <c r="K23" s="604" t="s">
        <v>607</v>
      </c>
      <c r="L23" s="585">
        <v>0</v>
      </c>
      <c r="M23" s="473">
        <v>0</v>
      </c>
      <c r="N23" s="714">
        <v>727</v>
      </c>
      <c r="O23" s="328"/>
      <c r="P23" s="718" t="str">
        <f t="shared" si="0"/>
        <v>2. Medium</v>
      </c>
      <c r="Q23" s="965" t="s">
        <v>926</v>
      </c>
      <c r="R23" s="1138"/>
      <c r="S23" s="622" t="s">
        <v>811</v>
      </c>
      <c r="T23" s="323" t="str">
        <f t="shared" si="1"/>
        <v>Covered</v>
      </c>
      <c r="U23" s="561">
        <v>42376</v>
      </c>
      <c r="V23" s="1143"/>
      <c r="W23" s="558" t="s">
        <v>152</v>
      </c>
      <c r="X23" s="627">
        <v>0</v>
      </c>
      <c r="Y23" s="473">
        <v>0</v>
      </c>
      <c r="Z23" s="617" t="s">
        <v>43</v>
      </c>
      <c r="AA23" s="627">
        <v>0</v>
      </c>
      <c r="AB23" s="736">
        <v>0</v>
      </c>
      <c r="AC23" s="473">
        <v>0</v>
      </c>
      <c r="AD23" s="473">
        <v>4</v>
      </c>
      <c r="AE23" s="617"/>
      <c r="AF23" s="599">
        <v>0</v>
      </c>
      <c r="AG23" s="325">
        <v>0</v>
      </c>
      <c r="AH23" s="630">
        <f t="shared" si="2"/>
        <v>0</v>
      </c>
      <c r="AI23" s="574">
        <f t="shared" si="3"/>
        <v>0</v>
      </c>
      <c r="AJ23" s="605">
        <f t="shared" si="4"/>
        <v>0</v>
      </c>
      <c r="AK23" s="574">
        <f t="shared" si="5"/>
        <v>0</v>
      </c>
      <c r="AL23" s="605">
        <f t="shared" si="6"/>
        <v>0</v>
      </c>
      <c r="AM23" s="574">
        <f t="shared" si="7"/>
        <v>0</v>
      </c>
      <c r="AN23" s="605" t="str">
        <f t="shared" si="8"/>
        <v>0-10%</v>
      </c>
      <c r="AO23" s="605">
        <f t="shared" si="9"/>
        <v>0</v>
      </c>
      <c r="AP23" s="574">
        <f t="shared" si="10"/>
        <v>0</v>
      </c>
      <c r="AQ23" s="574" t="str">
        <f t="shared" si="11"/>
        <v>yes</v>
      </c>
      <c r="AR23" s="574">
        <f t="shared" si="12"/>
        <v>2.9079999999999999</v>
      </c>
      <c r="AS23" s="574">
        <f t="shared" si="13"/>
        <v>0</v>
      </c>
      <c r="AT23" s="574">
        <f t="shared" si="14"/>
        <v>0</v>
      </c>
      <c r="AU23" s="330">
        <v>0.9</v>
      </c>
      <c r="AV23" s="635">
        <f t="shared" si="15"/>
        <v>654.30000000000007</v>
      </c>
      <c r="AW23" s="1155" t="s">
        <v>884</v>
      </c>
      <c r="AX23" s="740">
        <v>0</v>
      </c>
      <c r="AY23" s="428">
        <v>12</v>
      </c>
      <c r="AZ23" s="428">
        <v>42</v>
      </c>
      <c r="BA23" s="473" t="s">
        <v>963</v>
      </c>
      <c r="BB23" s="548">
        <f t="shared" si="16"/>
        <v>0.69325997248968363</v>
      </c>
      <c r="BC23" s="606">
        <f t="shared" si="17"/>
        <v>504</v>
      </c>
      <c r="BD23" s="548">
        <f t="shared" si="18"/>
        <v>0.69325997248968363</v>
      </c>
      <c r="BE23" s="606">
        <f t="shared" si="19"/>
        <v>504</v>
      </c>
      <c r="BF23" s="549">
        <f t="shared" si="20"/>
        <v>0</v>
      </c>
      <c r="BG23" s="606">
        <f t="shared" si="21"/>
        <v>0</v>
      </c>
      <c r="BH23" s="600" t="s">
        <v>475</v>
      </c>
      <c r="BI23" s="600" t="s">
        <v>475</v>
      </c>
      <c r="BJ23" s="606">
        <f t="shared" si="22"/>
        <v>0</v>
      </c>
      <c r="BK23" s="606" t="str">
        <f t="shared" si="23"/>
        <v>n/a</v>
      </c>
      <c r="BL23" s="428" t="s">
        <v>475</v>
      </c>
      <c r="BM23" s="548" t="str">
        <f t="shared" si="24"/>
        <v>n/a</v>
      </c>
      <c r="BN23" s="606" t="str">
        <f t="shared" si="25"/>
        <v>n/a</v>
      </c>
      <c r="BO23" s="606" t="str">
        <f t="shared" si="26"/>
        <v>n/a</v>
      </c>
      <c r="BP23" s="428" t="s">
        <v>475</v>
      </c>
      <c r="BQ23" s="606" t="s">
        <v>475</v>
      </c>
      <c r="BR23" s="428" t="s">
        <v>475</v>
      </c>
      <c r="BS23" s="548" t="str">
        <f t="shared" si="27"/>
        <v>n/a</v>
      </c>
      <c r="BT23" s="607" t="str">
        <f t="shared" si="28"/>
        <v>n/a</v>
      </c>
      <c r="BU23" s="325">
        <v>0.7</v>
      </c>
      <c r="BV23" s="650" t="str">
        <f t="shared" si="29"/>
        <v>n/a</v>
      </c>
      <c r="BW23" s="1165" t="s">
        <v>891</v>
      </c>
      <c r="BX23" s="602" t="s">
        <v>475</v>
      </c>
      <c r="BY23" s="1189"/>
      <c r="BZ23" s="1189"/>
      <c r="CA23" s="608" t="str">
        <f t="shared" si="30"/>
        <v>n/a</v>
      </c>
      <c r="CB23" s="428">
        <v>0</v>
      </c>
      <c r="CC23" s="428">
        <v>0</v>
      </c>
      <c r="CD23" s="609" t="str">
        <f t="shared" si="31"/>
        <v>n/a</v>
      </c>
      <c r="CE23" s="610" t="str">
        <f t="shared" si="32"/>
        <v>n/a</v>
      </c>
      <c r="CF23" s="609" t="str">
        <f t="shared" si="33"/>
        <v>n/a</v>
      </c>
      <c r="CG23" s="658" t="str">
        <f t="shared" si="34"/>
        <v>n/a</v>
      </c>
      <c r="CH23" s="743" t="s">
        <v>893</v>
      </c>
      <c r="CI23" s="330">
        <v>0</v>
      </c>
      <c r="CJ23" s="664">
        <f t="shared" si="35"/>
        <v>0</v>
      </c>
      <c r="CK23" s="328">
        <v>0</v>
      </c>
      <c r="CL23" s="611" t="s">
        <v>671</v>
      </c>
      <c r="CM23" s="428" t="s">
        <v>475</v>
      </c>
      <c r="CN23" s="428" t="s">
        <v>475</v>
      </c>
      <c r="CO23" s="428" t="s">
        <v>38</v>
      </c>
      <c r="CP23" s="570" t="s">
        <v>170</v>
      </c>
      <c r="CQ23" s="1167" t="s">
        <v>894</v>
      </c>
      <c r="CS23" s="1069">
        <f t="shared" si="36"/>
        <v>0</v>
      </c>
      <c r="CT23" s="1069">
        <f t="shared" si="37"/>
        <v>0</v>
      </c>
      <c r="CU23" s="1066">
        <f t="shared" si="38"/>
        <v>0</v>
      </c>
      <c r="CV23" s="1066">
        <f t="shared" si="39"/>
        <v>0</v>
      </c>
      <c r="CW23" s="1082">
        <f t="shared" si="40"/>
        <v>1.8174999999999999</v>
      </c>
      <c r="CX23" s="1082">
        <f t="shared" si="41"/>
        <v>2.9079999999999999</v>
      </c>
    </row>
    <row r="24" spans="1:102" s="322" customFormat="1" ht="21" customHeight="1">
      <c r="A24" s="358"/>
      <c r="B24" s="402" t="s">
        <v>817</v>
      </c>
      <c r="C24" s="603" t="s">
        <v>1061</v>
      </c>
      <c r="D24" s="603" t="s">
        <v>1062</v>
      </c>
      <c r="E24" s="1058" t="s">
        <v>1064</v>
      </c>
      <c r="F24" s="1083" t="s">
        <v>824</v>
      </c>
      <c r="G24" s="1051"/>
      <c r="H24" s="1051"/>
      <c r="I24" s="560" t="s">
        <v>33</v>
      </c>
      <c r="J24" s="560" t="s">
        <v>34</v>
      </c>
      <c r="K24" s="604" t="s">
        <v>607</v>
      </c>
      <c r="L24" s="585">
        <v>0</v>
      </c>
      <c r="M24" s="473">
        <v>0</v>
      </c>
      <c r="N24" s="714">
        <v>844</v>
      </c>
      <c r="O24" s="328"/>
      <c r="P24" s="718" t="str">
        <f t="shared" si="0"/>
        <v>2. Medium</v>
      </c>
      <c r="Q24" s="965" t="s">
        <v>926</v>
      </c>
      <c r="R24" s="1138"/>
      <c r="S24" s="622" t="s">
        <v>811</v>
      </c>
      <c r="T24" s="323" t="str">
        <f t="shared" si="1"/>
        <v>Covered</v>
      </c>
      <c r="U24" s="561">
        <v>42376</v>
      </c>
      <c r="V24" s="1143"/>
      <c r="W24" s="558" t="s">
        <v>152</v>
      </c>
      <c r="X24" s="627">
        <v>0</v>
      </c>
      <c r="Y24" s="473">
        <v>0</v>
      </c>
      <c r="Z24" s="617" t="s">
        <v>43</v>
      </c>
      <c r="AA24" s="627">
        <v>0</v>
      </c>
      <c r="AB24" s="736">
        <v>0</v>
      </c>
      <c r="AC24" s="473">
        <v>0</v>
      </c>
      <c r="AD24" s="473">
        <v>4</v>
      </c>
      <c r="AE24" s="617"/>
      <c r="AF24" s="599">
        <v>0</v>
      </c>
      <c r="AG24" s="325">
        <v>0</v>
      </c>
      <c r="AH24" s="630">
        <f t="shared" si="2"/>
        <v>0</v>
      </c>
      <c r="AI24" s="574">
        <f t="shared" si="3"/>
        <v>0</v>
      </c>
      <c r="AJ24" s="605">
        <f t="shared" si="4"/>
        <v>0</v>
      </c>
      <c r="AK24" s="574">
        <f t="shared" si="5"/>
        <v>0</v>
      </c>
      <c r="AL24" s="605">
        <f t="shared" si="6"/>
        <v>0</v>
      </c>
      <c r="AM24" s="574">
        <f t="shared" si="7"/>
        <v>0</v>
      </c>
      <c r="AN24" s="605" t="str">
        <f t="shared" si="8"/>
        <v>0-10%</v>
      </c>
      <c r="AO24" s="605">
        <f t="shared" si="9"/>
        <v>0</v>
      </c>
      <c r="AP24" s="574">
        <f t="shared" si="10"/>
        <v>0</v>
      </c>
      <c r="AQ24" s="574" t="str">
        <f t="shared" si="11"/>
        <v>yes</v>
      </c>
      <c r="AR24" s="574">
        <f t="shared" si="12"/>
        <v>3.3759999999999999</v>
      </c>
      <c r="AS24" s="574">
        <f t="shared" si="13"/>
        <v>0</v>
      </c>
      <c r="AT24" s="574">
        <f t="shared" si="14"/>
        <v>0</v>
      </c>
      <c r="AU24" s="330">
        <v>0.9</v>
      </c>
      <c r="AV24" s="635">
        <f t="shared" si="15"/>
        <v>759.6</v>
      </c>
      <c r="AW24" s="1155" t="s">
        <v>886</v>
      </c>
      <c r="AX24" s="740">
        <v>0</v>
      </c>
      <c r="AY24" s="428">
        <v>10</v>
      </c>
      <c r="AZ24" s="428">
        <v>42</v>
      </c>
      <c r="BA24" s="473" t="s">
        <v>963</v>
      </c>
      <c r="BB24" s="548">
        <f t="shared" si="16"/>
        <v>0.49763033175355448</v>
      </c>
      <c r="BC24" s="606">
        <f t="shared" si="17"/>
        <v>420</v>
      </c>
      <c r="BD24" s="548">
        <f t="shared" si="18"/>
        <v>0.49763033175355448</v>
      </c>
      <c r="BE24" s="606">
        <f t="shared" si="19"/>
        <v>420</v>
      </c>
      <c r="BF24" s="549">
        <f t="shared" si="20"/>
        <v>0</v>
      </c>
      <c r="BG24" s="606">
        <f t="shared" si="21"/>
        <v>0</v>
      </c>
      <c r="BH24" s="600" t="s">
        <v>475</v>
      </c>
      <c r="BI24" s="600" t="s">
        <v>475</v>
      </c>
      <c r="BJ24" s="606">
        <f t="shared" si="22"/>
        <v>0</v>
      </c>
      <c r="BK24" s="606" t="str">
        <f t="shared" si="23"/>
        <v>n/a</v>
      </c>
      <c r="BL24" s="428" t="s">
        <v>475</v>
      </c>
      <c r="BM24" s="548" t="str">
        <f t="shared" si="24"/>
        <v>n/a</v>
      </c>
      <c r="BN24" s="606" t="str">
        <f t="shared" si="25"/>
        <v>n/a</v>
      </c>
      <c r="BO24" s="606" t="str">
        <f t="shared" si="26"/>
        <v>n/a</v>
      </c>
      <c r="BP24" s="428" t="s">
        <v>475</v>
      </c>
      <c r="BQ24" s="606" t="s">
        <v>475</v>
      </c>
      <c r="BR24" s="428" t="s">
        <v>475</v>
      </c>
      <c r="BS24" s="548" t="str">
        <f t="shared" si="27"/>
        <v>n/a</v>
      </c>
      <c r="BT24" s="607" t="str">
        <f t="shared" si="28"/>
        <v>n/a</v>
      </c>
      <c r="BU24" s="325">
        <v>0.7</v>
      </c>
      <c r="BV24" s="650" t="str">
        <f t="shared" si="29"/>
        <v>n/a</v>
      </c>
      <c r="BW24" s="1165" t="s">
        <v>891</v>
      </c>
      <c r="BX24" s="602" t="s">
        <v>475</v>
      </c>
      <c r="BY24" s="1189"/>
      <c r="BZ24" s="1189"/>
      <c r="CA24" s="608" t="str">
        <f t="shared" si="30"/>
        <v>n/a</v>
      </c>
      <c r="CB24" s="428">
        <v>0</v>
      </c>
      <c r="CC24" s="428">
        <v>0</v>
      </c>
      <c r="CD24" s="609" t="str">
        <f t="shared" si="31"/>
        <v>n/a</v>
      </c>
      <c r="CE24" s="610" t="str">
        <f t="shared" si="32"/>
        <v>n/a</v>
      </c>
      <c r="CF24" s="609" t="str">
        <f t="shared" si="33"/>
        <v>n/a</v>
      </c>
      <c r="CG24" s="658" t="str">
        <f t="shared" si="34"/>
        <v>n/a</v>
      </c>
      <c r="CH24" s="743" t="s">
        <v>893</v>
      </c>
      <c r="CI24" s="330">
        <v>0</v>
      </c>
      <c r="CJ24" s="664">
        <f t="shared" si="35"/>
        <v>0</v>
      </c>
      <c r="CK24" s="328">
        <v>0</v>
      </c>
      <c r="CL24" s="611" t="s">
        <v>671</v>
      </c>
      <c r="CM24" s="428" t="s">
        <v>475</v>
      </c>
      <c r="CN24" s="428" t="s">
        <v>475</v>
      </c>
      <c r="CO24" s="428" t="s">
        <v>38</v>
      </c>
      <c r="CP24" s="570" t="s">
        <v>170</v>
      </c>
      <c r="CQ24" s="1167" t="s">
        <v>894</v>
      </c>
      <c r="CS24" s="1069">
        <f t="shared" si="36"/>
        <v>0</v>
      </c>
      <c r="CT24" s="1069">
        <f t="shared" si="37"/>
        <v>0</v>
      </c>
      <c r="CU24" s="1066">
        <f t="shared" si="38"/>
        <v>0</v>
      </c>
      <c r="CV24" s="1066">
        <f t="shared" si="39"/>
        <v>0</v>
      </c>
      <c r="CW24" s="1082">
        <f t="shared" si="40"/>
        <v>2.11</v>
      </c>
      <c r="CX24" s="1082">
        <f t="shared" si="41"/>
        <v>3.3759999999999999</v>
      </c>
    </row>
    <row r="25" spans="1:102" s="322" customFormat="1" ht="21" customHeight="1">
      <c r="A25" s="358"/>
      <c r="B25" s="402" t="s">
        <v>817</v>
      </c>
      <c r="C25" s="603" t="s">
        <v>1075</v>
      </c>
      <c r="D25" s="603" t="s">
        <v>1076</v>
      </c>
      <c r="E25" s="1058" t="s">
        <v>1078</v>
      </c>
      <c r="F25" s="1083" t="s">
        <v>833</v>
      </c>
      <c r="G25" s="1051"/>
      <c r="H25" s="1051"/>
      <c r="I25" s="560" t="s">
        <v>33</v>
      </c>
      <c r="J25" s="560" t="s">
        <v>34</v>
      </c>
      <c r="K25" s="604" t="s">
        <v>607</v>
      </c>
      <c r="L25" s="585">
        <v>0</v>
      </c>
      <c r="M25" s="473">
        <v>0</v>
      </c>
      <c r="N25" s="714">
        <v>5040</v>
      </c>
      <c r="O25" s="328"/>
      <c r="P25" s="718" t="str">
        <f t="shared" si="0"/>
        <v>3. Large</v>
      </c>
      <c r="Q25" s="965" t="s">
        <v>926</v>
      </c>
      <c r="R25" s="1138"/>
      <c r="S25" s="622" t="s">
        <v>811</v>
      </c>
      <c r="T25" s="323" t="str">
        <f t="shared" si="1"/>
        <v>Covered</v>
      </c>
      <c r="U25" s="561">
        <v>42376</v>
      </c>
      <c r="V25" s="1143"/>
      <c r="W25" s="558" t="s">
        <v>152</v>
      </c>
      <c r="X25" s="627">
        <v>0</v>
      </c>
      <c r="Y25" s="473">
        <v>0</v>
      </c>
      <c r="Z25" s="617" t="s">
        <v>43</v>
      </c>
      <c r="AA25" s="627">
        <v>3</v>
      </c>
      <c r="AB25" s="736">
        <v>18</v>
      </c>
      <c r="AC25" s="473">
        <v>0</v>
      </c>
      <c r="AD25" s="473">
        <v>7</v>
      </c>
      <c r="AE25" s="617"/>
      <c r="AF25" s="599">
        <v>0</v>
      </c>
      <c r="AG25" s="325">
        <v>0</v>
      </c>
      <c r="AH25" s="630">
        <f t="shared" si="2"/>
        <v>1</v>
      </c>
      <c r="AI25" s="574">
        <f t="shared" si="3"/>
        <v>5040</v>
      </c>
      <c r="AJ25" s="605">
        <f t="shared" si="4"/>
        <v>1</v>
      </c>
      <c r="AK25" s="574">
        <f t="shared" si="5"/>
        <v>5040</v>
      </c>
      <c r="AL25" s="605">
        <f t="shared" si="6"/>
        <v>1</v>
      </c>
      <c r="AM25" s="574">
        <f t="shared" si="7"/>
        <v>5040</v>
      </c>
      <c r="AN25" s="605" t="str">
        <f t="shared" si="8"/>
        <v>80-100%</v>
      </c>
      <c r="AO25" s="605">
        <f t="shared" si="9"/>
        <v>0</v>
      </c>
      <c r="AP25" s="574">
        <f t="shared" si="10"/>
        <v>0</v>
      </c>
      <c r="AQ25" s="574" t="str">
        <f t="shared" si="11"/>
        <v>yes</v>
      </c>
      <c r="AR25" s="574">
        <f t="shared" si="12"/>
        <v>0</v>
      </c>
      <c r="AS25" s="574">
        <f t="shared" si="13"/>
        <v>0</v>
      </c>
      <c r="AT25" s="574">
        <f t="shared" si="14"/>
        <v>0</v>
      </c>
      <c r="AU25" s="330">
        <v>1</v>
      </c>
      <c r="AV25" s="635">
        <f t="shared" si="15"/>
        <v>5040</v>
      </c>
      <c r="AW25" s="1155" t="s">
        <v>884</v>
      </c>
      <c r="AX25" s="740">
        <v>0</v>
      </c>
      <c r="AY25" s="428">
        <v>5</v>
      </c>
      <c r="AZ25" s="428">
        <v>42</v>
      </c>
      <c r="BA25" s="473" t="s">
        <v>963</v>
      </c>
      <c r="BB25" s="548">
        <f t="shared" si="16"/>
        <v>4.1666666666666664E-2</v>
      </c>
      <c r="BC25" s="606">
        <f t="shared" si="17"/>
        <v>210</v>
      </c>
      <c r="BD25" s="548">
        <f t="shared" si="18"/>
        <v>4.1666666666666664E-2</v>
      </c>
      <c r="BE25" s="606">
        <f t="shared" si="19"/>
        <v>210</v>
      </c>
      <c r="BF25" s="549">
        <f t="shared" si="20"/>
        <v>0</v>
      </c>
      <c r="BG25" s="606">
        <f t="shared" si="21"/>
        <v>0</v>
      </c>
      <c r="BH25" s="600" t="s">
        <v>475</v>
      </c>
      <c r="BI25" s="600" t="s">
        <v>475</v>
      </c>
      <c r="BJ25" s="606">
        <f t="shared" si="22"/>
        <v>0</v>
      </c>
      <c r="BK25" s="606" t="str">
        <f t="shared" si="23"/>
        <v>n/a</v>
      </c>
      <c r="BL25" s="428" t="s">
        <v>475</v>
      </c>
      <c r="BM25" s="548" t="str">
        <f t="shared" si="24"/>
        <v>n/a</v>
      </c>
      <c r="BN25" s="606" t="str">
        <f t="shared" si="25"/>
        <v>n/a</v>
      </c>
      <c r="BO25" s="606" t="str">
        <f t="shared" si="26"/>
        <v>n/a</v>
      </c>
      <c r="BP25" s="428" t="s">
        <v>475</v>
      </c>
      <c r="BQ25" s="606" t="s">
        <v>475</v>
      </c>
      <c r="BR25" s="428" t="s">
        <v>475</v>
      </c>
      <c r="BS25" s="548" t="str">
        <f t="shared" si="27"/>
        <v>n/a</v>
      </c>
      <c r="BT25" s="607" t="str">
        <f t="shared" si="28"/>
        <v>n/a</v>
      </c>
      <c r="BU25" s="325">
        <v>0.7</v>
      </c>
      <c r="BV25" s="650" t="str">
        <f t="shared" si="29"/>
        <v>n/a</v>
      </c>
      <c r="BW25" s="1165" t="s">
        <v>891</v>
      </c>
      <c r="BX25" s="602" t="s">
        <v>475</v>
      </c>
      <c r="BY25" s="1189"/>
      <c r="BZ25" s="1189"/>
      <c r="CA25" s="608" t="str">
        <f t="shared" si="30"/>
        <v>n/a</v>
      </c>
      <c r="CB25" s="428">
        <v>0</v>
      </c>
      <c r="CC25" s="428">
        <v>0</v>
      </c>
      <c r="CD25" s="609" t="str">
        <f t="shared" si="31"/>
        <v>n/a</v>
      </c>
      <c r="CE25" s="610" t="str">
        <f t="shared" si="32"/>
        <v>n/a</v>
      </c>
      <c r="CF25" s="609" t="str">
        <f t="shared" si="33"/>
        <v>n/a</v>
      </c>
      <c r="CG25" s="658" t="str">
        <f t="shared" si="34"/>
        <v>n/a</v>
      </c>
      <c r="CH25" s="743" t="s">
        <v>893</v>
      </c>
      <c r="CI25" s="330">
        <v>0</v>
      </c>
      <c r="CJ25" s="664">
        <f t="shared" si="35"/>
        <v>0</v>
      </c>
      <c r="CK25" s="328">
        <v>0</v>
      </c>
      <c r="CL25" s="611" t="s">
        <v>671</v>
      </c>
      <c r="CM25" s="428" t="s">
        <v>475</v>
      </c>
      <c r="CN25" s="428" t="s">
        <v>475</v>
      </c>
      <c r="CO25" s="428" t="s">
        <v>38</v>
      </c>
      <c r="CP25" s="570" t="s">
        <v>170</v>
      </c>
      <c r="CQ25" s="1167" t="s">
        <v>894</v>
      </c>
      <c r="CS25" s="1069">
        <f t="shared" si="36"/>
        <v>1</v>
      </c>
      <c r="CT25" s="1069">
        <f t="shared" si="37"/>
        <v>1</v>
      </c>
      <c r="CU25" s="1066">
        <f t="shared" si="38"/>
        <v>1</v>
      </c>
      <c r="CV25" s="1066">
        <f t="shared" si="39"/>
        <v>1</v>
      </c>
      <c r="CW25" s="1082">
        <f t="shared" si="40"/>
        <v>0</v>
      </c>
      <c r="CX25" s="1082">
        <f t="shared" si="41"/>
        <v>0</v>
      </c>
    </row>
    <row r="26" spans="1:102" s="322" customFormat="1" ht="21" customHeight="1">
      <c r="A26" s="358"/>
      <c r="B26" s="402" t="s">
        <v>817</v>
      </c>
      <c r="C26" s="603" t="s">
        <v>1079</v>
      </c>
      <c r="D26" s="603" t="s">
        <v>1080</v>
      </c>
      <c r="E26" s="1058" t="s">
        <v>1082</v>
      </c>
      <c r="F26" s="1083" t="s">
        <v>834</v>
      </c>
      <c r="G26" s="1051"/>
      <c r="H26" s="1051"/>
      <c r="I26" s="560" t="s">
        <v>33</v>
      </c>
      <c r="J26" s="560" t="s">
        <v>34</v>
      </c>
      <c r="K26" s="604" t="s">
        <v>607</v>
      </c>
      <c r="L26" s="585">
        <v>0</v>
      </c>
      <c r="M26" s="473">
        <v>0</v>
      </c>
      <c r="N26" s="714">
        <v>440</v>
      </c>
      <c r="O26" s="328"/>
      <c r="P26" s="718" t="str">
        <f t="shared" si="0"/>
        <v>1. Small</v>
      </c>
      <c r="Q26" s="965" t="s">
        <v>926</v>
      </c>
      <c r="R26" s="1138"/>
      <c r="S26" s="622" t="s">
        <v>811</v>
      </c>
      <c r="T26" s="323" t="str">
        <f t="shared" si="1"/>
        <v>Covered</v>
      </c>
      <c r="U26" s="561">
        <v>42376</v>
      </c>
      <c r="V26" s="1143"/>
      <c r="W26" s="558" t="s">
        <v>152</v>
      </c>
      <c r="X26" s="627">
        <v>0</v>
      </c>
      <c r="Y26" s="473">
        <v>0</v>
      </c>
      <c r="Z26" s="617" t="s">
        <v>43</v>
      </c>
      <c r="AA26" s="627">
        <v>0</v>
      </c>
      <c r="AB26" s="736">
        <v>0</v>
      </c>
      <c r="AC26" s="473">
        <v>0</v>
      </c>
      <c r="AD26" s="473">
        <v>1</v>
      </c>
      <c r="AE26" s="617"/>
      <c r="AF26" s="599">
        <v>0</v>
      </c>
      <c r="AG26" s="325">
        <v>0</v>
      </c>
      <c r="AH26" s="630">
        <f t="shared" si="2"/>
        <v>0</v>
      </c>
      <c r="AI26" s="574">
        <f t="shared" si="3"/>
        <v>0</v>
      </c>
      <c r="AJ26" s="605">
        <f t="shared" si="4"/>
        <v>0</v>
      </c>
      <c r="AK26" s="574">
        <f t="shared" si="5"/>
        <v>0</v>
      </c>
      <c r="AL26" s="605">
        <f t="shared" si="6"/>
        <v>0</v>
      </c>
      <c r="AM26" s="574">
        <f t="shared" si="7"/>
        <v>0</v>
      </c>
      <c r="AN26" s="605" t="str">
        <f t="shared" si="8"/>
        <v>0-10%</v>
      </c>
      <c r="AO26" s="605">
        <f t="shared" si="9"/>
        <v>0</v>
      </c>
      <c r="AP26" s="574">
        <f t="shared" si="10"/>
        <v>0</v>
      </c>
      <c r="AQ26" s="574" t="str">
        <f t="shared" si="11"/>
        <v>yes</v>
      </c>
      <c r="AR26" s="574">
        <f t="shared" si="12"/>
        <v>1.76</v>
      </c>
      <c r="AS26" s="574">
        <f t="shared" si="13"/>
        <v>0</v>
      </c>
      <c r="AT26" s="574">
        <f t="shared" si="14"/>
        <v>0</v>
      </c>
      <c r="AU26" s="330">
        <v>0.9</v>
      </c>
      <c r="AV26" s="635">
        <f t="shared" si="15"/>
        <v>396</v>
      </c>
      <c r="AW26" s="1155" t="s">
        <v>884</v>
      </c>
      <c r="AX26" s="740">
        <v>0</v>
      </c>
      <c r="AY26" s="428">
        <v>12</v>
      </c>
      <c r="AZ26" s="428">
        <v>42</v>
      </c>
      <c r="BA26" s="473" t="s">
        <v>963</v>
      </c>
      <c r="BB26" s="548">
        <f t="shared" si="16"/>
        <v>1</v>
      </c>
      <c r="BC26" s="606">
        <f t="shared" si="17"/>
        <v>440</v>
      </c>
      <c r="BD26" s="548">
        <f t="shared" si="18"/>
        <v>1</v>
      </c>
      <c r="BE26" s="606">
        <f t="shared" si="19"/>
        <v>440</v>
      </c>
      <c r="BF26" s="549">
        <f t="shared" si="20"/>
        <v>0</v>
      </c>
      <c r="BG26" s="606">
        <f t="shared" si="21"/>
        <v>0</v>
      </c>
      <c r="BH26" s="600" t="s">
        <v>475</v>
      </c>
      <c r="BI26" s="600" t="s">
        <v>475</v>
      </c>
      <c r="BJ26" s="606">
        <f t="shared" si="22"/>
        <v>0</v>
      </c>
      <c r="BK26" s="606" t="str">
        <f t="shared" si="23"/>
        <v>n/a</v>
      </c>
      <c r="BL26" s="428" t="s">
        <v>475</v>
      </c>
      <c r="BM26" s="548" t="str">
        <f t="shared" si="24"/>
        <v>n/a</v>
      </c>
      <c r="BN26" s="606" t="str">
        <f t="shared" si="25"/>
        <v>n/a</v>
      </c>
      <c r="BO26" s="606" t="str">
        <f t="shared" si="26"/>
        <v>n/a</v>
      </c>
      <c r="BP26" s="428" t="s">
        <v>475</v>
      </c>
      <c r="BQ26" s="606" t="s">
        <v>475</v>
      </c>
      <c r="BR26" s="428" t="s">
        <v>475</v>
      </c>
      <c r="BS26" s="548" t="str">
        <f t="shared" si="27"/>
        <v>n/a</v>
      </c>
      <c r="BT26" s="607" t="str">
        <f t="shared" si="28"/>
        <v>n/a</v>
      </c>
      <c r="BU26" s="325">
        <v>0.7</v>
      </c>
      <c r="BV26" s="650" t="str">
        <f t="shared" si="29"/>
        <v>n/a</v>
      </c>
      <c r="BW26" s="1165" t="s">
        <v>891</v>
      </c>
      <c r="BX26" s="602" t="s">
        <v>475</v>
      </c>
      <c r="BY26" s="1189"/>
      <c r="BZ26" s="1189"/>
      <c r="CA26" s="608" t="str">
        <f t="shared" si="30"/>
        <v>n/a</v>
      </c>
      <c r="CB26" s="428">
        <v>0</v>
      </c>
      <c r="CC26" s="428">
        <v>0</v>
      </c>
      <c r="CD26" s="609" t="str">
        <f t="shared" si="31"/>
        <v>n/a</v>
      </c>
      <c r="CE26" s="610" t="str">
        <f t="shared" si="32"/>
        <v>n/a</v>
      </c>
      <c r="CF26" s="609" t="str">
        <f t="shared" si="33"/>
        <v>n/a</v>
      </c>
      <c r="CG26" s="658" t="str">
        <f t="shared" si="34"/>
        <v>n/a</v>
      </c>
      <c r="CH26" s="743" t="s">
        <v>893</v>
      </c>
      <c r="CI26" s="330">
        <v>0</v>
      </c>
      <c r="CJ26" s="664">
        <f t="shared" si="35"/>
        <v>0</v>
      </c>
      <c r="CK26" s="328">
        <v>0</v>
      </c>
      <c r="CL26" s="611" t="s">
        <v>671</v>
      </c>
      <c r="CM26" s="428" t="s">
        <v>475</v>
      </c>
      <c r="CN26" s="428" t="s">
        <v>475</v>
      </c>
      <c r="CO26" s="428" t="s">
        <v>38</v>
      </c>
      <c r="CP26" s="570" t="s">
        <v>170</v>
      </c>
      <c r="CQ26" s="1167" t="s">
        <v>894</v>
      </c>
      <c r="CS26" s="1069">
        <f t="shared" si="36"/>
        <v>0</v>
      </c>
      <c r="CT26" s="1069">
        <f t="shared" si="37"/>
        <v>0</v>
      </c>
      <c r="CU26" s="1066">
        <f t="shared" si="38"/>
        <v>0</v>
      </c>
      <c r="CV26" s="1066">
        <f t="shared" si="39"/>
        <v>0</v>
      </c>
      <c r="CW26" s="1082">
        <f t="shared" si="40"/>
        <v>1.1000000000000001</v>
      </c>
      <c r="CX26" s="1082">
        <f t="shared" si="41"/>
        <v>1.76</v>
      </c>
    </row>
    <row r="27" spans="1:102" s="322" customFormat="1" ht="21" customHeight="1">
      <c r="A27" s="358"/>
      <c r="B27" s="402" t="s">
        <v>817</v>
      </c>
      <c r="C27" s="603" t="s">
        <v>1079</v>
      </c>
      <c r="D27" s="603" t="s">
        <v>1080</v>
      </c>
      <c r="E27" s="1058" t="s">
        <v>1081</v>
      </c>
      <c r="F27" s="1085" t="s">
        <v>976</v>
      </c>
      <c r="G27" s="1051"/>
      <c r="H27" s="1051"/>
      <c r="I27" s="560" t="s">
        <v>33</v>
      </c>
      <c r="J27" s="560" t="s">
        <v>45</v>
      </c>
      <c r="K27" s="604" t="s">
        <v>607</v>
      </c>
      <c r="L27" s="585">
        <v>0</v>
      </c>
      <c r="M27" s="473">
        <v>0</v>
      </c>
      <c r="N27" s="714">
        <v>412</v>
      </c>
      <c r="O27" s="328"/>
      <c r="P27" s="718" t="str">
        <f t="shared" si="0"/>
        <v>1. Small</v>
      </c>
      <c r="Q27" s="965" t="s">
        <v>926</v>
      </c>
      <c r="R27" s="1138"/>
      <c r="S27" s="622" t="s">
        <v>811</v>
      </c>
      <c r="T27" s="323" t="str">
        <f t="shared" si="1"/>
        <v>Covered</v>
      </c>
      <c r="U27" s="561">
        <v>42376</v>
      </c>
      <c r="V27" s="1143"/>
      <c r="W27" s="558" t="s">
        <v>152</v>
      </c>
      <c r="X27" s="627">
        <v>0</v>
      </c>
      <c r="Y27" s="473">
        <v>0</v>
      </c>
      <c r="Z27" s="617" t="s">
        <v>43</v>
      </c>
      <c r="AA27" s="627">
        <v>0</v>
      </c>
      <c r="AB27" s="736">
        <v>0</v>
      </c>
      <c r="AC27" s="473">
        <v>0</v>
      </c>
      <c r="AD27" s="473">
        <v>3</v>
      </c>
      <c r="AE27" s="617"/>
      <c r="AF27" s="599">
        <v>0</v>
      </c>
      <c r="AG27" s="325">
        <v>0</v>
      </c>
      <c r="AH27" s="630">
        <f t="shared" si="2"/>
        <v>0</v>
      </c>
      <c r="AI27" s="574">
        <f t="shared" si="3"/>
        <v>0</v>
      </c>
      <c r="AJ27" s="605">
        <f t="shared" si="4"/>
        <v>0</v>
      </c>
      <c r="AK27" s="574">
        <f t="shared" si="5"/>
        <v>0</v>
      </c>
      <c r="AL27" s="605">
        <f t="shared" si="6"/>
        <v>0</v>
      </c>
      <c r="AM27" s="574">
        <f t="shared" si="7"/>
        <v>0</v>
      </c>
      <c r="AN27" s="605" t="str">
        <f t="shared" si="8"/>
        <v>0-10%</v>
      </c>
      <c r="AO27" s="605">
        <f t="shared" si="9"/>
        <v>0</v>
      </c>
      <c r="AP27" s="574">
        <f t="shared" si="10"/>
        <v>0</v>
      </c>
      <c r="AQ27" s="574" t="str">
        <f t="shared" si="11"/>
        <v>yes</v>
      </c>
      <c r="AR27" s="574">
        <f t="shared" si="12"/>
        <v>1.6479999999999999</v>
      </c>
      <c r="AS27" s="574">
        <f t="shared" si="13"/>
        <v>0</v>
      </c>
      <c r="AT27" s="574">
        <f t="shared" si="14"/>
        <v>0</v>
      </c>
      <c r="AU27" s="330">
        <v>0.9</v>
      </c>
      <c r="AV27" s="635">
        <f t="shared" si="15"/>
        <v>370.8</v>
      </c>
      <c r="AW27" s="1155" t="s">
        <v>884</v>
      </c>
      <c r="AX27" s="740">
        <v>0</v>
      </c>
      <c r="AY27" s="428">
        <v>20</v>
      </c>
      <c r="AZ27" s="428">
        <v>42</v>
      </c>
      <c r="BA27" s="473" t="s">
        <v>963</v>
      </c>
      <c r="BB27" s="548">
        <f t="shared" si="16"/>
        <v>1</v>
      </c>
      <c r="BC27" s="606">
        <f t="shared" si="17"/>
        <v>412</v>
      </c>
      <c r="BD27" s="548">
        <f t="shared" si="18"/>
        <v>1</v>
      </c>
      <c r="BE27" s="606">
        <f t="shared" si="19"/>
        <v>412</v>
      </c>
      <c r="BF27" s="549">
        <f t="shared" si="20"/>
        <v>0</v>
      </c>
      <c r="BG27" s="606">
        <f t="shared" si="21"/>
        <v>0</v>
      </c>
      <c r="BH27" s="600" t="s">
        <v>475</v>
      </c>
      <c r="BI27" s="600" t="s">
        <v>475</v>
      </c>
      <c r="BJ27" s="606">
        <f t="shared" si="22"/>
        <v>0</v>
      </c>
      <c r="BK27" s="606" t="str">
        <f t="shared" si="23"/>
        <v>n/a</v>
      </c>
      <c r="BL27" s="428" t="s">
        <v>475</v>
      </c>
      <c r="BM27" s="548" t="str">
        <f t="shared" si="24"/>
        <v>n/a</v>
      </c>
      <c r="BN27" s="606" t="str">
        <f t="shared" si="25"/>
        <v>n/a</v>
      </c>
      <c r="BO27" s="606" t="str">
        <f t="shared" si="26"/>
        <v>n/a</v>
      </c>
      <c r="BP27" s="428" t="s">
        <v>475</v>
      </c>
      <c r="BQ27" s="606" t="s">
        <v>475</v>
      </c>
      <c r="BR27" s="428" t="s">
        <v>475</v>
      </c>
      <c r="BS27" s="548" t="str">
        <f t="shared" si="27"/>
        <v>n/a</v>
      </c>
      <c r="BT27" s="607" t="str">
        <f t="shared" si="28"/>
        <v>n/a</v>
      </c>
      <c r="BU27" s="325">
        <v>0.7</v>
      </c>
      <c r="BV27" s="650" t="str">
        <f t="shared" si="29"/>
        <v>n/a</v>
      </c>
      <c r="BW27" s="1165" t="s">
        <v>891</v>
      </c>
      <c r="BX27" s="602" t="s">
        <v>475</v>
      </c>
      <c r="BY27" s="1189"/>
      <c r="BZ27" s="1189"/>
      <c r="CA27" s="608" t="str">
        <f t="shared" si="30"/>
        <v>n/a</v>
      </c>
      <c r="CB27" s="428">
        <v>0</v>
      </c>
      <c r="CC27" s="428">
        <v>0</v>
      </c>
      <c r="CD27" s="609" t="str">
        <f t="shared" si="31"/>
        <v>n/a</v>
      </c>
      <c r="CE27" s="610" t="str">
        <f t="shared" si="32"/>
        <v>n/a</v>
      </c>
      <c r="CF27" s="609" t="str">
        <f t="shared" si="33"/>
        <v>n/a</v>
      </c>
      <c r="CG27" s="658" t="str">
        <f t="shared" si="34"/>
        <v>n/a</v>
      </c>
      <c r="CH27" s="743" t="s">
        <v>893</v>
      </c>
      <c r="CI27" s="330">
        <v>0</v>
      </c>
      <c r="CJ27" s="664">
        <f t="shared" si="35"/>
        <v>0</v>
      </c>
      <c r="CK27" s="328">
        <v>0</v>
      </c>
      <c r="CL27" s="611" t="s">
        <v>671</v>
      </c>
      <c r="CM27" s="428" t="s">
        <v>475</v>
      </c>
      <c r="CN27" s="428" t="s">
        <v>475</v>
      </c>
      <c r="CO27" s="428" t="s">
        <v>38</v>
      </c>
      <c r="CP27" s="570" t="s">
        <v>170</v>
      </c>
      <c r="CQ27" s="1167" t="s">
        <v>894</v>
      </c>
      <c r="CS27" s="1069">
        <f t="shared" si="36"/>
        <v>0</v>
      </c>
      <c r="CT27" s="1069">
        <f t="shared" si="37"/>
        <v>0</v>
      </c>
      <c r="CU27" s="1066">
        <f t="shared" si="38"/>
        <v>0</v>
      </c>
      <c r="CV27" s="1066">
        <f t="shared" si="39"/>
        <v>0</v>
      </c>
      <c r="CW27" s="1082">
        <f t="shared" si="40"/>
        <v>1.03</v>
      </c>
      <c r="CX27" s="1082">
        <f t="shared" si="41"/>
        <v>1.6479999999999999</v>
      </c>
    </row>
    <row r="28" spans="1:102" s="322" customFormat="1" ht="21" customHeight="1">
      <c r="A28" s="358"/>
      <c r="B28" s="402" t="s">
        <v>817</v>
      </c>
      <c r="C28" s="603" t="s">
        <v>1112</v>
      </c>
      <c r="D28" s="603" t="s">
        <v>854</v>
      </c>
      <c r="E28" s="1058" t="s">
        <v>1115</v>
      </c>
      <c r="F28" s="1084" t="s">
        <v>855</v>
      </c>
      <c r="G28" s="1051"/>
      <c r="H28" s="1051"/>
      <c r="I28" s="560" t="s">
        <v>33</v>
      </c>
      <c r="J28" s="560" t="s">
        <v>45</v>
      </c>
      <c r="K28" s="604" t="s">
        <v>607</v>
      </c>
      <c r="L28" s="585">
        <v>0</v>
      </c>
      <c r="M28" s="473">
        <v>0</v>
      </c>
      <c r="N28" s="714">
        <v>609</v>
      </c>
      <c r="O28" s="328"/>
      <c r="P28" s="718" t="str">
        <f t="shared" si="0"/>
        <v>2. Medium</v>
      </c>
      <c r="Q28" s="965" t="s">
        <v>926</v>
      </c>
      <c r="R28" s="1138"/>
      <c r="S28" s="622" t="s">
        <v>811</v>
      </c>
      <c r="T28" s="323" t="str">
        <f t="shared" si="1"/>
        <v>Covered</v>
      </c>
      <c r="U28" s="561">
        <v>42376</v>
      </c>
      <c r="V28" s="1143"/>
      <c r="W28" s="558" t="s">
        <v>152</v>
      </c>
      <c r="X28" s="627">
        <v>0</v>
      </c>
      <c r="Y28" s="473">
        <v>0</v>
      </c>
      <c r="Z28" s="617" t="s">
        <v>43</v>
      </c>
      <c r="AA28" s="627">
        <v>0</v>
      </c>
      <c r="AB28" s="736">
        <v>0</v>
      </c>
      <c r="AC28" s="473">
        <v>0</v>
      </c>
      <c r="AD28" s="473">
        <v>3</v>
      </c>
      <c r="AE28" s="617"/>
      <c r="AF28" s="599">
        <v>0</v>
      </c>
      <c r="AG28" s="325">
        <v>0</v>
      </c>
      <c r="AH28" s="630">
        <f t="shared" si="2"/>
        <v>0</v>
      </c>
      <c r="AI28" s="574">
        <f t="shared" si="3"/>
        <v>0</v>
      </c>
      <c r="AJ28" s="605">
        <f t="shared" si="4"/>
        <v>0</v>
      </c>
      <c r="AK28" s="574">
        <f t="shared" si="5"/>
        <v>0</v>
      </c>
      <c r="AL28" s="605">
        <f t="shared" si="6"/>
        <v>0</v>
      </c>
      <c r="AM28" s="574">
        <f t="shared" si="7"/>
        <v>0</v>
      </c>
      <c r="AN28" s="605" t="str">
        <f t="shared" si="8"/>
        <v>0-10%</v>
      </c>
      <c r="AO28" s="605">
        <f t="shared" si="9"/>
        <v>0</v>
      </c>
      <c r="AP28" s="574">
        <f t="shared" si="10"/>
        <v>0</v>
      </c>
      <c r="AQ28" s="574" t="str">
        <f t="shared" si="11"/>
        <v>yes</v>
      </c>
      <c r="AR28" s="574">
        <f t="shared" si="12"/>
        <v>2.4359999999999999</v>
      </c>
      <c r="AS28" s="574">
        <f t="shared" si="13"/>
        <v>0</v>
      </c>
      <c r="AT28" s="574">
        <f t="shared" si="14"/>
        <v>0</v>
      </c>
      <c r="AU28" s="330">
        <v>0.9</v>
      </c>
      <c r="AV28" s="635">
        <f t="shared" si="15"/>
        <v>548.1</v>
      </c>
      <c r="AW28" s="1155" t="s">
        <v>884</v>
      </c>
      <c r="AX28" s="740">
        <v>0</v>
      </c>
      <c r="AY28" s="428">
        <v>3</v>
      </c>
      <c r="AZ28" s="428">
        <v>42</v>
      </c>
      <c r="BA28" s="473" t="s">
        <v>963</v>
      </c>
      <c r="BB28" s="548">
        <f t="shared" si="16"/>
        <v>0.20689655172413793</v>
      </c>
      <c r="BC28" s="606">
        <f t="shared" si="17"/>
        <v>126</v>
      </c>
      <c r="BD28" s="548">
        <f t="shared" si="18"/>
        <v>0.20689655172413793</v>
      </c>
      <c r="BE28" s="606">
        <f t="shared" si="19"/>
        <v>126</v>
      </c>
      <c r="BF28" s="549">
        <f t="shared" si="20"/>
        <v>0</v>
      </c>
      <c r="BG28" s="606">
        <f t="shared" si="21"/>
        <v>0</v>
      </c>
      <c r="BH28" s="600" t="s">
        <v>475</v>
      </c>
      <c r="BI28" s="600" t="s">
        <v>475</v>
      </c>
      <c r="BJ28" s="606">
        <f t="shared" si="22"/>
        <v>0</v>
      </c>
      <c r="BK28" s="606" t="str">
        <f t="shared" si="23"/>
        <v>n/a</v>
      </c>
      <c r="BL28" s="428" t="s">
        <v>475</v>
      </c>
      <c r="BM28" s="548" t="str">
        <f t="shared" si="24"/>
        <v>n/a</v>
      </c>
      <c r="BN28" s="606" t="str">
        <f t="shared" si="25"/>
        <v>n/a</v>
      </c>
      <c r="BO28" s="606" t="str">
        <f t="shared" si="26"/>
        <v>n/a</v>
      </c>
      <c r="BP28" s="428" t="s">
        <v>475</v>
      </c>
      <c r="BQ28" s="606" t="s">
        <v>475</v>
      </c>
      <c r="BR28" s="428" t="s">
        <v>475</v>
      </c>
      <c r="BS28" s="548" t="str">
        <f t="shared" si="27"/>
        <v>n/a</v>
      </c>
      <c r="BT28" s="607" t="str">
        <f t="shared" si="28"/>
        <v>n/a</v>
      </c>
      <c r="BU28" s="325">
        <v>0.7</v>
      </c>
      <c r="BV28" s="650" t="str">
        <f t="shared" si="29"/>
        <v>n/a</v>
      </c>
      <c r="BW28" s="1165" t="s">
        <v>891</v>
      </c>
      <c r="BX28" s="602" t="s">
        <v>475</v>
      </c>
      <c r="BY28" s="1189"/>
      <c r="BZ28" s="1189"/>
      <c r="CA28" s="608" t="str">
        <f t="shared" si="30"/>
        <v>n/a</v>
      </c>
      <c r="CB28" s="428">
        <v>0</v>
      </c>
      <c r="CC28" s="428">
        <v>0</v>
      </c>
      <c r="CD28" s="609" t="str">
        <f t="shared" si="31"/>
        <v>n/a</v>
      </c>
      <c r="CE28" s="610" t="str">
        <f t="shared" si="32"/>
        <v>n/a</v>
      </c>
      <c r="CF28" s="609" t="str">
        <f t="shared" si="33"/>
        <v>n/a</v>
      </c>
      <c r="CG28" s="658" t="str">
        <f t="shared" si="34"/>
        <v>n/a</v>
      </c>
      <c r="CH28" s="743" t="s">
        <v>893</v>
      </c>
      <c r="CI28" s="330">
        <v>0</v>
      </c>
      <c r="CJ28" s="664">
        <f t="shared" si="35"/>
        <v>0</v>
      </c>
      <c r="CK28" s="328">
        <v>0</v>
      </c>
      <c r="CL28" s="611" t="s">
        <v>671</v>
      </c>
      <c r="CM28" s="428" t="s">
        <v>475</v>
      </c>
      <c r="CN28" s="428" t="s">
        <v>475</v>
      </c>
      <c r="CO28" s="428" t="s">
        <v>38</v>
      </c>
      <c r="CP28" s="570" t="s">
        <v>170</v>
      </c>
      <c r="CQ28" s="1167" t="s">
        <v>894</v>
      </c>
      <c r="CS28" s="1069">
        <f t="shared" si="36"/>
        <v>0</v>
      </c>
      <c r="CT28" s="1069">
        <f t="shared" si="37"/>
        <v>0</v>
      </c>
      <c r="CU28" s="1066">
        <f t="shared" si="38"/>
        <v>0</v>
      </c>
      <c r="CV28" s="1066">
        <f t="shared" si="39"/>
        <v>0</v>
      </c>
      <c r="CW28" s="1082">
        <f t="shared" si="40"/>
        <v>1.5225</v>
      </c>
      <c r="CX28" s="1082">
        <f t="shared" si="41"/>
        <v>2.4359999999999999</v>
      </c>
    </row>
    <row r="29" spans="1:102" s="322" customFormat="1" ht="21" customHeight="1">
      <c r="A29" s="358"/>
      <c r="B29" s="402" t="s">
        <v>817</v>
      </c>
      <c r="C29" s="603" t="s">
        <v>989</v>
      </c>
      <c r="D29" s="603" t="s">
        <v>990</v>
      </c>
      <c r="E29" s="1058" t="s">
        <v>992</v>
      </c>
      <c r="F29" s="728" t="s">
        <v>751</v>
      </c>
      <c r="G29" s="1051"/>
      <c r="H29" s="1051"/>
      <c r="I29" s="1120" t="s">
        <v>33</v>
      </c>
      <c r="J29" s="560" t="s">
        <v>45</v>
      </c>
      <c r="K29" s="604" t="s">
        <v>607</v>
      </c>
      <c r="L29" s="585">
        <v>0</v>
      </c>
      <c r="M29" s="473">
        <v>0</v>
      </c>
      <c r="N29" s="615">
        <v>343</v>
      </c>
      <c r="O29" s="328"/>
      <c r="P29" s="718" t="str">
        <f t="shared" si="0"/>
        <v>1. Small</v>
      </c>
      <c r="Q29" s="965" t="s">
        <v>926</v>
      </c>
      <c r="R29" s="1138"/>
      <c r="S29" s="622" t="s">
        <v>143</v>
      </c>
      <c r="T29" s="323" t="str">
        <f t="shared" si="1"/>
        <v>Covered</v>
      </c>
      <c r="U29" s="561">
        <v>42376</v>
      </c>
      <c r="V29" s="1143"/>
      <c r="W29" s="558" t="s">
        <v>152</v>
      </c>
      <c r="X29" s="627">
        <v>0</v>
      </c>
      <c r="Y29" s="473">
        <v>0</v>
      </c>
      <c r="Z29" s="617" t="s">
        <v>43</v>
      </c>
      <c r="AA29" s="627">
        <v>1</v>
      </c>
      <c r="AB29" s="473">
        <v>0</v>
      </c>
      <c r="AC29" s="473">
        <v>0</v>
      </c>
      <c r="AD29" s="473">
        <v>1</v>
      </c>
      <c r="AE29" s="617"/>
      <c r="AF29" s="599">
        <v>0</v>
      </c>
      <c r="AG29" s="330">
        <v>0</v>
      </c>
      <c r="AH29" s="630">
        <f t="shared" si="2"/>
        <v>0.7288629737609329</v>
      </c>
      <c r="AI29" s="574">
        <f t="shared" si="3"/>
        <v>249.99999999999997</v>
      </c>
      <c r="AJ29" s="605">
        <f t="shared" si="4"/>
        <v>0.7288629737609329</v>
      </c>
      <c r="AK29" s="574">
        <f t="shared" si="5"/>
        <v>249.99999999999997</v>
      </c>
      <c r="AL29" s="605">
        <f t="shared" si="6"/>
        <v>0.7288629737609329</v>
      </c>
      <c r="AM29" s="574">
        <f t="shared" si="7"/>
        <v>249.99999999999997</v>
      </c>
      <c r="AN29" s="605" t="str">
        <f t="shared" si="8"/>
        <v>60-80%</v>
      </c>
      <c r="AO29" s="605">
        <f t="shared" si="9"/>
        <v>0</v>
      </c>
      <c r="AP29" s="574">
        <f t="shared" si="10"/>
        <v>0</v>
      </c>
      <c r="AQ29" s="574" t="str">
        <f t="shared" si="11"/>
        <v>yes</v>
      </c>
      <c r="AR29" s="574">
        <f t="shared" si="12"/>
        <v>0.37200000000000011</v>
      </c>
      <c r="AS29" s="574">
        <f t="shared" si="13"/>
        <v>0</v>
      </c>
      <c r="AT29" s="574">
        <f t="shared" si="14"/>
        <v>0</v>
      </c>
      <c r="AU29" s="1123">
        <v>0.73</v>
      </c>
      <c r="AV29" s="635">
        <f t="shared" si="15"/>
        <v>250.39</v>
      </c>
      <c r="AW29" s="638"/>
      <c r="AX29" s="740">
        <v>0</v>
      </c>
      <c r="AY29" s="428">
        <v>2</v>
      </c>
      <c r="AZ29" s="428">
        <v>42</v>
      </c>
      <c r="BA29" s="473" t="s">
        <v>965</v>
      </c>
      <c r="BB29" s="548">
        <f t="shared" si="16"/>
        <v>0.24489795918367346</v>
      </c>
      <c r="BC29" s="606">
        <f t="shared" si="17"/>
        <v>84</v>
      </c>
      <c r="BD29" s="548">
        <f t="shared" si="18"/>
        <v>0.24489795918367346</v>
      </c>
      <c r="BE29" s="606">
        <f t="shared" si="19"/>
        <v>84</v>
      </c>
      <c r="BF29" s="549">
        <f t="shared" si="20"/>
        <v>0</v>
      </c>
      <c r="BG29" s="606">
        <f t="shared" si="21"/>
        <v>0</v>
      </c>
      <c r="BH29" s="600" t="s">
        <v>475</v>
      </c>
      <c r="BI29" s="600" t="s">
        <v>475</v>
      </c>
      <c r="BJ29" s="606">
        <f t="shared" si="22"/>
        <v>0</v>
      </c>
      <c r="BK29" s="606" t="str">
        <f t="shared" si="23"/>
        <v>n/a</v>
      </c>
      <c r="BL29" s="428" t="s">
        <v>475</v>
      </c>
      <c r="BM29" s="548" t="str">
        <f t="shared" si="24"/>
        <v>n/a</v>
      </c>
      <c r="BN29" s="606" t="str">
        <f t="shared" si="25"/>
        <v>n/a</v>
      </c>
      <c r="BO29" s="606" t="str">
        <f t="shared" si="26"/>
        <v>n/a</v>
      </c>
      <c r="BP29" s="578" t="s">
        <v>475</v>
      </c>
      <c r="BQ29" s="606" t="s">
        <v>475</v>
      </c>
      <c r="BR29" s="519" t="s">
        <v>475</v>
      </c>
      <c r="BS29" s="548" t="str">
        <f t="shared" si="27"/>
        <v>n/a</v>
      </c>
      <c r="BT29" s="607" t="str">
        <f t="shared" si="28"/>
        <v>n/a</v>
      </c>
      <c r="BU29" s="325">
        <v>1</v>
      </c>
      <c r="BV29" s="650" t="str">
        <f t="shared" si="29"/>
        <v>n/a</v>
      </c>
      <c r="BW29" s="325" t="s">
        <v>567</v>
      </c>
      <c r="BX29" s="602" t="s">
        <v>475</v>
      </c>
      <c r="BY29" s="1189"/>
      <c r="BZ29" s="1189"/>
      <c r="CA29" s="608" t="str">
        <f t="shared" si="30"/>
        <v>n/a</v>
      </c>
      <c r="CB29" s="428">
        <v>0</v>
      </c>
      <c r="CC29" s="428">
        <v>0</v>
      </c>
      <c r="CD29" s="609" t="str">
        <f t="shared" si="31"/>
        <v>n/a</v>
      </c>
      <c r="CE29" s="610" t="str">
        <f t="shared" si="32"/>
        <v>n/a</v>
      </c>
      <c r="CF29" s="609" t="str">
        <f t="shared" si="33"/>
        <v>n/a</v>
      </c>
      <c r="CG29" s="658" t="str">
        <f t="shared" si="34"/>
        <v>n/a</v>
      </c>
      <c r="CH29" s="328" t="s">
        <v>809</v>
      </c>
      <c r="CI29" s="330">
        <v>0</v>
      </c>
      <c r="CJ29" s="664">
        <f t="shared" si="35"/>
        <v>0</v>
      </c>
      <c r="CK29" s="328">
        <v>0</v>
      </c>
      <c r="CL29" s="611" t="s">
        <v>671</v>
      </c>
      <c r="CM29" s="428" t="s">
        <v>475</v>
      </c>
      <c r="CN29" s="428" t="s">
        <v>475</v>
      </c>
      <c r="CO29" s="428" t="s">
        <v>38</v>
      </c>
      <c r="CP29" s="570" t="s">
        <v>170</v>
      </c>
      <c r="CQ29" s="672"/>
      <c r="CS29" s="1069">
        <f t="shared" si="36"/>
        <v>1</v>
      </c>
      <c r="CT29" s="1069">
        <f t="shared" si="37"/>
        <v>0.7288629737609329</v>
      </c>
      <c r="CU29" s="1066">
        <f t="shared" si="38"/>
        <v>1</v>
      </c>
      <c r="CV29" s="1066">
        <f t="shared" si="39"/>
        <v>0.7288629737609329</v>
      </c>
      <c r="CW29" s="1082">
        <f t="shared" si="40"/>
        <v>0</v>
      </c>
      <c r="CX29" s="1082">
        <f t="shared" si="41"/>
        <v>0.37200000000000011</v>
      </c>
    </row>
    <row r="30" spans="1:102" s="322" customFormat="1" ht="21" customHeight="1">
      <c r="A30" s="358"/>
      <c r="B30" s="402" t="s">
        <v>817</v>
      </c>
      <c r="C30" s="603" t="s">
        <v>1092</v>
      </c>
      <c r="D30" s="603" t="s">
        <v>1093</v>
      </c>
      <c r="E30" s="1058" t="s">
        <v>1094</v>
      </c>
      <c r="F30" s="1083" t="s">
        <v>842</v>
      </c>
      <c r="G30" s="1051"/>
      <c r="H30" s="1051"/>
      <c r="I30" s="560" t="s">
        <v>33</v>
      </c>
      <c r="J30" s="560" t="s">
        <v>45</v>
      </c>
      <c r="K30" s="604" t="s">
        <v>607</v>
      </c>
      <c r="L30" s="585">
        <v>0</v>
      </c>
      <c r="M30" s="473">
        <v>0</v>
      </c>
      <c r="N30" s="714">
        <v>64</v>
      </c>
      <c r="O30" s="328"/>
      <c r="P30" s="718" t="str">
        <f t="shared" si="0"/>
        <v>1. Small</v>
      </c>
      <c r="Q30" s="965" t="s">
        <v>926</v>
      </c>
      <c r="R30" s="1138"/>
      <c r="S30" s="622" t="s">
        <v>811</v>
      </c>
      <c r="T30" s="323" t="str">
        <f t="shared" si="1"/>
        <v>Covered</v>
      </c>
      <c r="U30" s="561">
        <v>42376</v>
      </c>
      <c r="V30" s="1143"/>
      <c r="W30" s="558" t="s">
        <v>152</v>
      </c>
      <c r="X30" s="627">
        <v>0</v>
      </c>
      <c r="Y30" s="473">
        <v>0</v>
      </c>
      <c r="Z30" s="617" t="s">
        <v>43</v>
      </c>
      <c r="AA30" s="627">
        <v>0</v>
      </c>
      <c r="AB30" s="736">
        <v>0</v>
      </c>
      <c r="AC30" s="473">
        <v>0</v>
      </c>
      <c r="AD30" s="473">
        <v>1</v>
      </c>
      <c r="AE30" s="617"/>
      <c r="AF30" s="599">
        <v>0</v>
      </c>
      <c r="AG30" s="325">
        <v>0</v>
      </c>
      <c r="AH30" s="630">
        <f t="shared" si="2"/>
        <v>0</v>
      </c>
      <c r="AI30" s="574">
        <f t="shared" si="3"/>
        <v>0</v>
      </c>
      <c r="AJ30" s="605">
        <f t="shared" si="4"/>
        <v>0</v>
      </c>
      <c r="AK30" s="574">
        <f t="shared" si="5"/>
        <v>0</v>
      </c>
      <c r="AL30" s="605">
        <f t="shared" si="6"/>
        <v>0</v>
      </c>
      <c r="AM30" s="574">
        <f t="shared" si="7"/>
        <v>0</v>
      </c>
      <c r="AN30" s="605" t="str">
        <f t="shared" si="8"/>
        <v>0-10%</v>
      </c>
      <c r="AO30" s="605">
        <f t="shared" si="9"/>
        <v>0</v>
      </c>
      <c r="AP30" s="574">
        <f t="shared" si="10"/>
        <v>0</v>
      </c>
      <c r="AQ30" s="574" t="str">
        <f t="shared" si="11"/>
        <v>yes</v>
      </c>
      <c r="AR30" s="574">
        <f t="shared" si="12"/>
        <v>0.25600000000000001</v>
      </c>
      <c r="AS30" s="574">
        <f t="shared" si="13"/>
        <v>0</v>
      </c>
      <c r="AT30" s="574">
        <f t="shared" si="14"/>
        <v>0</v>
      </c>
      <c r="AU30" s="330">
        <v>0.9</v>
      </c>
      <c r="AV30" s="635">
        <f t="shared" si="15"/>
        <v>57.6</v>
      </c>
      <c r="AW30" s="1155" t="s">
        <v>884</v>
      </c>
      <c r="AX30" s="740">
        <v>0</v>
      </c>
      <c r="AY30" s="428">
        <v>0</v>
      </c>
      <c r="AZ30" s="428">
        <v>42</v>
      </c>
      <c r="BA30" s="473" t="s">
        <v>963</v>
      </c>
      <c r="BB30" s="548">
        <f t="shared" si="16"/>
        <v>0</v>
      </c>
      <c r="BC30" s="606">
        <f t="shared" si="17"/>
        <v>0</v>
      </c>
      <c r="BD30" s="548">
        <f t="shared" si="18"/>
        <v>0</v>
      </c>
      <c r="BE30" s="606">
        <f t="shared" si="19"/>
        <v>0</v>
      </c>
      <c r="BF30" s="549">
        <f t="shared" si="20"/>
        <v>0</v>
      </c>
      <c r="BG30" s="606">
        <f t="shared" si="21"/>
        <v>0</v>
      </c>
      <c r="BH30" s="600" t="s">
        <v>475</v>
      </c>
      <c r="BI30" s="600" t="s">
        <v>475</v>
      </c>
      <c r="BJ30" s="606">
        <f t="shared" si="22"/>
        <v>0</v>
      </c>
      <c r="BK30" s="606" t="str">
        <f t="shared" si="23"/>
        <v>n/a</v>
      </c>
      <c r="BL30" s="428" t="s">
        <v>475</v>
      </c>
      <c r="BM30" s="548" t="str">
        <f t="shared" si="24"/>
        <v>n/a</v>
      </c>
      <c r="BN30" s="606" t="str">
        <f t="shared" si="25"/>
        <v>n/a</v>
      </c>
      <c r="BO30" s="606" t="str">
        <f t="shared" si="26"/>
        <v>n/a</v>
      </c>
      <c r="BP30" s="428" t="s">
        <v>475</v>
      </c>
      <c r="BQ30" s="606" t="s">
        <v>475</v>
      </c>
      <c r="BR30" s="428" t="s">
        <v>475</v>
      </c>
      <c r="BS30" s="548" t="str">
        <f t="shared" si="27"/>
        <v>n/a</v>
      </c>
      <c r="BT30" s="607" t="str">
        <f t="shared" si="28"/>
        <v>n/a</v>
      </c>
      <c r="BU30" s="325">
        <v>0.7</v>
      </c>
      <c r="BV30" s="650" t="str">
        <f t="shared" si="29"/>
        <v>n/a</v>
      </c>
      <c r="BW30" s="1165" t="s">
        <v>891</v>
      </c>
      <c r="BX30" s="602" t="s">
        <v>475</v>
      </c>
      <c r="BY30" s="1189"/>
      <c r="BZ30" s="1189"/>
      <c r="CA30" s="608" t="str">
        <f t="shared" si="30"/>
        <v>n/a</v>
      </c>
      <c r="CB30" s="428">
        <v>0</v>
      </c>
      <c r="CC30" s="428">
        <v>0</v>
      </c>
      <c r="CD30" s="609" t="str">
        <f t="shared" si="31"/>
        <v>n/a</v>
      </c>
      <c r="CE30" s="610" t="str">
        <f t="shared" si="32"/>
        <v>n/a</v>
      </c>
      <c r="CF30" s="609" t="str">
        <f t="shared" si="33"/>
        <v>n/a</v>
      </c>
      <c r="CG30" s="658" t="str">
        <f t="shared" si="34"/>
        <v>n/a</v>
      </c>
      <c r="CH30" s="743" t="s">
        <v>893</v>
      </c>
      <c r="CI30" s="330">
        <v>0</v>
      </c>
      <c r="CJ30" s="664">
        <f t="shared" si="35"/>
        <v>0</v>
      </c>
      <c r="CK30" s="328">
        <v>0</v>
      </c>
      <c r="CL30" s="611" t="s">
        <v>671</v>
      </c>
      <c r="CM30" s="428" t="s">
        <v>475</v>
      </c>
      <c r="CN30" s="428" t="s">
        <v>475</v>
      </c>
      <c r="CO30" s="428" t="s">
        <v>38</v>
      </c>
      <c r="CP30" s="570" t="s">
        <v>170</v>
      </c>
      <c r="CQ30" s="1167" t="s">
        <v>894</v>
      </c>
      <c r="CS30" s="1069">
        <f t="shared" si="36"/>
        <v>0</v>
      </c>
      <c r="CT30" s="1069">
        <f t="shared" si="37"/>
        <v>0</v>
      </c>
      <c r="CU30" s="1066">
        <f t="shared" si="38"/>
        <v>0</v>
      </c>
      <c r="CV30" s="1066">
        <f t="shared" si="39"/>
        <v>0</v>
      </c>
      <c r="CW30" s="1082">
        <f t="shared" si="40"/>
        <v>0.16</v>
      </c>
      <c r="CX30" s="1082">
        <f t="shared" si="41"/>
        <v>0.25600000000000001</v>
      </c>
    </row>
    <row r="31" spans="1:102" s="322" customFormat="1" ht="21" customHeight="1">
      <c r="A31" s="358"/>
      <c r="B31" s="402" t="s">
        <v>817</v>
      </c>
      <c r="C31" s="603" t="s">
        <v>1014</v>
      </c>
      <c r="D31" s="603" t="s">
        <v>1015</v>
      </c>
      <c r="E31" s="1058" t="s">
        <v>1017</v>
      </c>
      <c r="F31" s="730" t="s">
        <v>766</v>
      </c>
      <c r="G31" s="1051"/>
      <c r="H31" s="1051"/>
      <c r="I31" s="1120" t="s">
        <v>33</v>
      </c>
      <c r="J31" s="560" t="s">
        <v>34</v>
      </c>
      <c r="K31" s="604" t="s">
        <v>607</v>
      </c>
      <c r="L31" s="585">
        <v>0</v>
      </c>
      <c r="M31" s="473">
        <v>0</v>
      </c>
      <c r="N31" s="616">
        <v>121</v>
      </c>
      <c r="O31" s="328"/>
      <c r="P31" s="718" t="str">
        <f t="shared" si="0"/>
        <v>1. Small</v>
      </c>
      <c r="Q31" s="965" t="s">
        <v>926</v>
      </c>
      <c r="R31" s="1138"/>
      <c r="S31" s="622" t="s">
        <v>143</v>
      </c>
      <c r="T31" s="323" t="str">
        <f t="shared" si="1"/>
        <v>Covered</v>
      </c>
      <c r="U31" s="561">
        <v>42376</v>
      </c>
      <c r="V31" s="1143"/>
      <c r="W31" s="558" t="s">
        <v>152</v>
      </c>
      <c r="X31" s="627">
        <v>0</v>
      </c>
      <c r="Y31" s="473">
        <v>0</v>
      </c>
      <c r="Z31" s="617" t="s">
        <v>43</v>
      </c>
      <c r="AA31" s="627">
        <v>0</v>
      </c>
      <c r="AB31" s="473">
        <v>0</v>
      </c>
      <c r="AC31" s="473">
        <v>0</v>
      </c>
      <c r="AD31" s="473">
        <v>1</v>
      </c>
      <c r="AE31" s="617"/>
      <c r="AF31" s="599">
        <v>0</v>
      </c>
      <c r="AG31" s="330">
        <v>0</v>
      </c>
      <c r="AH31" s="630">
        <f t="shared" si="2"/>
        <v>0</v>
      </c>
      <c r="AI31" s="574">
        <f t="shared" si="3"/>
        <v>0</v>
      </c>
      <c r="AJ31" s="605">
        <f t="shared" si="4"/>
        <v>0</v>
      </c>
      <c r="AK31" s="574">
        <f t="shared" si="5"/>
        <v>0</v>
      </c>
      <c r="AL31" s="605">
        <f t="shared" si="6"/>
        <v>0</v>
      </c>
      <c r="AM31" s="574">
        <f t="shared" si="7"/>
        <v>0</v>
      </c>
      <c r="AN31" s="605" t="str">
        <f t="shared" si="8"/>
        <v>0-10%</v>
      </c>
      <c r="AO31" s="605">
        <f t="shared" si="9"/>
        <v>0</v>
      </c>
      <c r="AP31" s="574">
        <f t="shared" si="10"/>
        <v>0</v>
      </c>
      <c r="AQ31" s="574" t="str">
        <f t="shared" si="11"/>
        <v>yes</v>
      </c>
      <c r="AR31" s="574">
        <f t="shared" si="12"/>
        <v>0.48399999999999999</v>
      </c>
      <c r="AS31" s="574">
        <f t="shared" si="13"/>
        <v>0</v>
      </c>
      <c r="AT31" s="574">
        <f t="shared" si="14"/>
        <v>0</v>
      </c>
      <c r="AU31" s="1123"/>
      <c r="AV31" s="635">
        <f t="shared" si="15"/>
        <v>0</v>
      </c>
      <c r="AW31" s="638"/>
      <c r="AX31" s="740">
        <v>0</v>
      </c>
      <c r="AY31" s="428">
        <v>2</v>
      </c>
      <c r="AZ31" s="428">
        <v>42</v>
      </c>
      <c r="BA31" s="473" t="s">
        <v>526</v>
      </c>
      <c r="BB31" s="548">
        <f t="shared" si="16"/>
        <v>0.69421487603305787</v>
      </c>
      <c r="BC31" s="606">
        <f t="shared" si="17"/>
        <v>84</v>
      </c>
      <c r="BD31" s="548">
        <f t="shared" si="18"/>
        <v>0.69421487603305787</v>
      </c>
      <c r="BE31" s="606">
        <f t="shared" si="19"/>
        <v>84</v>
      </c>
      <c r="BF31" s="549">
        <f t="shared" si="20"/>
        <v>0</v>
      </c>
      <c r="BG31" s="606">
        <f t="shared" si="21"/>
        <v>0</v>
      </c>
      <c r="BH31" s="600" t="s">
        <v>475</v>
      </c>
      <c r="BI31" s="600" t="s">
        <v>475</v>
      </c>
      <c r="BJ31" s="606">
        <f t="shared" si="22"/>
        <v>0</v>
      </c>
      <c r="BK31" s="606" t="str">
        <f t="shared" si="23"/>
        <v>n/a</v>
      </c>
      <c r="BL31" s="428" t="s">
        <v>475</v>
      </c>
      <c r="BM31" s="548" t="str">
        <f t="shared" si="24"/>
        <v>n/a</v>
      </c>
      <c r="BN31" s="606" t="str">
        <f t="shared" si="25"/>
        <v>n/a</v>
      </c>
      <c r="BO31" s="606" t="str">
        <f t="shared" si="26"/>
        <v>n/a</v>
      </c>
      <c r="BP31" s="578" t="s">
        <v>475</v>
      </c>
      <c r="BQ31" s="606" t="s">
        <v>475</v>
      </c>
      <c r="BR31" s="519" t="s">
        <v>475</v>
      </c>
      <c r="BS31" s="548" t="str">
        <f t="shared" si="27"/>
        <v>n/a</v>
      </c>
      <c r="BT31" s="607" t="str">
        <f t="shared" si="28"/>
        <v>n/a</v>
      </c>
      <c r="BU31" s="325">
        <v>1</v>
      </c>
      <c r="BV31" s="650" t="str">
        <f t="shared" si="29"/>
        <v>n/a</v>
      </c>
      <c r="BW31" s="325" t="s">
        <v>567</v>
      </c>
      <c r="BX31" s="602" t="s">
        <v>475</v>
      </c>
      <c r="BY31" s="1189"/>
      <c r="BZ31" s="1189"/>
      <c r="CA31" s="608" t="str">
        <f t="shared" si="30"/>
        <v>n/a</v>
      </c>
      <c r="CB31" s="428">
        <v>0</v>
      </c>
      <c r="CC31" s="428">
        <v>0</v>
      </c>
      <c r="CD31" s="609" t="str">
        <f t="shared" si="31"/>
        <v>n/a</v>
      </c>
      <c r="CE31" s="610" t="str">
        <f t="shared" si="32"/>
        <v>n/a</v>
      </c>
      <c r="CF31" s="609" t="str">
        <f t="shared" si="33"/>
        <v>n/a</v>
      </c>
      <c r="CG31" s="658" t="str">
        <f t="shared" si="34"/>
        <v>n/a</v>
      </c>
      <c r="CH31" s="328" t="s">
        <v>809</v>
      </c>
      <c r="CI31" s="330">
        <v>1</v>
      </c>
      <c r="CJ31" s="664">
        <f t="shared" si="35"/>
        <v>121</v>
      </c>
      <c r="CK31" s="328">
        <v>0</v>
      </c>
      <c r="CL31" s="611" t="s">
        <v>671</v>
      </c>
      <c r="CM31" s="428" t="s">
        <v>475</v>
      </c>
      <c r="CN31" s="428" t="s">
        <v>475</v>
      </c>
      <c r="CO31" s="428" t="s">
        <v>38</v>
      </c>
      <c r="CP31" s="570" t="s">
        <v>170</v>
      </c>
      <c r="CQ31" s="672"/>
      <c r="CS31" s="1069">
        <f t="shared" si="36"/>
        <v>0</v>
      </c>
      <c r="CT31" s="1069">
        <f t="shared" si="37"/>
        <v>0</v>
      </c>
      <c r="CU31" s="1066">
        <f t="shared" si="38"/>
        <v>0</v>
      </c>
      <c r="CV31" s="1066">
        <f t="shared" si="39"/>
        <v>0</v>
      </c>
      <c r="CW31" s="1082">
        <f t="shared" si="40"/>
        <v>0.30249999999999999</v>
      </c>
      <c r="CX31" s="1082">
        <f t="shared" si="41"/>
        <v>0.48399999999999999</v>
      </c>
    </row>
    <row r="32" spans="1:102" s="322" customFormat="1" ht="21" customHeight="1">
      <c r="A32" s="358"/>
      <c r="B32" s="402" t="s">
        <v>817</v>
      </c>
      <c r="C32" s="603" t="s">
        <v>1014</v>
      </c>
      <c r="D32" s="603" t="s">
        <v>1015</v>
      </c>
      <c r="E32" s="1058" t="s">
        <v>1017</v>
      </c>
      <c r="F32" s="730" t="s">
        <v>767</v>
      </c>
      <c r="G32" s="1051"/>
      <c r="H32" s="1051"/>
      <c r="I32" s="1120" t="s">
        <v>33</v>
      </c>
      <c r="J32" s="560" t="s">
        <v>45</v>
      </c>
      <c r="K32" s="604" t="s">
        <v>607</v>
      </c>
      <c r="L32" s="585">
        <v>0</v>
      </c>
      <c r="M32" s="473">
        <v>0</v>
      </c>
      <c r="N32" s="616">
        <v>69</v>
      </c>
      <c r="O32" s="328"/>
      <c r="P32" s="718" t="str">
        <f t="shared" si="0"/>
        <v>1. Small</v>
      </c>
      <c r="Q32" s="965" t="s">
        <v>926</v>
      </c>
      <c r="R32" s="1138"/>
      <c r="S32" s="622" t="s">
        <v>143</v>
      </c>
      <c r="T32" s="323" t="str">
        <f t="shared" si="1"/>
        <v>Covered</v>
      </c>
      <c r="U32" s="561">
        <v>42376</v>
      </c>
      <c r="V32" s="1143"/>
      <c r="W32" s="558" t="s">
        <v>152</v>
      </c>
      <c r="X32" s="627">
        <v>0</v>
      </c>
      <c r="Y32" s="473">
        <v>0</v>
      </c>
      <c r="Z32" s="617" t="s">
        <v>43</v>
      </c>
      <c r="AA32" s="627">
        <v>1</v>
      </c>
      <c r="AB32" s="473">
        <v>0</v>
      </c>
      <c r="AC32" s="473">
        <v>0</v>
      </c>
      <c r="AD32" s="473">
        <v>1</v>
      </c>
      <c r="AE32" s="617"/>
      <c r="AF32" s="599">
        <v>0</v>
      </c>
      <c r="AG32" s="330">
        <v>0</v>
      </c>
      <c r="AH32" s="630">
        <f t="shared" si="2"/>
        <v>1</v>
      </c>
      <c r="AI32" s="574">
        <f t="shared" si="3"/>
        <v>69</v>
      </c>
      <c r="AJ32" s="605">
        <f t="shared" si="4"/>
        <v>1</v>
      </c>
      <c r="AK32" s="574">
        <f t="shared" si="5"/>
        <v>69</v>
      </c>
      <c r="AL32" s="605">
        <f t="shared" si="6"/>
        <v>1</v>
      </c>
      <c r="AM32" s="574">
        <f t="shared" si="7"/>
        <v>69</v>
      </c>
      <c r="AN32" s="605" t="str">
        <f t="shared" si="8"/>
        <v>80-100%</v>
      </c>
      <c r="AO32" s="605">
        <f t="shared" si="9"/>
        <v>0</v>
      </c>
      <c r="AP32" s="574">
        <f t="shared" si="10"/>
        <v>0</v>
      </c>
      <c r="AQ32" s="574" t="str">
        <f t="shared" si="11"/>
        <v>yes</v>
      </c>
      <c r="AR32" s="574">
        <f t="shared" si="12"/>
        <v>0</v>
      </c>
      <c r="AS32" s="574">
        <f t="shared" si="13"/>
        <v>0</v>
      </c>
      <c r="AT32" s="574">
        <f t="shared" si="14"/>
        <v>0</v>
      </c>
      <c r="AU32" s="1123">
        <v>1</v>
      </c>
      <c r="AV32" s="635">
        <f t="shared" si="15"/>
        <v>69</v>
      </c>
      <c r="AW32" s="638"/>
      <c r="AX32" s="740">
        <v>0</v>
      </c>
      <c r="AY32" s="428">
        <v>2</v>
      </c>
      <c r="AZ32" s="428">
        <v>42</v>
      </c>
      <c r="BA32" s="473" t="s">
        <v>526</v>
      </c>
      <c r="BB32" s="548">
        <f t="shared" si="16"/>
        <v>1</v>
      </c>
      <c r="BC32" s="606">
        <f t="shared" si="17"/>
        <v>69</v>
      </c>
      <c r="BD32" s="548">
        <f t="shared" si="18"/>
        <v>1</v>
      </c>
      <c r="BE32" s="606">
        <f t="shared" si="19"/>
        <v>69</v>
      </c>
      <c r="BF32" s="549">
        <f t="shared" si="20"/>
        <v>0</v>
      </c>
      <c r="BG32" s="606">
        <f t="shared" si="21"/>
        <v>0</v>
      </c>
      <c r="BH32" s="600" t="s">
        <v>475</v>
      </c>
      <c r="BI32" s="600" t="s">
        <v>475</v>
      </c>
      <c r="BJ32" s="606">
        <f t="shared" si="22"/>
        <v>0</v>
      </c>
      <c r="BK32" s="606" t="str">
        <f t="shared" si="23"/>
        <v>n/a</v>
      </c>
      <c r="BL32" s="428" t="s">
        <v>475</v>
      </c>
      <c r="BM32" s="548" t="str">
        <f t="shared" si="24"/>
        <v>n/a</v>
      </c>
      <c r="BN32" s="606" t="str">
        <f t="shared" si="25"/>
        <v>n/a</v>
      </c>
      <c r="BO32" s="606" t="str">
        <f t="shared" si="26"/>
        <v>n/a</v>
      </c>
      <c r="BP32" s="578" t="s">
        <v>475</v>
      </c>
      <c r="BQ32" s="606" t="s">
        <v>475</v>
      </c>
      <c r="BR32" s="519" t="s">
        <v>475</v>
      </c>
      <c r="BS32" s="548" t="str">
        <f t="shared" si="27"/>
        <v>n/a</v>
      </c>
      <c r="BT32" s="607" t="str">
        <f t="shared" si="28"/>
        <v>n/a</v>
      </c>
      <c r="BU32" s="325">
        <v>1</v>
      </c>
      <c r="BV32" s="650" t="str">
        <f t="shared" si="29"/>
        <v>n/a</v>
      </c>
      <c r="BW32" s="325" t="s">
        <v>567</v>
      </c>
      <c r="BX32" s="602" t="s">
        <v>475</v>
      </c>
      <c r="BY32" s="1189"/>
      <c r="BZ32" s="1189"/>
      <c r="CA32" s="608" t="str">
        <f t="shared" si="30"/>
        <v>n/a</v>
      </c>
      <c r="CB32" s="428">
        <v>0</v>
      </c>
      <c r="CC32" s="428">
        <v>0</v>
      </c>
      <c r="CD32" s="609" t="str">
        <f t="shared" si="31"/>
        <v>n/a</v>
      </c>
      <c r="CE32" s="610" t="str">
        <f t="shared" si="32"/>
        <v>n/a</v>
      </c>
      <c r="CF32" s="609" t="str">
        <f t="shared" si="33"/>
        <v>n/a</v>
      </c>
      <c r="CG32" s="658" t="str">
        <f t="shared" si="34"/>
        <v>n/a</v>
      </c>
      <c r="CH32" s="328" t="s">
        <v>809</v>
      </c>
      <c r="CI32" s="330">
        <v>0</v>
      </c>
      <c r="CJ32" s="664">
        <f t="shared" si="35"/>
        <v>0</v>
      </c>
      <c r="CK32" s="328">
        <v>0</v>
      </c>
      <c r="CL32" s="611" t="s">
        <v>671</v>
      </c>
      <c r="CM32" s="428" t="s">
        <v>475</v>
      </c>
      <c r="CN32" s="428" t="s">
        <v>475</v>
      </c>
      <c r="CO32" s="428" t="s">
        <v>38</v>
      </c>
      <c r="CP32" s="570" t="s">
        <v>170</v>
      </c>
      <c r="CQ32" s="672"/>
      <c r="CS32" s="1069">
        <f t="shared" si="36"/>
        <v>1</v>
      </c>
      <c r="CT32" s="1069">
        <f t="shared" si="37"/>
        <v>1</v>
      </c>
      <c r="CU32" s="1066">
        <f t="shared" si="38"/>
        <v>1</v>
      </c>
      <c r="CV32" s="1066">
        <f t="shared" si="39"/>
        <v>1</v>
      </c>
      <c r="CW32" s="1082">
        <f t="shared" si="40"/>
        <v>0</v>
      </c>
      <c r="CX32" s="1082">
        <f t="shared" si="41"/>
        <v>0</v>
      </c>
    </row>
    <row r="33" spans="1:102" s="322" customFormat="1" ht="21" customHeight="1">
      <c r="A33" s="358"/>
      <c r="B33" s="402" t="s">
        <v>817</v>
      </c>
      <c r="C33" s="603" t="s">
        <v>1071</v>
      </c>
      <c r="D33" s="603" t="s">
        <v>1072</v>
      </c>
      <c r="E33" s="1058" t="s">
        <v>1073</v>
      </c>
      <c r="F33" s="1083" t="s">
        <v>969</v>
      </c>
      <c r="G33" s="1051"/>
      <c r="H33" s="1051"/>
      <c r="I33" s="560" t="s">
        <v>33</v>
      </c>
      <c r="J33" s="560" t="s">
        <v>34</v>
      </c>
      <c r="K33" s="604" t="s">
        <v>607</v>
      </c>
      <c r="L33" s="585">
        <v>0</v>
      </c>
      <c r="M33" s="473">
        <v>0</v>
      </c>
      <c r="N33" s="714">
        <v>383</v>
      </c>
      <c r="O33" s="328"/>
      <c r="P33" s="718" t="str">
        <f t="shared" si="0"/>
        <v>1. Small</v>
      </c>
      <c r="Q33" s="965" t="s">
        <v>926</v>
      </c>
      <c r="R33" s="1138"/>
      <c r="S33" s="622" t="s">
        <v>811</v>
      </c>
      <c r="T33" s="323" t="str">
        <f t="shared" si="1"/>
        <v>Covered</v>
      </c>
      <c r="U33" s="561">
        <v>42376</v>
      </c>
      <c r="V33" s="1143"/>
      <c r="W33" s="558" t="s">
        <v>152</v>
      </c>
      <c r="X33" s="627">
        <v>0</v>
      </c>
      <c r="Y33" s="473">
        <v>0</v>
      </c>
      <c r="Z33" s="617" t="s">
        <v>43</v>
      </c>
      <c r="AA33" s="627">
        <v>0</v>
      </c>
      <c r="AB33" s="736">
        <v>0</v>
      </c>
      <c r="AC33" s="473">
        <v>0</v>
      </c>
      <c r="AD33" s="473">
        <v>2</v>
      </c>
      <c r="AE33" s="617"/>
      <c r="AF33" s="599">
        <v>0</v>
      </c>
      <c r="AG33" s="325">
        <v>0</v>
      </c>
      <c r="AH33" s="630">
        <f t="shared" si="2"/>
        <v>0</v>
      </c>
      <c r="AI33" s="574">
        <f t="shared" si="3"/>
        <v>0</v>
      </c>
      <c r="AJ33" s="605">
        <f t="shared" si="4"/>
        <v>0</v>
      </c>
      <c r="AK33" s="574">
        <f t="shared" si="5"/>
        <v>0</v>
      </c>
      <c r="AL33" s="605">
        <f t="shared" si="6"/>
        <v>0</v>
      </c>
      <c r="AM33" s="574">
        <f t="shared" si="7"/>
        <v>0</v>
      </c>
      <c r="AN33" s="605" t="str">
        <f t="shared" si="8"/>
        <v>0-10%</v>
      </c>
      <c r="AO33" s="605">
        <f t="shared" si="9"/>
        <v>0</v>
      </c>
      <c r="AP33" s="574">
        <f t="shared" si="10"/>
        <v>0</v>
      </c>
      <c r="AQ33" s="574" t="str">
        <f t="shared" si="11"/>
        <v>yes</v>
      </c>
      <c r="AR33" s="574">
        <f t="shared" si="12"/>
        <v>1.532</v>
      </c>
      <c r="AS33" s="574">
        <f t="shared" si="13"/>
        <v>0</v>
      </c>
      <c r="AT33" s="574">
        <f t="shared" si="14"/>
        <v>0</v>
      </c>
      <c r="AU33" s="330">
        <v>0.9</v>
      </c>
      <c r="AV33" s="635">
        <f t="shared" si="15"/>
        <v>344.7</v>
      </c>
      <c r="AW33" s="1155" t="s">
        <v>884</v>
      </c>
      <c r="AX33" s="740">
        <v>0</v>
      </c>
      <c r="AY33" s="428">
        <v>5</v>
      </c>
      <c r="AZ33" s="428">
        <v>42</v>
      </c>
      <c r="BA33" s="473" t="s">
        <v>963</v>
      </c>
      <c r="BB33" s="548">
        <f t="shared" si="16"/>
        <v>0.54830287206266315</v>
      </c>
      <c r="BC33" s="606">
        <f t="shared" si="17"/>
        <v>210</v>
      </c>
      <c r="BD33" s="548">
        <f t="shared" si="18"/>
        <v>0.54830287206266315</v>
      </c>
      <c r="BE33" s="606">
        <f t="shared" si="19"/>
        <v>210</v>
      </c>
      <c r="BF33" s="549">
        <f t="shared" si="20"/>
        <v>0</v>
      </c>
      <c r="BG33" s="606">
        <f t="shared" si="21"/>
        <v>0</v>
      </c>
      <c r="BH33" s="600" t="s">
        <v>475</v>
      </c>
      <c r="BI33" s="600" t="s">
        <v>475</v>
      </c>
      <c r="BJ33" s="606">
        <f t="shared" si="22"/>
        <v>0</v>
      </c>
      <c r="BK33" s="606" t="str">
        <f t="shared" si="23"/>
        <v>n/a</v>
      </c>
      <c r="BL33" s="428" t="s">
        <v>475</v>
      </c>
      <c r="BM33" s="548" t="str">
        <f t="shared" si="24"/>
        <v>n/a</v>
      </c>
      <c r="BN33" s="606" t="str">
        <f t="shared" si="25"/>
        <v>n/a</v>
      </c>
      <c r="BO33" s="606" t="str">
        <f t="shared" si="26"/>
        <v>n/a</v>
      </c>
      <c r="BP33" s="428" t="s">
        <v>475</v>
      </c>
      <c r="BQ33" s="606" t="s">
        <v>475</v>
      </c>
      <c r="BR33" s="428" t="s">
        <v>475</v>
      </c>
      <c r="BS33" s="548" t="str">
        <f t="shared" si="27"/>
        <v>n/a</v>
      </c>
      <c r="BT33" s="607" t="str">
        <f t="shared" si="28"/>
        <v>n/a</v>
      </c>
      <c r="BU33" s="325">
        <v>0.7</v>
      </c>
      <c r="BV33" s="650" t="str">
        <f t="shared" si="29"/>
        <v>n/a</v>
      </c>
      <c r="BW33" s="1165" t="s">
        <v>891</v>
      </c>
      <c r="BX33" s="602" t="s">
        <v>475</v>
      </c>
      <c r="BY33" s="1189"/>
      <c r="BZ33" s="1189"/>
      <c r="CA33" s="608" t="str">
        <f t="shared" si="30"/>
        <v>n/a</v>
      </c>
      <c r="CB33" s="428">
        <v>0</v>
      </c>
      <c r="CC33" s="428">
        <v>0</v>
      </c>
      <c r="CD33" s="609" t="str">
        <f t="shared" si="31"/>
        <v>n/a</v>
      </c>
      <c r="CE33" s="610" t="str">
        <f t="shared" si="32"/>
        <v>n/a</v>
      </c>
      <c r="CF33" s="609" t="str">
        <f t="shared" si="33"/>
        <v>n/a</v>
      </c>
      <c r="CG33" s="658" t="str">
        <f t="shared" si="34"/>
        <v>n/a</v>
      </c>
      <c r="CH33" s="743" t="s">
        <v>893</v>
      </c>
      <c r="CI33" s="330">
        <v>0</v>
      </c>
      <c r="CJ33" s="664">
        <f t="shared" si="35"/>
        <v>0</v>
      </c>
      <c r="CK33" s="328">
        <v>0</v>
      </c>
      <c r="CL33" s="611" t="s">
        <v>671</v>
      </c>
      <c r="CM33" s="428" t="s">
        <v>475</v>
      </c>
      <c r="CN33" s="428" t="s">
        <v>475</v>
      </c>
      <c r="CO33" s="428" t="s">
        <v>38</v>
      </c>
      <c r="CP33" s="570" t="s">
        <v>170</v>
      </c>
      <c r="CQ33" s="1167" t="s">
        <v>894</v>
      </c>
      <c r="CS33" s="1069">
        <f t="shared" si="36"/>
        <v>0</v>
      </c>
      <c r="CT33" s="1069">
        <f t="shared" si="37"/>
        <v>0</v>
      </c>
      <c r="CU33" s="1066">
        <f t="shared" si="38"/>
        <v>0</v>
      </c>
      <c r="CV33" s="1066">
        <f t="shared" si="39"/>
        <v>0</v>
      </c>
      <c r="CW33" s="1082">
        <f t="shared" si="40"/>
        <v>0.95750000000000002</v>
      </c>
      <c r="CX33" s="1082">
        <f t="shared" si="41"/>
        <v>1.532</v>
      </c>
    </row>
    <row r="34" spans="1:102" s="322" customFormat="1" ht="21" customHeight="1">
      <c r="A34" s="358"/>
      <c r="B34" s="402" t="s">
        <v>817</v>
      </c>
      <c r="C34" s="603" t="s">
        <v>1007</v>
      </c>
      <c r="D34" s="603" t="s">
        <v>1008</v>
      </c>
      <c r="E34" s="1058" t="s">
        <v>1010</v>
      </c>
      <c r="F34" s="728" t="s">
        <v>761</v>
      </c>
      <c r="G34" s="1051"/>
      <c r="H34" s="1051"/>
      <c r="I34" s="1120" t="s">
        <v>33</v>
      </c>
      <c r="J34" s="560" t="s">
        <v>34</v>
      </c>
      <c r="K34" s="604" t="s">
        <v>607</v>
      </c>
      <c r="L34" s="585">
        <v>0</v>
      </c>
      <c r="M34" s="473">
        <v>0</v>
      </c>
      <c r="N34" s="616">
        <v>353</v>
      </c>
      <c r="O34" s="328"/>
      <c r="P34" s="718" t="str">
        <f t="shared" si="0"/>
        <v>1. Small</v>
      </c>
      <c r="Q34" s="965" t="s">
        <v>926</v>
      </c>
      <c r="R34" s="1138"/>
      <c r="S34" s="622" t="s">
        <v>143</v>
      </c>
      <c r="T34" s="323" t="str">
        <f t="shared" si="1"/>
        <v>Covered</v>
      </c>
      <c r="U34" s="561">
        <v>42376</v>
      </c>
      <c r="V34" s="1143"/>
      <c r="W34" s="558" t="s">
        <v>152</v>
      </c>
      <c r="X34" s="627">
        <v>0</v>
      </c>
      <c r="Y34" s="473">
        <v>0</v>
      </c>
      <c r="Z34" s="617" t="s">
        <v>43</v>
      </c>
      <c r="AA34" s="627">
        <v>0</v>
      </c>
      <c r="AB34" s="473">
        <v>0</v>
      </c>
      <c r="AC34" s="473">
        <v>0</v>
      </c>
      <c r="AD34" s="473">
        <v>1</v>
      </c>
      <c r="AE34" s="617"/>
      <c r="AF34" s="599">
        <v>0</v>
      </c>
      <c r="AG34" s="330">
        <v>0</v>
      </c>
      <c r="AH34" s="630">
        <f t="shared" si="2"/>
        <v>0</v>
      </c>
      <c r="AI34" s="574">
        <f t="shared" si="3"/>
        <v>0</v>
      </c>
      <c r="AJ34" s="605">
        <f t="shared" si="4"/>
        <v>0</v>
      </c>
      <c r="AK34" s="574">
        <f t="shared" si="5"/>
        <v>0</v>
      </c>
      <c r="AL34" s="605">
        <f t="shared" si="6"/>
        <v>0</v>
      </c>
      <c r="AM34" s="574">
        <f t="shared" si="7"/>
        <v>0</v>
      </c>
      <c r="AN34" s="605" t="str">
        <f t="shared" si="8"/>
        <v>0-10%</v>
      </c>
      <c r="AO34" s="605">
        <f t="shared" si="9"/>
        <v>0</v>
      </c>
      <c r="AP34" s="574">
        <f t="shared" si="10"/>
        <v>0</v>
      </c>
      <c r="AQ34" s="574" t="str">
        <f t="shared" si="11"/>
        <v>yes</v>
      </c>
      <c r="AR34" s="574">
        <f t="shared" si="12"/>
        <v>1.4119999999999999</v>
      </c>
      <c r="AS34" s="574">
        <f t="shared" si="13"/>
        <v>0</v>
      </c>
      <c r="AT34" s="574">
        <f t="shared" si="14"/>
        <v>0</v>
      </c>
      <c r="AU34" s="1123"/>
      <c r="AV34" s="635">
        <f t="shared" si="15"/>
        <v>0</v>
      </c>
      <c r="AW34" s="638"/>
      <c r="AX34" s="740">
        <v>0</v>
      </c>
      <c r="AY34" s="428">
        <v>10</v>
      </c>
      <c r="AZ34" s="428">
        <v>42</v>
      </c>
      <c r="BA34" s="473" t="s">
        <v>526</v>
      </c>
      <c r="BB34" s="548">
        <f t="shared" si="16"/>
        <v>1</v>
      </c>
      <c r="BC34" s="606">
        <f t="shared" si="17"/>
        <v>353</v>
      </c>
      <c r="BD34" s="548">
        <f t="shared" si="18"/>
        <v>1</v>
      </c>
      <c r="BE34" s="606">
        <f t="shared" si="19"/>
        <v>353</v>
      </c>
      <c r="BF34" s="549">
        <f t="shared" si="20"/>
        <v>0</v>
      </c>
      <c r="BG34" s="606">
        <f t="shared" si="21"/>
        <v>0</v>
      </c>
      <c r="BH34" s="600" t="s">
        <v>475</v>
      </c>
      <c r="BI34" s="600" t="s">
        <v>475</v>
      </c>
      <c r="BJ34" s="606">
        <f t="shared" si="22"/>
        <v>0</v>
      </c>
      <c r="BK34" s="606" t="str">
        <f t="shared" si="23"/>
        <v>n/a</v>
      </c>
      <c r="BL34" s="428" t="s">
        <v>475</v>
      </c>
      <c r="BM34" s="548" t="str">
        <f t="shared" si="24"/>
        <v>n/a</v>
      </c>
      <c r="BN34" s="606" t="str">
        <f t="shared" si="25"/>
        <v>n/a</v>
      </c>
      <c r="BO34" s="606" t="str">
        <f t="shared" si="26"/>
        <v>n/a</v>
      </c>
      <c r="BP34" s="578" t="s">
        <v>475</v>
      </c>
      <c r="BQ34" s="606" t="s">
        <v>475</v>
      </c>
      <c r="BR34" s="519" t="s">
        <v>475</v>
      </c>
      <c r="BS34" s="548" t="str">
        <f t="shared" si="27"/>
        <v>n/a</v>
      </c>
      <c r="BT34" s="607" t="str">
        <f t="shared" si="28"/>
        <v>n/a</v>
      </c>
      <c r="BU34" s="325">
        <v>1</v>
      </c>
      <c r="BV34" s="650" t="str">
        <f t="shared" si="29"/>
        <v>n/a</v>
      </c>
      <c r="BW34" s="325" t="s">
        <v>567</v>
      </c>
      <c r="BX34" s="602" t="s">
        <v>475</v>
      </c>
      <c r="BY34" s="1189"/>
      <c r="BZ34" s="1189"/>
      <c r="CA34" s="608" t="str">
        <f t="shared" si="30"/>
        <v>n/a</v>
      </c>
      <c r="CB34" s="428">
        <v>0</v>
      </c>
      <c r="CC34" s="428">
        <v>0</v>
      </c>
      <c r="CD34" s="609" t="str">
        <f t="shared" si="31"/>
        <v>n/a</v>
      </c>
      <c r="CE34" s="610" t="str">
        <f t="shared" si="32"/>
        <v>n/a</v>
      </c>
      <c r="CF34" s="609" t="str">
        <f t="shared" si="33"/>
        <v>n/a</v>
      </c>
      <c r="CG34" s="658" t="str">
        <f t="shared" si="34"/>
        <v>n/a</v>
      </c>
      <c r="CH34" s="328" t="s">
        <v>809</v>
      </c>
      <c r="CI34" s="330">
        <v>1</v>
      </c>
      <c r="CJ34" s="664">
        <f t="shared" si="35"/>
        <v>353</v>
      </c>
      <c r="CK34" s="328">
        <v>2</v>
      </c>
      <c r="CL34" s="611" t="s">
        <v>671</v>
      </c>
      <c r="CM34" s="428" t="s">
        <v>475</v>
      </c>
      <c r="CN34" s="428" t="s">
        <v>475</v>
      </c>
      <c r="CO34" s="428" t="s">
        <v>38</v>
      </c>
      <c r="CP34" s="570" t="s">
        <v>170</v>
      </c>
      <c r="CQ34" s="672"/>
      <c r="CS34" s="1069">
        <f t="shared" si="36"/>
        <v>0</v>
      </c>
      <c r="CT34" s="1069">
        <f t="shared" si="37"/>
        <v>0</v>
      </c>
      <c r="CU34" s="1066">
        <f t="shared" si="38"/>
        <v>0</v>
      </c>
      <c r="CV34" s="1066">
        <f t="shared" si="39"/>
        <v>0</v>
      </c>
      <c r="CW34" s="1082">
        <f t="shared" si="40"/>
        <v>0.88249999999999995</v>
      </c>
      <c r="CX34" s="1082">
        <f t="shared" si="41"/>
        <v>1.4119999999999999</v>
      </c>
    </row>
    <row r="35" spans="1:102" s="322" customFormat="1" ht="21" customHeight="1">
      <c r="A35" s="358"/>
      <c r="B35" s="402" t="s">
        <v>817</v>
      </c>
      <c r="C35" s="603" t="s">
        <v>1061</v>
      </c>
      <c r="D35" s="603" t="s">
        <v>1062</v>
      </c>
      <c r="E35" s="1058" t="s">
        <v>1063</v>
      </c>
      <c r="F35" s="1083" t="s">
        <v>823</v>
      </c>
      <c r="G35" s="1051"/>
      <c r="H35" s="1051"/>
      <c r="I35" s="560" t="s">
        <v>33</v>
      </c>
      <c r="J35" s="560" t="s">
        <v>820</v>
      </c>
      <c r="K35" s="604" t="s">
        <v>607</v>
      </c>
      <c r="L35" s="585">
        <v>0</v>
      </c>
      <c r="M35" s="473">
        <v>0</v>
      </c>
      <c r="N35" s="714">
        <v>834</v>
      </c>
      <c r="O35" s="328"/>
      <c r="P35" s="718" t="str">
        <f t="shared" si="0"/>
        <v>2. Medium</v>
      </c>
      <c r="Q35" s="965" t="s">
        <v>926</v>
      </c>
      <c r="R35" s="1138"/>
      <c r="S35" s="622" t="s">
        <v>811</v>
      </c>
      <c r="T35" s="323" t="str">
        <f t="shared" si="1"/>
        <v>Covered</v>
      </c>
      <c r="U35" s="561">
        <v>42376</v>
      </c>
      <c r="V35" s="1143"/>
      <c r="W35" s="558" t="s">
        <v>152</v>
      </c>
      <c r="X35" s="627">
        <v>0</v>
      </c>
      <c r="Y35" s="473">
        <v>0</v>
      </c>
      <c r="Z35" s="617" t="s">
        <v>43</v>
      </c>
      <c r="AA35" s="627">
        <v>0</v>
      </c>
      <c r="AB35" s="736">
        <v>0</v>
      </c>
      <c r="AC35" s="473">
        <v>0</v>
      </c>
      <c r="AD35" s="473">
        <v>2</v>
      </c>
      <c r="AE35" s="617"/>
      <c r="AF35" s="599">
        <v>0</v>
      </c>
      <c r="AG35" s="325">
        <v>0</v>
      </c>
      <c r="AH35" s="630">
        <f t="shared" si="2"/>
        <v>0</v>
      </c>
      <c r="AI35" s="574">
        <f t="shared" si="3"/>
        <v>0</v>
      </c>
      <c r="AJ35" s="605">
        <f t="shared" si="4"/>
        <v>0</v>
      </c>
      <c r="AK35" s="574">
        <f t="shared" si="5"/>
        <v>0</v>
      </c>
      <c r="AL35" s="605">
        <f t="shared" si="6"/>
        <v>0</v>
      </c>
      <c r="AM35" s="574">
        <f t="shared" si="7"/>
        <v>0</v>
      </c>
      <c r="AN35" s="605" t="str">
        <f t="shared" si="8"/>
        <v>0-10%</v>
      </c>
      <c r="AO35" s="605">
        <f t="shared" si="9"/>
        <v>0</v>
      </c>
      <c r="AP35" s="574">
        <f t="shared" si="10"/>
        <v>0</v>
      </c>
      <c r="AQ35" s="574" t="str">
        <f t="shared" si="11"/>
        <v>yes</v>
      </c>
      <c r="AR35" s="574">
        <f t="shared" si="12"/>
        <v>3.3359999999999999</v>
      </c>
      <c r="AS35" s="574">
        <f t="shared" si="13"/>
        <v>0</v>
      </c>
      <c r="AT35" s="574">
        <f t="shared" si="14"/>
        <v>0</v>
      </c>
      <c r="AU35" s="330">
        <v>0.9</v>
      </c>
      <c r="AV35" s="635">
        <f t="shared" si="15"/>
        <v>750.6</v>
      </c>
      <c r="AW35" s="1155" t="s">
        <v>885</v>
      </c>
      <c r="AX35" s="740">
        <v>0</v>
      </c>
      <c r="AY35" s="428">
        <v>5</v>
      </c>
      <c r="AZ35" s="428">
        <v>42</v>
      </c>
      <c r="BA35" s="473" t="s">
        <v>963</v>
      </c>
      <c r="BB35" s="548">
        <f t="shared" si="16"/>
        <v>0.25179856115107913</v>
      </c>
      <c r="BC35" s="606">
        <f t="shared" si="17"/>
        <v>210</v>
      </c>
      <c r="BD35" s="548">
        <f t="shared" si="18"/>
        <v>0.25179856115107913</v>
      </c>
      <c r="BE35" s="606">
        <f t="shared" si="19"/>
        <v>210</v>
      </c>
      <c r="BF35" s="549">
        <f t="shared" si="20"/>
        <v>0</v>
      </c>
      <c r="BG35" s="606">
        <f t="shared" si="21"/>
        <v>0</v>
      </c>
      <c r="BH35" s="600" t="s">
        <v>475</v>
      </c>
      <c r="BI35" s="600" t="s">
        <v>475</v>
      </c>
      <c r="BJ35" s="606">
        <f t="shared" si="22"/>
        <v>0</v>
      </c>
      <c r="BK35" s="606" t="str">
        <f t="shared" si="23"/>
        <v>n/a</v>
      </c>
      <c r="BL35" s="428" t="s">
        <v>475</v>
      </c>
      <c r="BM35" s="548" t="str">
        <f t="shared" si="24"/>
        <v>n/a</v>
      </c>
      <c r="BN35" s="606" t="str">
        <f t="shared" si="25"/>
        <v>n/a</v>
      </c>
      <c r="BO35" s="606" t="str">
        <f t="shared" si="26"/>
        <v>n/a</v>
      </c>
      <c r="BP35" s="428" t="s">
        <v>475</v>
      </c>
      <c r="BQ35" s="606" t="s">
        <v>475</v>
      </c>
      <c r="BR35" s="428" t="s">
        <v>475</v>
      </c>
      <c r="BS35" s="548" t="str">
        <f t="shared" si="27"/>
        <v>n/a</v>
      </c>
      <c r="BT35" s="607" t="str">
        <f t="shared" si="28"/>
        <v>n/a</v>
      </c>
      <c r="BU35" s="325">
        <v>0.7</v>
      </c>
      <c r="BV35" s="650" t="str">
        <f t="shared" si="29"/>
        <v>n/a</v>
      </c>
      <c r="BW35" s="1165" t="s">
        <v>891</v>
      </c>
      <c r="BX35" s="602" t="s">
        <v>475</v>
      </c>
      <c r="BY35" s="1189"/>
      <c r="BZ35" s="1189"/>
      <c r="CA35" s="608" t="str">
        <f t="shared" si="30"/>
        <v>n/a</v>
      </c>
      <c r="CB35" s="428">
        <v>0</v>
      </c>
      <c r="CC35" s="428">
        <v>0</v>
      </c>
      <c r="CD35" s="609" t="str">
        <f t="shared" si="31"/>
        <v>n/a</v>
      </c>
      <c r="CE35" s="610" t="str">
        <f t="shared" si="32"/>
        <v>n/a</v>
      </c>
      <c r="CF35" s="609" t="str">
        <f t="shared" si="33"/>
        <v>n/a</v>
      </c>
      <c r="CG35" s="658" t="str">
        <f t="shared" si="34"/>
        <v>n/a</v>
      </c>
      <c r="CH35" s="743" t="s">
        <v>893</v>
      </c>
      <c r="CI35" s="330">
        <v>0</v>
      </c>
      <c r="CJ35" s="664">
        <f t="shared" si="35"/>
        <v>0</v>
      </c>
      <c r="CK35" s="328">
        <v>0</v>
      </c>
      <c r="CL35" s="611" t="s">
        <v>671</v>
      </c>
      <c r="CM35" s="428" t="s">
        <v>475</v>
      </c>
      <c r="CN35" s="428" t="s">
        <v>475</v>
      </c>
      <c r="CO35" s="428" t="s">
        <v>38</v>
      </c>
      <c r="CP35" s="570" t="s">
        <v>170</v>
      </c>
      <c r="CQ35" s="1167" t="s">
        <v>894</v>
      </c>
      <c r="CS35" s="1069">
        <f t="shared" si="36"/>
        <v>0</v>
      </c>
      <c r="CT35" s="1069">
        <f t="shared" si="37"/>
        <v>0</v>
      </c>
      <c r="CU35" s="1066">
        <f t="shared" si="38"/>
        <v>0</v>
      </c>
      <c r="CV35" s="1066">
        <f t="shared" si="39"/>
        <v>0</v>
      </c>
      <c r="CW35" s="1082">
        <f t="shared" si="40"/>
        <v>2.085</v>
      </c>
      <c r="CX35" s="1082">
        <f t="shared" si="41"/>
        <v>3.3359999999999999</v>
      </c>
    </row>
    <row r="36" spans="1:102" s="322" customFormat="1" ht="21" customHeight="1">
      <c r="A36" s="358"/>
      <c r="B36" s="402" t="s">
        <v>817</v>
      </c>
      <c r="C36" s="603" t="s">
        <v>993</v>
      </c>
      <c r="D36" s="603" t="s">
        <v>994</v>
      </c>
      <c r="E36" s="1058" t="s">
        <v>995</v>
      </c>
      <c r="F36" s="728" t="s">
        <v>752</v>
      </c>
      <c r="G36" s="1051"/>
      <c r="H36" s="1051"/>
      <c r="I36" s="1120" t="s">
        <v>33</v>
      </c>
      <c r="J36" s="560" t="s">
        <v>45</v>
      </c>
      <c r="K36" s="604" t="s">
        <v>607</v>
      </c>
      <c r="L36" s="585">
        <v>0</v>
      </c>
      <c r="M36" s="473">
        <v>0</v>
      </c>
      <c r="N36" s="615">
        <v>62</v>
      </c>
      <c r="O36" s="328"/>
      <c r="P36" s="718" t="str">
        <f t="shared" si="0"/>
        <v>1. Small</v>
      </c>
      <c r="Q36" s="965" t="s">
        <v>926</v>
      </c>
      <c r="R36" s="1138"/>
      <c r="S36" s="622" t="s">
        <v>143</v>
      </c>
      <c r="T36" s="323" t="str">
        <f t="shared" si="1"/>
        <v>Covered</v>
      </c>
      <c r="U36" s="561">
        <v>42376</v>
      </c>
      <c r="V36" s="1143"/>
      <c r="W36" s="558" t="s">
        <v>152</v>
      </c>
      <c r="X36" s="627">
        <v>0</v>
      </c>
      <c r="Y36" s="473">
        <v>0</v>
      </c>
      <c r="Z36" s="617" t="s">
        <v>43</v>
      </c>
      <c r="AA36" s="627">
        <v>0</v>
      </c>
      <c r="AB36" s="473">
        <v>0</v>
      </c>
      <c r="AC36" s="473">
        <v>0</v>
      </c>
      <c r="AD36" s="473">
        <v>1</v>
      </c>
      <c r="AE36" s="617"/>
      <c r="AF36" s="599">
        <v>0</v>
      </c>
      <c r="AG36" s="330">
        <v>0</v>
      </c>
      <c r="AH36" s="630">
        <f t="shared" si="2"/>
        <v>0</v>
      </c>
      <c r="AI36" s="574">
        <f t="shared" si="3"/>
        <v>0</v>
      </c>
      <c r="AJ36" s="605">
        <f t="shared" si="4"/>
        <v>0</v>
      </c>
      <c r="AK36" s="574">
        <f t="shared" si="5"/>
        <v>0</v>
      </c>
      <c r="AL36" s="605">
        <f t="shared" si="6"/>
        <v>0</v>
      </c>
      <c r="AM36" s="574">
        <f t="shared" si="7"/>
        <v>0</v>
      </c>
      <c r="AN36" s="605" t="str">
        <f t="shared" si="8"/>
        <v>0-10%</v>
      </c>
      <c r="AO36" s="605">
        <f t="shared" si="9"/>
        <v>0</v>
      </c>
      <c r="AP36" s="574">
        <f t="shared" si="10"/>
        <v>0</v>
      </c>
      <c r="AQ36" s="574" t="str">
        <f t="shared" si="11"/>
        <v>yes</v>
      </c>
      <c r="AR36" s="574">
        <f t="shared" si="12"/>
        <v>0.248</v>
      </c>
      <c r="AS36" s="574">
        <f t="shared" si="13"/>
        <v>0</v>
      </c>
      <c r="AT36" s="574">
        <f t="shared" si="14"/>
        <v>0</v>
      </c>
      <c r="AU36" s="1123"/>
      <c r="AV36" s="635">
        <f t="shared" si="15"/>
        <v>0</v>
      </c>
      <c r="AW36" s="638"/>
      <c r="AX36" s="740">
        <v>0</v>
      </c>
      <c r="AY36" s="428">
        <v>4</v>
      </c>
      <c r="AZ36" s="428">
        <v>42</v>
      </c>
      <c r="BA36" s="473" t="s">
        <v>965</v>
      </c>
      <c r="BB36" s="548">
        <f t="shared" si="16"/>
        <v>1</v>
      </c>
      <c r="BC36" s="606">
        <f t="shared" si="17"/>
        <v>62</v>
      </c>
      <c r="BD36" s="548">
        <f t="shared" si="18"/>
        <v>1</v>
      </c>
      <c r="BE36" s="606">
        <f t="shared" si="19"/>
        <v>62</v>
      </c>
      <c r="BF36" s="549">
        <f t="shared" si="20"/>
        <v>0</v>
      </c>
      <c r="BG36" s="606">
        <f t="shared" si="21"/>
        <v>0</v>
      </c>
      <c r="BH36" s="600" t="s">
        <v>475</v>
      </c>
      <c r="BI36" s="600" t="s">
        <v>475</v>
      </c>
      <c r="BJ36" s="606">
        <f t="shared" si="22"/>
        <v>0</v>
      </c>
      <c r="BK36" s="606" t="str">
        <f t="shared" si="23"/>
        <v>n/a</v>
      </c>
      <c r="BL36" s="428" t="s">
        <v>475</v>
      </c>
      <c r="BM36" s="548" t="str">
        <f t="shared" si="24"/>
        <v>n/a</v>
      </c>
      <c r="BN36" s="606" t="str">
        <f t="shared" si="25"/>
        <v>n/a</v>
      </c>
      <c r="BO36" s="606" t="str">
        <f t="shared" si="26"/>
        <v>n/a</v>
      </c>
      <c r="BP36" s="578" t="s">
        <v>475</v>
      </c>
      <c r="BQ36" s="606" t="s">
        <v>475</v>
      </c>
      <c r="BR36" s="519" t="s">
        <v>475</v>
      </c>
      <c r="BS36" s="548" t="str">
        <f t="shared" si="27"/>
        <v>n/a</v>
      </c>
      <c r="BT36" s="607" t="str">
        <f t="shared" si="28"/>
        <v>n/a</v>
      </c>
      <c r="BU36" s="325">
        <v>1</v>
      </c>
      <c r="BV36" s="650" t="str">
        <f t="shared" si="29"/>
        <v>n/a</v>
      </c>
      <c r="BW36" s="325" t="s">
        <v>567</v>
      </c>
      <c r="BX36" s="602" t="s">
        <v>475</v>
      </c>
      <c r="BY36" s="1189"/>
      <c r="BZ36" s="1189"/>
      <c r="CA36" s="608" t="str">
        <f t="shared" si="30"/>
        <v>n/a</v>
      </c>
      <c r="CB36" s="428">
        <v>0</v>
      </c>
      <c r="CC36" s="428">
        <v>0</v>
      </c>
      <c r="CD36" s="609" t="str">
        <f t="shared" si="31"/>
        <v>n/a</v>
      </c>
      <c r="CE36" s="610" t="str">
        <f t="shared" si="32"/>
        <v>n/a</v>
      </c>
      <c r="CF36" s="609" t="str">
        <f t="shared" si="33"/>
        <v>n/a</v>
      </c>
      <c r="CG36" s="658" t="str">
        <f t="shared" si="34"/>
        <v>n/a</v>
      </c>
      <c r="CH36" s="328" t="s">
        <v>809</v>
      </c>
      <c r="CI36" s="330">
        <v>0</v>
      </c>
      <c r="CJ36" s="664">
        <f t="shared" si="35"/>
        <v>0</v>
      </c>
      <c r="CK36" s="328">
        <v>0</v>
      </c>
      <c r="CL36" s="611" t="s">
        <v>671</v>
      </c>
      <c r="CM36" s="428" t="s">
        <v>475</v>
      </c>
      <c r="CN36" s="428" t="s">
        <v>475</v>
      </c>
      <c r="CO36" s="428" t="s">
        <v>38</v>
      </c>
      <c r="CP36" s="570" t="s">
        <v>170</v>
      </c>
      <c r="CQ36" s="672"/>
      <c r="CS36" s="1069">
        <f t="shared" si="36"/>
        <v>0</v>
      </c>
      <c r="CT36" s="1069">
        <f t="shared" si="37"/>
        <v>0</v>
      </c>
      <c r="CU36" s="1066">
        <f t="shared" si="38"/>
        <v>0</v>
      </c>
      <c r="CV36" s="1066">
        <f t="shared" si="39"/>
        <v>0</v>
      </c>
      <c r="CW36" s="1082">
        <f t="shared" si="40"/>
        <v>0.155</v>
      </c>
      <c r="CX36" s="1082">
        <f t="shared" si="41"/>
        <v>0.248</v>
      </c>
    </row>
    <row r="37" spans="1:102" s="322" customFormat="1" ht="21" customHeight="1">
      <c r="A37" s="358"/>
      <c r="B37" s="402" t="s">
        <v>817</v>
      </c>
      <c r="C37" s="603" t="s">
        <v>1065</v>
      </c>
      <c r="D37" s="603" t="s">
        <v>1066</v>
      </c>
      <c r="E37" s="1058" t="s">
        <v>1068</v>
      </c>
      <c r="F37" s="1083" t="s">
        <v>826</v>
      </c>
      <c r="G37" s="1051"/>
      <c r="H37" s="1051"/>
      <c r="I37" s="560" t="s">
        <v>33</v>
      </c>
      <c r="J37" s="560" t="s">
        <v>34</v>
      </c>
      <c r="K37" s="604" t="s">
        <v>607</v>
      </c>
      <c r="L37" s="585">
        <v>0</v>
      </c>
      <c r="M37" s="473">
        <v>0</v>
      </c>
      <c r="N37" s="714">
        <v>1530</v>
      </c>
      <c r="O37" s="328"/>
      <c r="P37" s="718" t="str">
        <f t="shared" si="0"/>
        <v>3. Large</v>
      </c>
      <c r="Q37" s="965" t="s">
        <v>926</v>
      </c>
      <c r="R37" s="1138"/>
      <c r="S37" s="622" t="s">
        <v>811</v>
      </c>
      <c r="T37" s="323" t="str">
        <f t="shared" si="1"/>
        <v>Covered</v>
      </c>
      <c r="U37" s="561">
        <v>42376</v>
      </c>
      <c r="V37" s="1143"/>
      <c r="W37" s="558" t="s">
        <v>152</v>
      </c>
      <c r="X37" s="627">
        <v>0</v>
      </c>
      <c r="Y37" s="473">
        <v>0</v>
      </c>
      <c r="Z37" s="617" t="s">
        <v>43</v>
      </c>
      <c r="AA37" s="627">
        <v>0</v>
      </c>
      <c r="AB37" s="736">
        <v>1</v>
      </c>
      <c r="AC37" s="473">
        <v>0</v>
      </c>
      <c r="AD37" s="473">
        <v>1</v>
      </c>
      <c r="AE37" s="617"/>
      <c r="AF37" s="599">
        <v>0</v>
      </c>
      <c r="AG37" s="325">
        <v>0</v>
      </c>
      <c r="AH37" s="630">
        <f t="shared" si="2"/>
        <v>0.16339869281045752</v>
      </c>
      <c r="AI37" s="574">
        <f t="shared" si="3"/>
        <v>250</v>
      </c>
      <c r="AJ37" s="605">
        <f t="shared" si="4"/>
        <v>0.16339869281045752</v>
      </c>
      <c r="AK37" s="574">
        <f t="shared" si="5"/>
        <v>250</v>
      </c>
      <c r="AL37" s="605">
        <f t="shared" si="6"/>
        <v>0.16339869281045752</v>
      </c>
      <c r="AM37" s="574">
        <f t="shared" si="7"/>
        <v>250</v>
      </c>
      <c r="AN37" s="605" t="str">
        <f t="shared" si="8"/>
        <v>15-30%</v>
      </c>
      <c r="AO37" s="605">
        <f t="shared" si="9"/>
        <v>0</v>
      </c>
      <c r="AP37" s="574">
        <f t="shared" si="10"/>
        <v>0</v>
      </c>
      <c r="AQ37" s="574" t="str">
        <f t="shared" si="11"/>
        <v>yes</v>
      </c>
      <c r="AR37" s="574">
        <f t="shared" si="12"/>
        <v>5.12</v>
      </c>
      <c r="AS37" s="574">
        <f t="shared" si="13"/>
        <v>0</v>
      </c>
      <c r="AT37" s="574">
        <f t="shared" si="14"/>
        <v>0</v>
      </c>
      <c r="AU37" s="330">
        <v>0.9</v>
      </c>
      <c r="AV37" s="635">
        <f t="shared" si="15"/>
        <v>1377</v>
      </c>
      <c r="AW37" s="1155" t="s">
        <v>884</v>
      </c>
      <c r="AX37" s="740">
        <v>0</v>
      </c>
      <c r="AY37" s="428">
        <v>20</v>
      </c>
      <c r="AZ37" s="428">
        <v>42</v>
      </c>
      <c r="BA37" s="473" t="s">
        <v>963</v>
      </c>
      <c r="BB37" s="548">
        <f t="shared" si="16"/>
        <v>0.5490196078431373</v>
      </c>
      <c r="BC37" s="606">
        <f t="shared" si="17"/>
        <v>840.00000000000011</v>
      </c>
      <c r="BD37" s="548">
        <f t="shared" si="18"/>
        <v>0.5490196078431373</v>
      </c>
      <c r="BE37" s="606">
        <f t="shared" si="19"/>
        <v>840.00000000000011</v>
      </c>
      <c r="BF37" s="549">
        <f t="shared" si="20"/>
        <v>0</v>
      </c>
      <c r="BG37" s="606">
        <f t="shared" si="21"/>
        <v>0</v>
      </c>
      <c r="BH37" s="600" t="s">
        <v>475</v>
      </c>
      <c r="BI37" s="600" t="s">
        <v>475</v>
      </c>
      <c r="BJ37" s="606">
        <f t="shared" ref="BJ37:BJ68" si="42">IFERROR(BI37*N37,0)</f>
        <v>0</v>
      </c>
      <c r="BK37" s="606" t="str">
        <f t="shared" si="23"/>
        <v>n/a</v>
      </c>
      <c r="BL37" s="428" t="s">
        <v>475</v>
      </c>
      <c r="BM37" s="548" t="str">
        <f t="shared" si="24"/>
        <v>n/a</v>
      </c>
      <c r="BN37" s="606" t="str">
        <f t="shared" si="25"/>
        <v>n/a</v>
      </c>
      <c r="BO37" s="606" t="str">
        <f t="shared" si="26"/>
        <v>n/a</v>
      </c>
      <c r="BP37" s="428" t="s">
        <v>475</v>
      </c>
      <c r="BQ37" s="606" t="s">
        <v>475</v>
      </c>
      <c r="BR37" s="428" t="s">
        <v>475</v>
      </c>
      <c r="BS37" s="548" t="str">
        <f t="shared" si="27"/>
        <v>n/a</v>
      </c>
      <c r="BT37" s="607" t="str">
        <f t="shared" si="28"/>
        <v>n/a</v>
      </c>
      <c r="BU37" s="325">
        <v>0.7</v>
      </c>
      <c r="BV37" s="650" t="str">
        <f t="shared" si="29"/>
        <v>n/a</v>
      </c>
      <c r="BW37" s="1165" t="s">
        <v>891</v>
      </c>
      <c r="BX37" s="602" t="s">
        <v>475</v>
      </c>
      <c r="BY37" s="1189"/>
      <c r="BZ37" s="1189"/>
      <c r="CA37" s="608" t="str">
        <f t="shared" si="30"/>
        <v>n/a</v>
      </c>
      <c r="CB37" s="428">
        <v>0</v>
      </c>
      <c r="CC37" s="428">
        <v>0</v>
      </c>
      <c r="CD37" s="609" t="str">
        <f t="shared" si="31"/>
        <v>n/a</v>
      </c>
      <c r="CE37" s="610" t="str">
        <f t="shared" si="32"/>
        <v>n/a</v>
      </c>
      <c r="CF37" s="609" t="str">
        <f t="shared" si="33"/>
        <v>n/a</v>
      </c>
      <c r="CG37" s="658" t="str">
        <f t="shared" si="34"/>
        <v>n/a</v>
      </c>
      <c r="CH37" s="743" t="s">
        <v>893</v>
      </c>
      <c r="CI37" s="330">
        <v>0</v>
      </c>
      <c r="CJ37" s="664">
        <f t="shared" si="35"/>
        <v>0</v>
      </c>
      <c r="CK37" s="328">
        <v>0</v>
      </c>
      <c r="CL37" s="611" t="s">
        <v>671</v>
      </c>
      <c r="CM37" s="428" t="s">
        <v>475</v>
      </c>
      <c r="CN37" s="428" t="s">
        <v>475</v>
      </c>
      <c r="CO37" s="428" t="s">
        <v>38</v>
      </c>
      <c r="CP37" s="570" t="s">
        <v>170</v>
      </c>
      <c r="CQ37" s="1167" t="s">
        <v>894</v>
      </c>
      <c r="CS37" s="1069">
        <f t="shared" si="36"/>
        <v>0.32679738562091504</v>
      </c>
      <c r="CT37" s="1069">
        <f t="shared" si="37"/>
        <v>0.16339869281045752</v>
      </c>
      <c r="CU37" s="1066">
        <f t="shared" si="38"/>
        <v>0.32679738562091504</v>
      </c>
      <c r="CV37" s="1066">
        <f t="shared" si="39"/>
        <v>0.16339869281045752</v>
      </c>
      <c r="CW37" s="1082">
        <f t="shared" si="40"/>
        <v>2.8250000000000002</v>
      </c>
      <c r="CX37" s="1082">
        <f t="shared" si="41"/>
        <v>5.12</v>
      </c>
    </row>
    <row r="38" spans="1:102" s="322" customFormat="1" ht="21" customHeight="1">
      <c r="A38" s="358"/>
      <c r="B38" s="402" t="s">
        <v>817</v>
      </c>
      <c r="C38" s="603" t="s">
        <v>1000</v>
      </c>
      <c r="D38" s="603" t="s">
        <v>1001</v>
      </c>
      <c r="E38" s="1058" t="s">
        <v>1005</v>
      </c>
      <c r="F38" s="729" t="s">
        <v>758</v>
      </c>
      <c r="G38" s="1051"/>
      <c r="H38" s="1051"/>
      <c r="I38" s="1120" t="s">
        <v>33</v>
      </c>
      <c r="J38" s="560" t="s">
        <v>34</v>
      </c>
      <c r="K38" s="604" t="s">
        <v>607</v>
      </c>
      <c r="L38" s="585">
        <v>0</v>
      </c>
      <c r="M38" s="473">
        <v>0</v>
      </c>
      <c r="N38" s="616">
        <v>1948</v>
      </c>
      <c r="O38" s="328"/>
      <c r="P38" s="718" t="str">
        <f t="shared" si="0"/>
        <v>3. Large</v>
      </c>
      <c r="Q38" s="965" t="s">
        <v>926</v>
      </c>
      <c r="R38" s="626"/>
      <c r="S38" s="622" t="s">
        <v>143</v>
      </c>
      <c r="T38" s="323" t="str">
        <f t="shared" si="1"/>
        <v>Covered</v>
      </c>
      <c r="U38" s="561">
        <v>42376</v>
      </c>
      <c r="V38" s="1143"/>
      <c r="W38" s="558" t="s">
        <v>152</v>
      </c>
      <c r="X38" s="627">
        <v>0</v>
      </c>
      <c r="Y38" s="473">
        <v>0</v>
      </c>
      <c r="Z38" s="617" t="s">
        <v>43</v>
      </c>
      <c r="AA38" s="627">
        <v>0</v>
      </c>
      <c r="AB38" s="473">
        <v>0</v>
      </c>
      <c r="AC38" s="473">
        <v>0</v>
      </c>
      <c r="AD38" s="473">
        <v>2</v>
      </c>
      <c r="AE38" s="617"/>
      <c r="AF38" s="599">
        <v>0</v>
      </c>
      <c r="AG38" s="330">
        <v>0</v>
      </c>
      <c r="AH38" s="630">
        <f t="shared" si="2"/>
        <v>0</v>
      </c>
      <c r="AI38" s="574">
        <f t="shared" si="3"/>
        <v>0</v>
      </c>
      <c r="AJ38" s="605">
        <f t="shared" si="4"/>
        <v>0</v>
      </c>
      <c r="AK38" s="574">
        <f t="shared" si="5"/>
        <v>0</v>
      </c>
      <c r="AL38" s="605">
        <f t="shared" si="6"/>
        <v>0</v>
      </c>
      <c r="AM38" s="574">
        <f t="shared" si="7"/>
        <v>0</v>
      </c>
      <c r="AN38" s="605" t="str">
        <f t="shared" si="8"/>
        <v>0-10%</v>
      </c>
      <c r="AO38" s="605">
        <f t="shared" si="9"/>
        <v>0</v>
      </c>
      <c r="AP38" s="574">
        <f t="shared" si="10"/>
        <v>0</v>
      </c>
      <c r="AQ38" s="574" t="str">
        <f t="shared" si="11"/>
        <v>yes</v>
      </c>
      <c r="AR38" s="574">
        <f t="shared" si="12"/>
        <v>7.7919999999999998</v>
      </c>
      <c r="AS38" s="574">
        <f t="shared" si="13"/>
        <v>0</v>
      </c>
      <c r="AT38" s="574">
        <f t="shared" si="14"/>
        <v>0</v>
      </c>
      <c r="AU38" s="1123"/>
      <c r="AV38" s="635">
        <f t="shared" si="15"/>
        <v>0</v>
      </c>
      <c r="AW38" s="638"/>
      <c r="AX38" s="740">
        <v>0</v>
      </c>
      <c r="AY38" s="428">
        <v>66</v>
      </c>
      <c r="AZ38" s="428">
        <v>42</v>
      </c>
      <c r="BA38" s="473" t="s">
        <v>963</v>
      </c>
      <c r="BB38" s="548">
        <f t="shared" si="16"/>
        <v>1</v>
      </c>
      <c r="BC38" s="606">
        <f t="shared" si="17"/>
        <v>1948</v>
      </c>
      <c r="BD38" s="548">
        <f t="shared" si="18"/>
        <v>1</v>
      </c>
      <c r="BE38" s="606">
        <f t="shared" si="19"/>
        <v>1948</v>
      </c>
      <c r="BF38" s="549">
        <f t="shared" si="20"/>
        <v>0</v>
      </c>
      <c r="BG38" s="606">
        <f t="shared" si="21"/>
        <v>0</v>
      </c>
      <c r="BH38" s="600" t="s">
        <v>475</v>
      </c>
      <c r="BI38" s="600" t="s">
        <v>475</v>
      </c>
      <c r="BJ38" s="606">
        <f t="shared" si="42"/>
        <v>0</v>
      </c>
      <c r="BK38" s="606" t="str">
        <f t="shared" si="23"/>
        <v>n/a</v>
      </c>
      <c r="BL38" s="428" t="s">
        <v>475</v>
      </c>
      <c r="BM38" s="548" t="str">
        <f t="shared" si="24"/>
        <v>n/a</v>
      </c>
      <c r="BN38" s="606" t="str">
        <f t="shared" si="25"/>
        <v>n/a</v>
      </c>
      <c r="BO38" s="606" t="str">
        <f t="shared" si="26"/>
        <v>n/a</v>
      </c>
      <c r="BP38" s="578" t="s">
        <v>475</v>
      </c>
      <c r="BQ38" s="606" t="s">
        <v>475</v>
      </c>
      <c r="BR38" s="519" t="s">
        <v>475</v>
      </c>
      <c r="BS38" s="548" t="str">
        <f t="shared" si="27"/>
        <v>n/a</v>
      </c>
      <c r="BT38" s="607" t="str">
        <f t="shared" si="28"/>
        <v>n/a</v>
      </c>
      <c r="BU38" s="325">
        <v>1</v>
      </c>
      <c r="BV38" s="650" t="str">
        <f t="shared" si="29"/>
        <v>n/a</v>
      </c>
      <c r="BW38" s="325" t="s">
        <v>567</v>
      </c>
      <c r="BX38" s="602" t="s">
        <v>475</v>
      </c>
      <c r="BY38" s="1189"/>
      <c r="BZ38" s="1189"/>
      <c r="CA38" s="608" t="str">
        <f t="shared" si="30"/>
        <v>n/a</v>
      </c>
      <c r="CB38" s="428">
        <v>0</v>
      </c>
      <c r="CC38" s="428">
        <v>0</v>
      </c>
      <c r="CD38" s="609" t="str">
        <f t="shared" si="31"/>
        <v>n/a</v>
      </c>
      <c r="CE38" s="610" t="str">
        <f t="shared" si="32"/>
        <v>n/a</v>
      </c>
      <c r="CF38" s="609" t="str">
        <f t="shared" si="33"/>
        <v>n/a</v>
      </c>
      <c r="CG38" s="658" t="str">
        <f t="shared" si="34"/>
        <v>n/a</v>
      </c>
      <c r="CH38" s="328" t="s">
        <v>809</v>
      </c>
      <c r="CI38" s="330">
        <v>0.3</v>
      </c>
      <c r="CJ38" s="664">
        <f t="shared" si="35"/>
        <v>584.4</v>
      </c>
      <c r="CK38" s="328">
        <v>0</v>
      </c>
      <c r="CL38" s="611" t="s">
        <v>671</v>
      </c>
      <c r="CM38" s="428" t="s">
        <v>475</v>
      </c>
      <c r="CN38" s="428" t="s">
        <v>475</v>
      </c>
      <c r="CO38" s="428" t="s">
        <v>38</v>
      </c>
      <c r="CP38" s="570" t="s">
        <v>170</v>
      </c>
      <c r="CQ38" s="672"/>
      <c r="CS38" s="1069">
        <f t="shared" si="36"/>
        <v>0</v>
      </c>
      <c r="CT38" s="1069">
        <f t="shared" si="37"/>
        <v>0</v>
      </c>
      <c r="CU38" s="1066">
        <f t="shared" si="38"/>
        <v>0</v>
      </c>
      <c r="CV38" s="1066">
        <f t="shared" si="39"/>
        <v>0</v>
      </c>
      <c r="CW38" s="1082">
        <f t="shared" si="40"/>
        <v>4.87</v>
      </c>
      <c r="CX38" s="1082">
        <f t="shared" si="41"/>
        <v>7.7919999999999998</v>
      </c>
    </row>
    <row r="39" spans="1:102" s="322" customFormat="1" ht="21" customHeight="1">
      <c r="A39" s="358"/>
      <c r="B39" s="402" t="s">
        <v>817</v>
      </c>
      <c r="C39" s="603" t="s">
        <v>996</v>
      </c>
      <c r="D39" s="603" t="s">
        <v>997</v>
      </c>
      <c r="E39" s="1058" t="s">
        <v>1085</v>
      </c>
      <c r="F39" s="1083" t="s">
        <v>837</v>
      </c>
      <c r="G39" s="1051"/>
      <c r="H39" s="1051"/>
      <c r="I39" s="560" t="s">
        <v>33</v>
      </c>
      <c r="J39" s="560" t="s">
        <v>34</v>
      </c>
      <c r="K39" s="604" t="s">
        <v>607</v>
      </c>
      <c r="L39" s="585">
        <v>0</v>
      </c>
      <c r="M39" s="473">
        <v>0</v>
      </c>
      <c r="N39" s="714">
        <v>283</v>
      </c>
      <c r="O39" s="328"/>
      <c r="P39" s="718" t="str">
        <f t="shared" si="0"/>
        <v>1. Small</v>
      </c>
      <c r="Q39" s="965" t="s">
        <v>926</v>
      </c>
      <c r="R39" s="1138"/>
      <c r="S39" s="622" t="s">
        <v>811</v>
      </c>
      <c r="T39" s="323" t="str">
        <f t="shared" si="1"/>
        <v>Covered</v>
      </c>
      <c r="U39" s="561">
        <v>42376</v>
      </c>
      <c r="V39" s="1143"/>
      <c r="W39" s="558" t="s">
        <v>152</v>
      </c>
      <c r="X39" s="627">
        <v>0</v>
      </c>
      <c r="Y39" s="473">
        <v>0</v>
      </c>
      <c r="Z39" s="617" t="s">
        <v>43</v>
      </c>
      <c r="AA39" s="627">
        <v>0</v>
      </c>
      <c r="AB39" s="736">
        <v>0</v>
      </c>
      <c r="AC39" s="473">
        <v>0</v>
      </c>
      <c r="AD39" s="473">
        <v>2</v>
      </c>
      <c r="AE39" s="617"/>
      <c r="AF39" s="599">
        <v>0</v>
      </c>
      <c r="AG39" s="325">
        <v>0</v>
      </c>
      <c r="AH39" s="630">
        <f t="shared" si="2"/>
        <v>0</v>
      </c>
      <c r="AI39" s="574">
        <f t="shared" si="3"/>
        <v>0</v>
      </c>
      <c r="AJ39" s="605">
        <f t="shared" si="4"/>
        <v>0</v>
      </c>
      <c r="AK39" s="574">
        <f t="shared" si="5"/>
        <v>0</v>
      </c>
      <c r="AL39" s="605">
        <f t="shared" si="6"/>
        <v>0</v>
      </c>
      <c r="AM39" s="574">
        <f t="shared" si="7"/>
        <v>0</v>
      </c>
      <c r="AN39" s="605" t="str">
        <f t="shared" si="8"/>
        <v>0-10%</v>
      </c>
      <c r="AO39" s="605">
        <f t="shared" si="9"/>
        <v>0</v>
      </c>
      <c r="AP39" s="574">
        <f t="shared" si="10"/>
        <v>0</v>
      </c>
      <c r="AQ39" s="574" t="str">
        <f t="shared" si="11"/>
        <v>yes</v>
      </c>
      <c r="AR39" s="574">
        <f t="shared" si="12"/>
        <v>1.1319999999999999</v>
      </c>
      <c r="AS39" s="574">
        <f t="shared" si="13"/>
        <v>0</v>
      </c>
      <c r="AT39" s="574">
        <f t="shared" si="14"/>
        <v>0</v>
      </c>
      <c r="AU39" s="330">
        <v>0.9</v>
      </c>
      <c r="AV39" s="635">
        <f t="shared" si="15"/>
        <v>254.70000000000002</v>
      </c>
      <c r="AW39" s="1155" t="s">
        <v>884</v>
      </c>
      <c r="AX39" s="740">
        <v>0</v>
      </c>
      <c r="AY39" s="428">
        <v>5</v>
      </c>
      <c r="AZ39" s="428">
        <v>42</v>
      </c>
      <c r="BA39" s="473" t="s">
        <v>963</v>
      </c>
      <c r="BB39" s="548">
        <f t="shared" si="16"/>
        <v>0.74204946996466437</v>
      </c>
      <c r="BC39" s="606">
        <f t="shared" si="17"/>
        <v>210.00000000000003</v>
      </c>
      <c r="BD39" s="548">
        <f t="shared" si="18"/>
        <v>0.74204946996466437</v>
      </c>
      <c r="BE39" s="606">
        <f t="shared" si="19"/>
        <v>210.00000000000003</v>
      </c>
      <c r="BF39" s="549">
        <f t="shared" si="20"/>
        <v>0</v>
      </c>
      <c r="BG39" s="606">
        <f t="shared" si="21"/>
        <v>0</v>
      </c>
      <c r="BH39" s="600" t="s">
        <v>475</v>
      </c>
      <c r="BI39" s="600" t="s">
        <v>475</v>
      </c>
      <c r="BJ39" s="606">
        <f t="shared" si="42"/>
        <v>0</v>
      </c>
      <c r="BK39" s="606" t="str">
        <f t="shared" si="23"/>
        <v>n/a</v>
      </c>
      <c r="BL39" s="428" t="s">
        <v>475</v>
      </c>
      <c r="BM39" s="548" t="str">
        <f t="shared" si="24"/>
        <v>n/a</v>
      </c>
      <c r="BN39" s="606" t="str">
        <f t="shared" si="25"/>
        <v>n/a</v>
      </c>
      <c r="BO39" s="606" t="str">
        <f t="shared" si="26"/>
        <v>n/a</v>
      </c>
      <c r="BP39" s="428" t="s">
        <v>475</v>
      </c>
      <c r="BQ39" s="606" t="s">
        <v>475</v>
      </c>
      <c r="BR39" s="428" t="s">
        <v>475</v>
      </c>
      <c r="BS39" s="548" t="str">
        <f t="shared" si="27"/>
        <v>n/a</v>
      </c>
      <c r="BT39" s="607" t="str">
        <f t="shared" si="28"/>
        <v>n/a</v>
      </c>
      <c r="BU39" s="325">
        <v>0.7</v>
      </c>
      <c r="BV39" s="650" t="str">
        <f t="shared" si="29"/>
        <v>n/a</v>
      </c>
      <c r="BW39" s="1165" t="s">
        <v>891</v>
      </c>
      <c r="BX39" s="602" t="s">
        <v>475</v>
      </c>
      <c r="BY39" s="1189"/>
      <c r="BZ39" s="1189"/>
      <c r="CA39" s="608" t="str">
        <f t="shared" si="30"/>
        <v>n/a</v>
      </c>
      <c r="CB39" s="428">
        <v>0</v>
      </c>
      <c r="CC39" s="428">
        <v>0</v>
      </c>
      <c r="CD39" s="609" t="str">
        <f t="shared" si="31"/>
        <v>n/a</v>
      </c>
      <c r="CE39" s="610" t="str">
        <f t="shared" si="32"/>
        <v>n/a</v>
      </c>
      <c r="CF39" s="609" t="str">
        <f t="shared" si="33"/>
        <v>n/a</v>
      </c>
      <c r="CG39" s="658" t="str">
        <f t="shared" si="34"/>
        <v>n/a</v>
      </c>
      <c r="CH39" s="743" t="s">
        <v>893</v>
      </c>
      <c r="CI39" s="330">
        <v>0</v>
      </c>
      <c r="CJ39" s="664">
        <f t="shared" si="35"/>
        <v>0</v>
      </c>
      <c r="CK39" s="328">
        <v>0</v>
      </c>
      <c r="CL39" s="611" t="s">
        <v>671</v>
      </c>
      <c r="CM39" s="428" t="s">
        <v>475</v>
      </c>
      <c r="CN39" s="428" t="s">
        <v>475</v>
      </c>
      <c r="CO39" s="428" t="s">
        <v>38</v>
      </c>
      <c r="CP39" s="570" t="s">
        <v>170</v>
      </c>
      <c r="CQ39" s="1167" t="s">
        <v>894</v>
      </c>
      <c r="CS39" s="1069">
        <f t="shared" si="36"/>
        <v>0</v>
      </c>
      <c r="CT39" s="1069">
        <f t="shared" si="37"/>
        <v>0</v>
      </c>
      <c r="CU39" s="1066">
        <f t="shared" si="38"/>
        <v>0</v>
      </c>
      <c r="CV39" s="1066">
        <f t="shared" si="39"/>
        <v>0</v>
      </c>
      <c r="CW39" s="1082">
        <f t="shared" si="40"/>
        <v>0.70750000000000002</v>
      </c>
      <c r="CX39" s="1082">
        <f t="shared" si="41"/>
        <v>1.1319999999999999</v>
      </c>
    </row>
    <row r="40" spans="1:102" s="322" customFormat="1" ht="21" customHeight="1">
      <c r="A40" s="358"/>
      <c r="B40" s="402" t="s">
        <v>817</v>
      </c>
      <c r="C40" s="603"/>
      <c r="D40" s="603"/>
      <c r="E40" s="1058" t="s">
        <v>1070</v>
      </c>
      <c r="F40" s="1083" t="s">
        <v>828</v>
      </c>
      <c r="G40" s="1051"/>
      <c r="H40" s="1051"/>
      <c r="I40" s="560" t="s">
        <v>33</v>
      </c>
      <c r="J40" s="560" t="s">
        <v>34</v>
      </c>
      <c r="K40" s="604" t="s">
        <v>607</v>
      </c>
      <c r="L40" s="585">
        <v>0</v>
      </c>
      <c r="M40" s="473">
        <v>0</v>
      </c>
      <c r="N40" s="714">
        <v>304</v>
      </c>
      <c r="O40" s="328"/>
      <c r="P40" s="718" t="str">
        <f t="shared" si="0"/>
        <v>1. Small</v>
      </c>
      <c r="Q40" s="965" t="s">
        <v>926</v>
      </c>
      <c r="R40" s="1138"/>
      <c r="S40" s="622" t="s">
        <v>811</v>
      </c>
      <c r="T40" s="323" t="str">
        <f t="shared" si="1"/>
        <v>Covered</v>
      </c>
      <c r="U40" s="561">
        <v>42376</v>
      </c>
      <c r="V40" s="1143"/>
      <c r="W40" s="558" t="s">
        <v>152</v>
      </c>
      <c r="X40" s="627">
        <v>0</v>
      </c>
      <c r="Y40" s="473">
        <v>0</v>
      </c>
      <c r="Z40" s="617" t="s">
        <v>43</v>
      </c>
      <c r="AA40" s="627">
        <v>0</v>
      </c>
      <c r="AB40" s="736">
        <v>0</v>
      </c>
      <c r="AC40" s="473">
        <v>0</v>
      </c>
      <c r="AD40" s="473">
        <v>4</v>
      </c>
      <c r="AE40" s="617"/>
      <c r="AF40" s="599">
        <v>0</v>
      </c>
      <c r="AG40" s="325">
        <v>0</v>
      </c>
      <c r="AH40" s="630">
        <f t="shared" si="2"/>
        <v>0</v>
      </c>
      <c r="AI40" s="574">
        <f t="shared" si="3"/>
        <v>0</v>
      </c>
      <c r="AJ40" s="605">
        <f t="shared" si="4"/>
        <v>0</v>
      </c>
      <c r="AK40" s="574">
        <f t="shared" si="5"/>
        <v>0</v>
      </c>
      <c r="AL40" s="605">
        <f t="shared" si="6"/>
        <v>0</v>
      </c>
      <c r="AM40" s="574">
        <f t="shared" si="7"/>
        <v>0</v>
      </c>
      <c r="AN40" s="605" t="str">
        <f t="shared" si="8"/>
        <v>0-10%</v>
      </c>
      <c r="AO40" s="605">
        <f t="shared" si="9"/>
        <v>0</v>
      </c>
      <c r="AP40" s="574">
        <f t="shared" si="10"/>
        <v>0</v>
      </c>
      <c r="AQ40" s="574" t="str">
        <f t="shared" si="11"/>
        <v>yes</v>
      </c>
      <c r="AR40" s="574">
        <f t="shared" si="12"/>
        <v>1.216</v>
      </c>
      <c r="AS40" s="574">
        <f t="shared" si="13"/>
        <v>0</v>
      </c>
      <c r="AT40" s="574">
        <f t="shared" si="14"/>
        <v>0</v>
      </c>
      <c r="AU40" s="330">
        <v>0.9</v>
      </c>
      <c r="AV40" s="635">
        <f t="shared" si="15"/>
        <v>273.60000000000002</v>
      </c>
      <c r="AW40" s="1155" t="s">
        <v>887</v>
      </c>
      <c r="AX40" s="740">
        <v>0</v>
      </c>
      <c r="AY40" s="428">
        <v>0</v>
      </c>
      <c r="AZ40" s="428">
        <v>42</v>
      </c>
      <c r="BA40" s="473" t="s">
        <v>963</v>
      </c>
      <c r="BB40" s="548">
        <f t="shared" si="16"/>
        <v>0</v>
      </c>
      <c r="BC40" s="606">
        <f t="shared" si="17"/>
        <v>0</v>
      </c>
      <c r="BD40" s="548">
        <f t="shared" si="18"/>
        <v>0</v>
      </c>
      <c r="BE40" s="606">
        <f t="shared" si="19"/>
        <v>0</v>
      </c>
      <c r="BF40" s="549">
        <f t="shared" si="20"/>
        <v>0</v>
      </c>
      <c r="BG40" s="606">
        <f t="shared" si="21"/>
        <v>0</v>
      </c>
      <c r="BH40" s="600" t="s">
        <v>475</v>
      </c>
      <c r="BI40" s="600" t="s">
        <v>475</v>
      </c>
      <c r="BJ40" s="606">
        <f t="shared" si="42"/>
        <v>0</v>
      </c>
      <c r="BK40" s="606" t="str">
        <f t="shared" si="23"/>
        <v>n/a</v>
      </c>
      <c r="BL40" s="428" t="s">
        <v>475</v>
      </c>
      <c r="BM40" s="548" t="str">
        <f t="shared" si="24"/>
        <v>n/a</v>
      </c>
      <c r="BN40" s="606" t="str">
        <f t="shared" si="25"/>
        <v>n/a</v>
      </c>
      <c r="BO40" s="606" t="str">
        <f t="shared" si="26"/>
        <v>n/a</v>
      </c>
      <c r="BP40" s="428" t="s">
        <v>475</v>
      </c>
      <c r="BQ40" s="606" t="s">
        <v>475</v>
      </c>
      <c r="BR40" s="428" t="s">
        <v>475</v>
      </c>
      <c r="BS40" s="548" t="str">
        <f t="shared" si="27"/>
        <v>n/a</v>
      </c>
      <c r="BT40" s="607" t="str">
        <f t="shared" si="28"/>
        <v>n/a</v>
      </c>
      <c r="BU40" s="325">
        <v>0.7</v>
      </c>
      <c r="BV40" s="650" t="str">
        <f t="shared" si="29"/>
        <v>n/a</v>
      </c>
      <c r="BW40" s="1165" t="s">
        <v>891</v>
      </c>
      <c r="BX40" s="602" t="s">
        <v>475</v>
      </c>
      <c r="BY40" s="1189"/>
      <c r="BZ40" s="1189"/>
      <c r="CA40" s="608" t="str">
        <f t="shared" si="30"/>
        <v>n/a</v>
      </c>
      <c r="CB40" s="428">
        <v>0</v>
      </c>
      <c r="CC40" s="428">
        <v>0</v>
      </c>
      <c r="CD40" s="609" t="str">
        <f t="shared" si="31"/>
        <v>n/a</v>
      </c>
      <c r="CE40" s="610" t="str">
        <f t="shared" si="32"/>
        <v>n/a</v>
      </c>
      <c r="CF40" s="609" t="str">
        <f t="shared" si="33"/>
        <v>n/a</v>
      </c>
      <c r="CG40" s="658" t="str">
        <f t="shared" si="34"/>
        <v>n/a</v>
      </c>
      <c r="CH40" s="743" t="s">
        <v>893</v>
      </c>
      <c r="CI40" s="330">
        <v>0</v>
      </c>
      <c r="CJ40" s="664">
        <f t="shared" si="35"/>
        <v>0</v>
      </c>
      <c r="CK40" s="328">
        <v>0</v>
      </c>
      <c r="CL40" s="611" t="s">
        <v>671</v>
      </c>
      <c r="CM40" s="428" t="s">
        <v>475</v>
      </c>
      <c r="CN40" s="428" t="s">
        <v>475</v>
      </c>
      <c r="CO40" s="428" t="s">
        <v>38</v>
      </c>
      <c r="CP40" s="570" t="s">
        <v>170</v>
      </c>
      <c r="CQ40" s="1167" t="s">
        <v>894</v>
      </c>
      <c r="CS40" s="1069">
        <f t="shared" si="36"/>
        <v>0</v>
      </c>
      <c r="CT40" s="1069">
        <f t="shared" si="37"/>
        <v>0</v>
      </c>
      <c r="CU40" s="1066">
        <f t="shared" si="38"/>
        <v>0</v>
      </c>
      <c r="CV40" s="1066">
        <f t="shared" si="39"/>
        <v>0</v>
      </c>
      <c r="CW40" s="1082">
        <f t="shared" si="40"/>
        <v>0.76</v>
      </c>
      <c r="CX40" s="1082">
        <f t="shared" si="41"/>
        <v>1.216</v>
      </c>
    </row>
    <row r="41" spans="1:102" s="322" customFormat="1" ht="21" customHeight="1">
      <c r="A41" s="358"/>
      <c r="B41" s="402" t="s">
        <v>817</v>
      </c>
      <c r="C41" s="603" t="s">
        <v>1086</v>
      </c>
      <c r="D41" s="603" t="s">
        <v>838</v>
      </c>
      <c r="E41" s="1058" t="s">
        <v>1087</v>
      </c>
      <c r="F41" s="1083" t="s">
        <v>838</v>
      </c>
      <c r="G41" s="1051"/>
      <c r="H41" s="1051"/>
      <c r="I41" s="560" t="s">
        <v>33</v>
      </c>
      <c r="J41" s="560" t="s">
        <v>34</v>
      </c>
      <c r="K41" s="604" t="s">
        <v>607</v>
      </c>
      <c r="L41" s="585">
        <v>0</v>
      </c>
      <c r="M41" s="473">
        <v>0</v>
      </c>
      <c r="N41" s="714">
        <v>276</v>
      </c>
      <c r="O41" s="328"/>
      <c r="P41" s="718" t="str">
        <f t="shared" si="0"/>
        <v>1. Small</v>
      </c>
      <c r="Q41" s="965" t="s">
        <v>926</v>
      </c>
      <c r="R41" s="1138"/>
      <c r="S41" s="622" t="s">
        <v>811</v>
      </c>
      <c r="T41" s="323" t="str">
        <f t="shared" si="1"/>
        <v>Covered</v>
      </c>
      <c r="U41" s="561">
        <v>42376</v>
      </c>
      <c r="V41" s="1143"/>
      <c r="W41" s="558" t="s">
        <v>152</v>
      </c>
      <c r="X41" s="627">
        <v>0</v>
      </c>
      <c r="Y41" s="473">
        <v>0</v>
      </c>
      <c r="Z41" s="617" t="s">
        <v>43</v>
      </c>
      <c r="AA41" s="627">
        <v>0</v>
      </c>
      <c r="AB41" s="736">
        <v>0</v>
      </c>
      <c r="AC41" s="473">
        <v>0</v>
      </c>
      <c r="AD41" s="473">
        <v>4</v>
      </c>
      <c r="AE41" s="617"/>
      <c r="AF41" s="599">
        <v>0</v>
      </c>
      <c r="AG41" s="325">
        <v>0</v>
      </c>
      <c r="AH41" s="630">
        <f t="shared" si="2"/>
        <v>0</v>
      </c>
      <c r="AI41" s="574">
        <f t="shared" si="3"/>
        <v>0</v>
      </c>
      <c r="AJ41" s="605">
        <f t="shared" si="4"/>
        <v>0</v>
      </c>
      <c r="AK41" s="574">
        <f t="shared" si="5"/>
        <v>0</v>
      </c>
      <c r="AL41" s="605">
        <f t="shared" si="6"/>
        <v>0</v>
      </c>
      <c r="AM41" s="574">
        <f t="shared" si="7"/>
        <v>0</v>
      </c>
      <c r="AN41" s="605" t="str">
        <f t="shared" si="8"/>
        <v>0-10%</v>
      </c>
      <c r="AO41" s="605">
        <f t="shared" si="9"/>
        <v>0</v>
      </c>
      <c r="AP41" s="574">
        <f t="shared" si="10"/>
        <v>0</v>
      </c>
      <c r="AQ41" s="574" t="str">
        <f t="shared" si="11"/>
        <v>yes</v>
      </c>
      <c r="AR41" s="574">
        <f t="shared" si="12"/>
        <v>1.1040000000000001</v>
      </c>
      <c r="AS41" s="574">
        <f t="shared" si="13"/>
        <v>0</v>
      </c>
      <c r="AT41" s="574">
        <f t="shared" si="14"/>
        <v>0</v>
      </c>
      <c r="AU41" s="330">
        <v>0.9</v>
      </c>
      <c r="AV41" s="635">
        <f t="shared" si="15"/>
        <v>248.4</v>
      </c>
      <c r="AW41" s="1155" t="s">
        <v>884</v>
      </c>
      <c r="AX41" s="740">
        <v>0</v>
      </c>
      <c r="AY41" s="428">
        <v>20</v>
      </c>
      <c r="AZ41" s="428">
        <v>42</v>
      </c>
      <c r="BA41" s="473" t="s">
        <v>963</v>
      </c>
      <c r="BB41" s="548">
        <f t="shared" si="16"/>
        <v>1</v>
      </c>
      <c r="BC41" s="606">
        <f t="shared" si="17"/>
        <v>276</v>
      </c>
      <c r="BD41" s="548">
        <f t="shared" si="18"/>
        <v>1</v>
      </c>
      <c r="BE41" s="606">
        <f t="shared" si="19"/>
        <v>276</v>
      </c>
      <c r="BF41" s="549">
        <f t="shared" si="20"/>
        <v>0</v>
      </c>
      <c r="BG41" s="606">
        <f t="shared" si="21"/>
        <v>0</v>
      </c>
      <c r="BH41" s="600" t="s">
        <v>475</v>
      </c>
      <c r="BI41" s="600" t="s">
        <v>475</v>
      </c>
      <c r="BJ41" s="606">
        <f t="shared" si="42"/>
        <v>0</v>
      </c>
      <c r="BK41" s="606" t="str">
        <f t="shared" si="23"/>
        <v>n/a</v>
      </c>
      <c r="BL41" s="428" t="s">
        <v>475</v>
      </c>
      <c r="BM41" s="548" t="str">
        <f t="shared" si="24"/>
        <v>n/a</v>
      </c>
      <c r="BN41" s="606" t="str">
        <f t="shared" si="25"/>
        <v>n/a</v>
      </c>
      <c r="BO41" s="606" t="str">
        <f t="shared" si="26"/>
        <v>n/a</v>
      </c>
      <c r="BP41" s="428" t="s">
        <v>475</v>
      </c>
      <c r="BQ41" s="606" t="s">
        <v>475</v>
      </c>
      <c r="BR41" s="428" t="s">
        <v>475</v>
      </c>
      <c r="BS41" s="548" t="str">
        <f t="shared" si="27"/>
        <v>n/a</v>
      </c>
      <c r="BT41" s="607" t="str">
        <f t="shared" si="28"/>
        <v>n/a</v>
      </c>
      <c r="BU41" s="325">
        <v>0.7</v>
      </c>
      <c r="BV41" s="650" t="str">
        <f t="shared" si="29"/>
        <v>n/a</v>
      </c>
      <c r="BW41" s="1165" t="s">
        <v>891</v>
      </c>
      <c r="BX41" s="602" t="s">
        <v>475</v>
      </c>
      <c r="BY41" s="1189"/>
      <c r="BZ41" s="1189"/>
      <c r="CA41" s="608" t="str">
        <f t="shared" si="30"/>
        <v>n/a</v>
      </c>
      <c r="CB41" s="428">
        <v>0</v>
      </c>
      <c r="CC41" s="428">
        <v>0</v>
      </c>
      <c r="CD41" s="609" t="str">
        <f t="shared" si="31"/>
        <v>n/a</v>
      </c>
      <c r="CE41" s="610" t="str">
        <f t="shared" si="32"/>
        <v>n/a</v>
      </c>
      <c r="CF41" s="609" t="str">
        <f t="shared" si="33"/>
        <v>n/a</v>
      </c>
      <c r="CG41" s="658" t="str">
        <f t="shared" si="34"/>
        <v>n/a</v>
      </c>
      <c r="CH41" s="743" t="s">
        <v>893</v>
      </c>
      <c r="CI41" s="330">
        <v>0</v>
      </c>
      <c r="CJ41" s="664">
        <f t="shared" si="35"/>
        <v>0</v>
      </c>
      <c r="CK41" s="328">
        <v>0</v>
      </c>
      <c r="CL41" s="611" t="s">
        <v>671</v>
      </c>
      <c r="CM41" s="428" t="s">
        <v>475</v>
      </c>
      <c r="CN41" s="428" t="s">
        <v>475</v>
      </c>
      <c r="CO41" s="428" t="s">
        <v>38</v>
      </c>
      <c r="CP41" s="570" t="s">
        <v>170</v>
      </c>
      <c r="CQ41" s="1167" t="s">
        <v>894</v>
      </c>
      <c r="CS41" s="1069">
        <f t="shared" si="36"/>
        <v>0</v>
      </c>
      <c r="CT41" s="1069">
        <f t="shared" si="37"/>
        <v>0</v>
      </c>
      <c r="CU41" s="1066">
        <f t="shared" si="38"/>
        <v>0</v>
      </c>
      <c r="CV41" s="1066">
        <f t="shared" si="39"/>
        <v>0</v>
      </c>
      <c r="CW41" s="1082">
        <f t="shared" si="40"/>
        <v>0.69</v>
      </c>
      <c r="CX41" s="1082">
        <f t="shared" si="41"/>
        <v>1.1040000000000001</v>
      </c>
    </row>
    <row r="42" spans="1:102" s="322" customFormat="1" ht="21" customHeight="1">
      <c r="A42" s="358"/>
      <c r="B42" s="402" t="s">
        <v>817</v>
      </c>
      <c r="C42" s="603" t="s">
        <v>1014</v>
      </c>
      <c r="D42" s="603" t="s">
        <v>1015</v>
      </c>
      <c r="E42" s="1058" t="s">
        <v>1018</v>
      </c>
      <c r="F42" s="730" t="s">
        <v>768</v>
      </c>
      <c r="G42" s="1051"/>
      <c r="H42" s="1051"/>
      <c r="I42" s="1120" t="s">
        <v>33</v>
      </c>
      <c r="J42" s="560" t="s">
        <v>34</v>
      </c>
      <c r="K42" s="604" t="s">
        <v>607</v>
      </c>
      <c r="L42" s="585">
        <v>0</v>
      </c>
      <c r="M42" s="473">
        <v>0</v>
      </c>
      <c r="N42" s="616">
        <v>307</v>
      </c>
      <c r="O42" s="328"/>
      <c r="P42" s="718" t="str">
        <f t="shared" si="0"/>
        <v>1. Small</v>
      </c>
      <c r="Q42" s="965" t="s">
        <v>926</v>
      </c>
      <c r="R42" s="1138"/>
      <c r="S42" s="622" t="s">
        <v>143</v>
      </c>
      <c r="T42" s="323" t="str">
        <f t="shared" si="1"/>
        <v>Covered</v>
      </c>
      <c r="U42" s="561">
        <v>42376</v>
      </c>
      <c r="V42" s="1143"/>
      <c r="W42" s="558" t="s">
        <v>152</v>
      </c>
      <c r="X42" s="627">
        <v>0</v>
      </c>
      <c r="Y42" s="473">
        <v>0</v>
      </c>
      <c r="Z42" s="617" t="s">
        <v>43</v>
      </c>
      <c r="AA42" s="627">
        <v>0</v>
      </c>
      <c r="AB42" s="473">
        <v>0</v>
      </c>
      <c r="AC42" s="473">
        <v>0</v>
      </c>
      <c r="AD42" s="473">
        <v>1</v>
      </c>
      <c r="AE42" s="617"/>
      <c r="AF42" s="599">
        <v>0</v>
      </c>
      <c r="AG42" s="330">
        <v>0</v>
      </c>
      <c r="AH42" s="630">
        <f t="shared" si="2"/>
        <v>0</v>
      </c>
      <c r="AI42" s="574">
        <f t="shared" si="3"/>
        <v>0</v>
      </c>
      <c r="AJ42" s="605">
        <f t="shared" si="4"/>
        <v>0</v>
      </c>
      <c r="AK42" s="574">
        <f t="shared" si="5"/>
        <v>0</v>
      </c>
      <c r="AL42" s="605">
        <f t="shared" si="6"/>
        <v>0</v>
      </c>
      <c r="AM42" s="574">
        <f t="shared" si="7"/>
        <v>0</v>
      </c>
      <c r="AN42" s="605" t="str">
        <f t="shared" si="8"/>
        <v>0-10%</v>
      </c>
      <c r="AO42" s="605">
        <f t="shared" si="9"/>
        <v>0</v>
      </c>
      <c r="AP42" s="574">
        <f t="shared" si="10"/>
        <v>0</v>
      </c>
      <c r="AQ42" s="574" t="str">
        <f t="shared" si="11"/>
        <v>yes</v>
      </c>
      <c r="AR42" s="574">
        <f t="shared" si="12"/>
        <v>1.228</v>
      </c>
      <c r="AS42" s="574">
        <f t="shared" si="13"/>
        <v>0</v>
      </c>
      <c r="AT42" s="574">
        <f t="shared" si="14"/>
        <v>0</v>
      </c>
      <c r="AU42" s="1123"/>
      <c r="AV42" s="635">
        <f t="shared" si="15"/>
        <v>0</v>
      </c>
      <c r="AW42" s="638"/>
      <c r="AX42" s="740">
        <v>0</v>
      </c>
      <c r="AY42" s="428">
        <v>23</v>
      </c>
      <c r="AZ42" s="428">
        <v>42</v>
      </c>
      <c r="BA42" s="473" t="s">
        <v>526</v>
      </c>
      <c r="BB42" s="548">
        <f t="shared" si="16"/>
        <v>1</v>
      </c>
      <c r="BC42" s="606">
        <f t="shared" si="17"/>
        <v>307</v>
      </c>
      <c r="BD42" s="548">
        <f t="shared" si="18"/>
        <v>1</v>
      </c>
      <c r="BE42" s="606">
        <f t="shared" si="19"/>
        <v>307</v>
      </c>
      <c r="BF42" s="549">
        <f t="shared" si="20"/>
        <v>0</v>
      </c>
      <c r="BG42" s="606">
        <f t="shared" si="21"/>
        <v>0</v>
      </c>
      <c r="BH42" s="600" t="s">
        <v>475</v>
      </c>
      <c r="BI42" s="600" t="s">
        <v>475</v>
      </c>
      <c r="BJ42" s="606">
        <f t="shared" si="42"/>
        <v>0</v>
      </c>
      <c r="BK42" s="606" t="str">
        <f t="shared" si="23"/>
        <v>n/a</v>
      </c>
      <c r="BL42" s="428" t="s">
        <v>475</v>
      </c>
      <c r="BM42" s="548" t="str">
        <f t="shared" si="24"/>
        <v>n/a</v>
      </c>
      <c r="BN42" s="606" t="str">
        <f t="shared" si="25"/>
        <v>n/a</v>
      </c>
      <c r="BO42" s="606" t="str">
        <f t="shared" si="26"/>
        <v>n/a</v>
      </c>
      <c r="BP42" s="578" t="s">
        <v>475</v>
      </c>
      <c r="BQ42" s="606" t="s">
        <v>475</v>
      </c>
      <c r="BR42" s="519" t="s">
        <v>475</v>
      </c>
      <c r="BS42" s="548" t="str">
        <f t="shared" si="27"/>
        <v>n/a</v>
      </c>
      <c r="BT42" s="607" t="str">
        <f t="shared" si="28"/>
        <v>n/a</v>
      </c>
      <c r="BU42" s="325">
        <v>1</v>
      </c>
      <c r="BV42" s="650" t="str">
        <f t="shared" si="29"/>
        <v>n/a</v>
      </c>
      <c r="BW42" s="325" t="s">
        <v>567</v>
      </c>
      <c r="BX42" s="602" t="s">
        <v>475</v>
      </c>
      <c r="BY42" s="1189"/>
      <c r="BZ42" s="1189"/>
      <c r="CA42" s="608" t="str">
        <f t="shared" si="30"/>
        <v>n/a</v>
      </c>
      <c r="CB42" s="428">
        <v>0</v>
      </c>
      <c r="CC42" s="428">
        <v>0</v>
      </c>
      <c r="CD42" s="609" t="str">
        <f t="shared" si="31"/>
        <v>n/a</v>
      </c>
      <c r="CE42" s="610" t="str">
        <f t="shared" si="32"/>
        <v>n/a</v>
      </c>
      <c r="CF42" s="609" t="str">
        <f t="shared" si="33"/>
        <v>n/a</v>
      </c>
      <c r="CG42" s="658" t="str">
        <f t="shared" si="34"/>
        <v>n/a</v>
      </c>
      <c r="CH42" s="328" t="s">
        <v>809</v>
      </c>
      <c r="CI42" s="330">
        <v>0.8</v>
      </c>
      <c r="CJ42" s="664">
        <f t="shared" si="35"/>
        <v>245.60000000000002</v>
      </c>
      <c r="CK42" s="328">
        <v>0</v>
      </c>
      <c r="CL42" s="611" t="s">
        <v>671</v>
      </c>
      <c r="CM42" s="428" t="s">
        <v>475</v>
      </c>
      <c r="CN42" s="428" t="s">
        <v>475</v>
      </c>
      <c r="CO42" s="428" t="s">
        <v>38</v>
      </c>
      <c r="CP42" s="570" t="s">
        <v>170</v>
      </c>
      <c r="CQ42" s="672"/>
      <c r="CS42" s="1069">
        <f t="shared" si="36"/>
        <v>0</v>
      </c>
      <c r="CT42" s="1069">
        <f t="shared" si="37"/>
        <v>0</v>
      </c>
      <c r="CU42" s="1066">
        <f t="shared" si="38"/>
        <v>0</v>
      </c>
      <c r="CV42" s="1066">
        <f t="shared" si="39"/>
        <v>0</v>
      </c>
      <c r="CW42" s="1082">
        <f t="shared" si="40"/>
        <v>0.76749999999999996</v>
      </c>
      <c r="CX42" s="1082">
        <f t="shared" si="41"/>
        <v>1.228</v>
      </c>
    </row>
    <row r="43" spans="1:102" s="322" customFormat="1" ht="21" customHeight="1">
      <c r="A43" s="358"/>
      <c r="B43" s="402" t="s">
        <v>817</v>
      </c>
      <c r="C43" s="603" t="s">
        <v>1095</v>
      </c>
      <c r="D43" s="603" t="s">
        <v>1096</v>
      </c>
      <c r="E43" s="1058" t="s">
        <v>1100</v>
      </c>
      <c r="F43" s="1084" t="s">
        <v>846</v>
      </c>
      <c r="G43" s="1051"/>
      <c r="H43" s="1051"/>
      <c r="I43" s="560" t="s">
        <v>33</v>
      </c>
      <c r="J43" s="560" t="s">
        <v>45</v>
      </c>
      <c r="K43" s="604" t="s">
        <v>607</v>
      </c>
      <c r="L43" s="585">
        <v>0</v>
      </c>
      <c r="M43" s="473">
        <v>0</v>
      </c>
      <c r="N43" s="714">
        <v>715</v>
      </c>
      <c r="O43" s="328"/>
      <c r="P43" s="718" t="str">
        <f t="shared" si="0"/>
        <v>2. Medium</v>
      </c>
      <c r="Q43" s="965" t="s">
        <v>926</v>
      </c>
      <c r="R43" s="1138"/>
      <c r="S43" s="622" t="s">
        <v>811</v>
      </c>
      <c r="T43" s="323" t="str">
        <f t="shared" si="1"/>
        <v>Covered</v>
      </c>
      <c r="U43" s="561">
        <v>42376</v>
      </c>
      <c r="V43" s="1143"/>
      <c r="W43" s="558" t="s">
        <v>152</v>
      </c>
      <c r="X43" s="627">
        <v>0</v>
      </c>
      <c r="Y43" s="473">
        <v>0</v>
      </c>
      <c r="Z43" s="617" t="s">
        <v>43</v>
      </c>
      <c r="AA43" s="627">
        <v>1</v>
      </c>
      <c r="AB43" s="736"/>
      <c r="AC43" s="473">
        <v>0</v>
      </c>
      <c r="AD43" s="473">
        <v>2</v>
      </c>
      <c r="AE43" s="617"/>
      <c r="AF43" s="599">
        <v>0</v>
      </c>
      <c r="AG43" s="325">
        <v>0</v>
      </c>
      <c r="AH43" s="630">
        <f t="shared" si="2"/>
        <v>0.34965034965034963</v>
      </c>
      <c r="AI43" s="574">
        <f t="shared" si="3"/>
        <v>250</v>
      </c>
      <c r="AJ43" s="605">
        <f t="shared" si="4"/>
        <v>0.34965034965034963</v>
      </c>
      <c r="AK43" s="574">
        <f t="shared" si="5"/>
        <v>250</v>
      </c>
      <c r="AL43" s="605">
        <f t="shared" si="6"/>
        <v>0.34965034965034963</v>
      </c>
      <c r="AM43" s="574">
        <f t="shared" si="7"/>
        <v>250</v>
      </c>
      <c r="AN43" s="605" t="str">
        <f t="shared" si="8"/>
        <v>30-45%</v>
      </c>
      <c r="AO43" s="605">
        <f t="shared" si="9"/>
        <v>0</v>
      </c>
      <c r="AP43" s="574">
        <f t="shared" si="10"/>
        <v>0</v>
      </c>
      <c r="AQ43" s="574" t="str">
        <f t="shared" si="11"/>
        <v>yes</v>
      </c>
      <c r="AR43" s="574">
        <f t="shared" si="12"/>
        <v>1.8599999999999999</v>
      </c>
      <c r="AS43" s="574">
        <f t="shared" si="13"/>
        <v>0</v>
      </c>
      <c r="AT43" s="574">
        <f t="shared" si="14"/>
        <v>0</v>
      </c>
      <c r="AU43" s="330">
        <v>0.9</v>
      </c>
      <c r="AV43" s="635">
        <f t="shared" si="15"/>
        <v>643.5</v>
      </c>
      <c r="AW43" s="1155" t="s">
        <v>884</v>
      </c>
      <c r="AX43" s="740">
        <v>0</v>
      </c>
      <c r="AY43" s="428">
        <v>4</v>
      </c>
      <c r="AZ43" s="428">
        <v>42</v>
      </c>
      <c r="BA43" s="473" t="s">
        <v>963</v>
      </c>
      <c r="BB43" s="548">
        <f t="shared" si="16"/>
        <v>0.23496503496503496</v>
      </c>
      <c r="BC43" s="606">
        <f t="shared" si="17"/>
        <v>168</v>
      </c>
      <c r="BD43" s="548">
        <f t="shared" si="18"/>
        <v>0.23496503496503496</v>
      </c>
      <c r="BE43" s="606">
        <f t="shared" si="19"/>
        <v>168</v>
      </c>
      <c r="BF43" s="549">
        <f t="shared" si="20"/>
        <v>0</v>
      </c>
      <c r="BG43" s="606">
        <f t="shared" si="21"/>
        <v>0</v>
      </c>
      <c r="BH43" s="600" t="s">
        <v>475</v>
      </c>
      <c r="BI43" s="600" t="s">
        <v>475</v>
      </c>
      <c r="BJ43" s="606">
        <f t="shared" si="42"/>
        <v>0</v>
      </c>
      <c r="BK43" s="606" t="str">
        <f t="shared" si="23"/>
        <v>n/a</v>
      </c>
      <c r="BL43" s="428" t="s">
        <v>475</v>
      </c>
      <c r="BM43" s="548" t="str">
        <f t="shared" si="24"/>
        <v>n/a</v>
      </c>
      <c r="BN43" s="606" t="str">
        <f t="shared" si="25"/>
        <v>n/a</v>
      </c>
      <c r="BO43" s="606" t="str">
        <f t="shared" si="26"/>
        <v>n/a</v>
      </c>
      <c r="BP43" s="428" t="s">
        <v>475</v>
      </c>
      <c r="BQ43" s="606" t="s">
        <v>475</v>
      </c>
      <c r="BR43" s="428" t="s">
        <v>475</v>
      </c>
      <c r="BS43" s="548" t="str">
        <f t="shared" si="27"/>
        <v>n/a</v>
      </c>
      <c r="BT43" s="607" t="str">
        <f t="shared" si="28"/>
        <v>n/a</v>
      </c>
      <c r="BU43" s="325">
        <v>0.7</v>
      </c>
      <c r="BV43" s="650" t="str">
        <f t="shared" si="29"/>
        <v>n/a</v>
      </c>
      <c r="BW43" s="1165" t="s">
        <v>891</v>
      </c>
      <c r="BX43" s="602" t="s">
        <v>475</v>
      </c>
      <c r="BY43" s="1189"/>
      <c r="BZ43" s="1189"/>
      <c r="CA43" s="608" t="str">
        <f t="shared" si="30"/>
        <v>n/a</v>
      </c>
      <c r="CB43" s="428">
        <v>0</v>
      </c>
      <c r="CC43" s="428">
        <v>0</v>
      </c>
      <c r="CD43" s="609" t="str">
        <f t="shared" si="31"/>
        <v>n/a</v>
      </c>
      <c r="CE43" s="610" t="str">
        <f t="shared" si="32"/>
        <v>n/a</v>
      </c>
      <c r="CF43" s="609" t="str">
        <f t="shared" si="33"/>
        <v>n/a</v>
      </c>
      <c r="CG43" s="658" t="str">
        <f t="shared" si="34"/>
        <v>n/a</v>
      </c>
      <c r="CH43" s="743" t="s">
        <v>893</v>
      </c>
      <c r="CI43" s="330">
        <v>0</v>
      </c>
      <c r="CJ43" s="664">
        <f t="shared" si="35"/>
        <v>0</v>
      </c>
      <c r="CK43" s="328">
        <v>0</v>
      </c>
      <c r="CL43" s="611" t="s">
        <v>671</v>
      </c>
      <c r="CM43" s="428" t="s">
        <v>475</v>
      </c>
      <c r="CN43" s="428" t="s">
        <v>475</v>
      </c>
      <c r="CO43" s="428" t="s">
        <v>38</v>
      </c>
      <c r="CP43" s="570" t="s">
        <v>170</v>
      </c>
      <c r="CQ43" s="1167" t="s">
        <v>894</v>
      </c>
      <c r="CS43" s="1069">
        <f t="shared" si="36"/>
        <v>0.55944055944055948</v>
      </c>
      <c r="CT43" s="1069">
        <f t="shared" si="37"/>
        <v>0.34965034965034963</v>
      </c>
      <c r="CU43" s="1066">
        <f t="shared" si="38"/>
        <v>0.55944055944055948</v>
      </c>
      <c r="CV43" s="1066">
        <f t="shared" si="39"/>
        <v>0.34965034965034963</v>
      </c>
      <c r="CW43" s="1082">
        <f t="shared" si="40"/>
        <v>0.78750000000000009</v>
      </c>
      <c r="CX43" s="1082">
        <f t="shared" si="41"/>
        <v>1.8599999999999999</v>
      </c>
    </row>
    <row r="44" spans="1:102" s="322" customFormat="1" ht="21" customHeight="1">
      <c r="A44" s="358"/>
      <c r="B44" s="402" t="s">
        <v>817</v>
      </c>
      <c r="C44" s="603" t="s">
        <v>1088</v>
      </c>
      <c r="D44" s="603" t="s">
        <v>1089</v>
      </c>
      <c r="E44" s="1058" t="s">
        <v>1090</v>
      </c>
      <c r="F44" s="1083" t="s">
        <v>839</v>
      </c>
      <c r="G44" s="1051"/>
      <c r="H44" s="1051"/>
      <c r="I44" s="560" t="s">
        <v>33</v>
      </c>
      <c r="J44" s="560" t="s">
        <v>45</v>
      </c>
      <c r="K44" s="604" t="s">
        <v>607</v>
      </c>
      <c r="L44" s="585">
        <v>0</v>
      </c>
      <c r="M44" s="473">
        <v>0</v>
      </c>
      <c r="N44" s="714">
        <v>205</v>
      </c>
      <c r="O44" s="328"/>
      <c r="P44" s="718" t="str">
        <f t="shared" si="0"/>
        <v>1. Small</v>
      </c>
      <c r="Q44" s="965" t="s">
        <v>926</v>
      </c>
      <c r="R44" s="1138"/>
      <c r="S44" s="622" t="s">
        <v>811</v>
      </c>
      <c r="T44" s="323" t="str">
        <f t="shared" si="1"/>
        <v>Covered</v>
      </c>
      <c r="U44" s="561">
        <v>42376</v>
      </c>
      <c r="V44" s="1143"/>
      <c r="W44" s="558" t="s">
        <v>152</v>
      </c>
      <c r="X44" s="627">
        <v>0</v>
      </c>
      <c r="Y44" s="473">
        <v>0</v>
      </c>
      <c r="Z44" s="617" t="s">
        <v>43</v>
      </c>
      <c r="AA44" s="627">
        <v>0</v>
      </c>
      <c r="AB44" s="736">
        <v>0</v>
      </c>
      <c r="AC44" s="473">
        <v>0</v>
      </c>
      <c r="AD44" s="473">
        <v>4</v>
      </c>
      <c r="AE44" s="617"/>
      <c r="AF44" s="599">
        <v>0</v>
      </c>
      <c r="AG44" s="325">
        <v>0</v>
      </c>
      <c r="AH44" s="630">
        <f t="shared" si="2"/>
        <v>0</v>
      </c>
      <c r="AI44" s="574">
        <f t="shared" si="3"/>
        <v>0</v>
      </c>
      <c r="AJ44" s="605">
        <f t="shared" si="4"/>
        <v>0</v>
      </c>
      <c r="AK44" s="574">
        <f t="shared" si="5"/>
        <v>0</v>
      </c>
      <c r="AL44" s="605">
        <f t="shared" si="6"/>
        <v>0</v>
      </c>
      <c r="AM44" s="574">
        <f t="shared" si="7"/>
        <v>0</v>
      </c>
      <c r="AN44" s="605" t="str">
        <f t="shared" si="8"/>
        <v>0-10%</v>
      </c>
      <c r="AO44" s="605">
        <f t="shared" si="9"/>
        <v>0</v>
      </c>
      <c r="AP44" s="574">
        <f t="shared" si="10"/>
        <v>0</v>
      </c>
      <c r="AQ44" s="574" t="str">
        <f t="shared" si="11"/>
        <v>yes</v>
      </c>
      <c r="AR44" s="574">
        <f t="shared" si="12"/>
        <v>0.82</v>
      </c>
      <c r="AS44" s="574">
        <f t="shared" si="13"/>
        <v>0</v>
      </c>
      <c r="AT44" s="574">
        <f t="shared" si="14"/>
        <v>0</v>
      </c>
      <c r="AU44" s="330">
        <v>0.9</v>
      </c>
      <c r="AV44" s="635">
        <f t="shared" si="15"/>
        <v>184.5</v>
      </c>
      <c r="AW44" s="1155" t="s">
        <v>884</v>
      </c>
      <c r="AX44" s="740">
        <v>0</v>
      </c>
      <c r="AY44" s="428">
        <v>75</v>
      </c>
      <c r="AZ44" s="428">
        <v>42</v>
      </c>
      <c r="BA44" s="473" t="s">
        <v>963</v>
      </c>
      <c r="BB44" s="548">
        <f t="shared" si="16"/>
        <v>1</v>
      </c>
      <c r="BC44" s="606">
        <f t="shared" si="17"/>
        <v>205</v>
      </c>
      <c r="BD44" s="548">
        <f t="shared" si="18"/>
        <v>1</v>
      </c>
      <c r="BE44" s="606">
        <f t="shared" si="19"/>
        <v>205</v>
      </c>
      <c r="BF44" s="549">
        <f t="shared" si="20"/>
        <v>0</v>
      </c>
      <c r="BG44" s="606">
        <f t="shared" si="21"/>
        <v>0</v>
      </c>
      <c r="BH44" s="600" t="s">
        <v>475</v>
      </c>
      <c r="BI44" s="600" t="s">
        <v>475</v>
      </c>
      <c r="BJ44" s="606">
        <f t="shared" si="42"/>
        <v>0</v>
      </c>
      <c r="BK44" s="606" t="str">
        <f t="shared" si="23"/>
        <v>n/a</v>
      </c>
      <c r="BL44" s="428" t="s">
        <v>475</v>
      </c>
      <c r="BM44" s="548" t="str">
        <f t="shared" si="24"/>
        <v>n/a</v>
      </c>
      <c r="BN44" s="606" t="str">
        <f t="shared" si="25"/>
        <v>n/a</v>
      </c>
      <c r="BO44" s="606" t="str">
        <f t="shared" si="26"/>
        <v>n/a</v>
      </c>
      <c r="BP44" s="428" t="s">
        <v>475</v>
      </c>
      <c r="BQ44" s="606" t="s">
        <v>475</v>
      </c>
      <c r="BR44" s="428" t="s">
        <v>475</v>
      </c>
      <c r="BS44" s="548" t="str">
        <f t="shared" si="27"/>
        <v>n/a</v>
      </c>
      <c r="BT44" s="607" t="str">
        <f t="shared" si="28"/>
        <v>n/a</v>
      </c>
      <c r="BU44" s="325">
        <v>0.7</v>
      </c>
      <c r="BV44" s="650" t="str">
        <f t="shared" si="29"/>
        <v>n/a</v>
      </c>
      <c r="BW44" s="1165" t="s">
        <v>891</v>
      </c>
      <c r="BX44" s="602" t="s">
        <v>475</v>
      </c>
      <c r="BY44" s="1189"/>
      <c r="BZ44" s="1189"/>
      <c r="CA44" s="608" t="str">
        <f t="shared" si="30"/>
        <v>n/a</v>
      </c>
      <c r="CB44" s="428">
        <v>0</v>
      </c>
      <c r="CC44" s="428">
        <v>0</v>
      </c>
      <c r="CD44" s="609" t="str">
        <f t="shared" si="31"/>
        <v>n/a</v>
      </c>
      <c r="CE44" s="610" t="str">
        <f t="shared" si="32"/>
        <v>n/a</v>
      </c>
      <c r="CF44" s="609" t="str">
        <f t="shared" si="33"/>
        <v>n/a</v>
      </c>
      <c r="CG44" s="658" t="str">
        <f t="shared" si="34"/>
        <v>n/a</v>
      </c>
      <c r="CH44" s="743" t="s">
        <v>893</v>
      </c>
      <c r="CI44" s="330">
        <v>0</v>
      </c>
      <c r="CJ44" s="664">
        <f t="shared" si="35"/>
        <v>0</v>
      </c>
      <c r="CK44" s="328">
        <v>0</v>
      </c>
      <c r="CL44" s="611" t="s">
        <v>671</v>
      </c>
      <c r="CM44" s="428" t="s">
        <v>475</v>
      </c>
      <c r="CN44" s="428" t="s">
        <v>475</v>
      </c>
      <c r="CO44" s="428" t="s">
        <v>38</v>
      </c>
      <c r="CP44" s="570" t="s">
        <v>170</v>
      </c>
      <c r="CQ44" s="1167" t="s">
        <v>894</v>
      </c>
      <c r="CS44" s="1069">
        <f t="shared" si="36"/>
        <v>0</v>
      </c>
      <c r="CT44" s="1069">
        <f t="shared" si="37"/>
        <v>0</v>
      </c>
      <c r="CU44" s="1066">
        <f t="shared" si="38"/>
        <v>0</v>
      </c>
      <c r="CV44" s="1066">
        <f t="shared" si="39"/>
        <v>0</v>
      </c>
      <c r="CW44" s="1082">
        <f t="shared" si="40"/>
        <v>0.51249999999999996</v>
      </c>
      <c r="CX44" s="1082">
        <f t="shared" si="41"/>
        <v>0.82</v>
      </c>
    </row>
    <row r="45" spans="1:102" s="322" customFormat="1" ht="21" customHeight="1">
      <c r="A45" s="358"/>
      <c r="B45" s="402" t="s">
        <v>817</v>
      </c>
      <c r="C45" s="603" t="s">
        <v>1014</v>
      </c>
      <c r="D45" s="603" t="s">
        <v>1015</v>
      </c>
      <c r="E45" s="1058" t="s">
        <v>1019</v>
      </c>
      <c r="F45" s="730" t="s">
        <v>769</v>
      </c>
      <c r="G45" s="1051"/>
      <c r="H45" s="1051"/>
      <c r="I45" s="1120" t="s">
        <v>33</v>
      </c>
      <c r="J45" s="560" t="s">
        <v>34</v>
      </c>
      <c r="K45" s="604" t="s">
        <v>607</v>
      </c>
      <c r="L45" s="585">
        <v>0</v>
      </c>
      <c r="M45" s="473">
        <v>0</v>
      </c>
      <c r="N45" s="616">
        <v>451</v>
      </c>
      <c r="O45" s="328"/>
      <c r="P45" s="718" t="str">
        <f t="shared" si="0"/>
        <v>1. Small</v>
      </c>
      <c r="Q45" s="965" t="s">
        <v>926</v>
      </c>
      <c r="R45" s="1138"/>
      <c r="S45" s="622" t="s">
        <v>143</v>
      </c>
      <c r="T45" s="323" t="str">
        <f t="shared" si="1"/>
        <v>Covered</v>
      </c>
      <c r="U45" s="561">
        <v>42376</v>
      </c>
      <c r="V45" s="1143"/>
      <c r="W45" s="558" t="s">
        <v>152</v>
      </c>
      <c r="X45" s="627">
        <v>0</v>
      </c>
      <c r="Y45" s="473">
        <v>0</v>
      </c>
      <c r="Z45" s="617" t="s">
        <v>43</v>
      </c>
      <c r="AA45" s="627">
        <v>0</v>
      </c>
      <c r="AB45" s="473">
        <v>3</v>
      </c>
      <c r="AC45" s="473">
        <v>0</v>
      </c>
      <c r="AD45" s="473">
        <v>0</v>
      </c>
      <c r="AE45" s="617"/>
      <c r="AF45" s="599">
        <v>0</v>
      </c>
      <c r="AG45" s="330">
        <v>0</v>
      </c>
      <c r="AH45" s="630">
        <f t="shared" si="2"/>
        <v>1</v>
      </c>
      <c r="AI45" s="574">
        <f t="shared" si="3"/>
        <v>451</v>
      </c>
      <c r="AJ45" s="605">
        <f t="shared" si="4"/>
        <v>1</v>
      </c>
      <c r="AK45" s="574">
        <f t="shared" si="5"/>
        <v>451</v>
      </c>
      <c r="AL45" s="605">
        <f t="shared" si="6"/>
        <v>1</v>
      </c>
      <c r="AM45" s="574">
        <f t="shared" si="7"/>
        <v>451</v>
      </c>
      <c r="AN45" s="605" t="str">
        <f t="shared" si="8"/>
        <v>80-100%</v>
      </c>
      <c r="AO45" s="605">
        <f t="shared" si="9"/>
        <v>0</v>
      </c>
      <c r="AP45" s="574">
        <f t="shared" si="10"/>
        <v>0</v>
      </c>
      <c r="AQ45" s="574" t="str">
        <f t="shared" si="11"/>
        <v>no</v>
      </c>
      <c r="AR45" s="574">
        <f t="shared" si="12"/>
        <v>0</v>
      </c>
      <c r="AS45" s="574">
        <f t="shared" si="13"/>
        <v>0</v>
      </c>
      <c r="AT45" s="574">
        <f t="shared" si="14"/>
        <v>0</v>
      </c>
      <c r="AU45" s="1123">
        <v>1</v>
      </c>
      <c r="AV45" s="635">
        <f t="shared" si="15"/>
        <v>451</v>
      </c>
      <c r="AW45" s="638"/>
      <c r="AX45" s="740">
        <v>0</v>
      </c>
      <c r="AY45" s="428">
        <v>13</v>
      </c>
      <c r="AZ45" s="428">
        <v>42</v>
      </c>
      <c r="BA45" s="473" t="s">
        <v>526</v>
      </c>
      <c r="BB45" s="548">
        <f t="shared" si="16"/>
        <v>1</v>
      </c>
      <c r="BC45" s="606">
        <f t="shared" si="17"/>
        <v>451</v>
      </c>
      <c r="BD45" s="548">
        <f t="shared" si="18"/>
        <v>1</v>
      </c>
      <c r="BE45" s="606">
        <f t="shared" si="19"/>
        <v>451</v>
      </c>
      <c r="BF45" s="549">
        <f t="shared" si="20"/>
        <v>0</v>
      </c>
      <c r="BG45" s="606">
        <f t="shared" si="21"/>
        <v>0</v>
      </c>
      <c r="BH45" s="600" t="s">
        <v>475</v>
      </c>
      <c r="BI45" s="600" t="s">
        <v>475</v>
      </c>
      <c r="BJ45" s="606">
        <f t="shared" si="42"/>
        <v>0</v>
      </c>
      <c r="BK45" s="606" t="str">
        <f t="shared" si="23"/>
        <v>n/a</v>
      </c>
      <c r="BL45" s="428" t="s">
        <v>475</v>
      </c>
      <c r="BM45" s="548" t="str">
        <f t="shared" si="24"/>
        <v>n/a</v>
      </c>
      <c r="BN45" s="606" t="str">
        <f t="shared" si="25"/>
        <v>n/a</v>
      </c>
      <c r="BO45" s="606" t="str">
        <f t="shared" si="26"/>
        <v>n/a</v>
      </c>
      <c r="BP45" s="578" t="s">
        <v>475</v>
      </c>
      <c r="BQ45" s="606" t="s">
        <v>475</v>
      </c>
      <c r="BR45" s="519" t="s">
        <v>475</v>
      </c>
      <c r="BS45" s="548" t="str">
        <f t="shared" si="27"/>
        <v>n/a</v>
      </c>
      <c r="BT45" s="607" t="str">
        <f t="shared" si="28"/>
        <v>n/a</v>
      </c>
      <c r="BU45" s="325">
        <v>1</v>
      </c>
      <c r="BV45" s="650" t="str">
        <f t="shared" si="29"/>
        <v>n/a</v>
      </c>
      <c r="BW45" s="325" t="s">
        <v>567</v>
      </c>
      <c r="BX45" s="602" t="s">
        <v>475</v>
      </c>
      <c r="BY45" s="1189"/>
      <c r="BZ45" s="1189"/>
      <c r="CA45" s="608" t="str">
        <f t="shared" si="30"/>
        <v>n/a</v>
      </c>
      <c r="CB45" s="428">
        <v>0</v>
      </c>
      <c r="CC45" s="428">
        <v>0</v>
      </c>
      <c r="CD45" s="609" t="str">
        <f t="shared" si="31"/>
        <v>n/a</v>
      </c>
      <c r="CE45" s="610" t="str">
        <f t="shared" si="32"/>
        <v>n/a</v>
      </c>
      <c r="CF45" s="609" t="str">
        <f t="shared" si="33"/>
        <v>n/a</v>
      </c>
      <c r="CG45" s="658" t="str">
        <f t="shared" si="34"/>
        <v>n/a</v>
      </c>
      <c r="CH45" s="328" t="s">
        <v>809</v>
      </c>
      <c r="CI45" s="330">
        <v>0.7</v>
      </c>
      <c r="CJ45" s="664">
        <f t="shared" si="35"/>
        <v>315.7</v>
      </c>
      <c r="CK45" s="328">
        <v>0</v>
      </c>
      <c r="CL45" s="611" t="s">
        <v>671</v>
      </c>
      <c r="CM45" s="428" t="s">
        <v>475</v>
      </c>
      <c r="CN45" s="428" t="s">
        <v>475</v>
      </c>
      <c r="CO45" s="428" t="s">
        <v>38</v>
      </c>
      <c r="CP45" s="570" t="s">
        <v>170</v>
      </c>
      <c r="CQ45" s="672"/>
      <c r="CS45" s="1069">
        <f t="shared" si="36"/>
        <v>1</v>
      </c>
      <c r="CT45" s="1069">
        <f t="shared" si="37"/>
        <v>1</v>
      </c>
      <c r="CU45" s="1066">
        <f t="shared" si="38"/>
        <v>1</v>
      </c>
      <c r="CV45" s="1066">
        <f t="shared" si="39"/>
        <v>1</v>
      </c>
      <c r="CW45" s="1082">
        <f t="shared" si="40"/>
        <v>0</v>
      </c>
      <c r="CX45" s="1082">
        <f t="shared" si="41"/>
        <v>0</v>
      </c>
    </row>
    <row r="46" spans="1:102" s="322" customFormat="1" ht="21" customHeight="1">
      <c r="A46" s="358"/>
      <c r="B46" s="402" t="s">
        <v>817</v>
      </c>
      <c r="C46" s="603" t="s">
        <v>1023</v>
      </c>
      <c r="D46" s="603" t="s">
        <v>1024</v>
      </c>
      <c r="E46" s="1058" t="s">
        <v>1027</v>
      </c>
      <c r="F46" s="730" t="s">
        <v>776</v>
      </c>
      <c r="G46" s="1051"/>
      <c r="H46" s="1051"/>
      <c r="I46" s="1120" t="s">
        <v>33</v>
      </c>
      <c r="J46" s="560" t="s">
        <v>34</v>
      </c>
      <c r="K46" s="604" t="s">
        <v>607</v>
      </c>
      <c r="L46" s="585">
        <v>0</v>
      </c>
      <c r="M46" s="473">
        <v>0</v>
      </c>
      <c r="N46" s="616">
        <v>3014</v>
      </c>
      <c r="O46" s="328"/>
      <c r="P46" s="718" t="str">
        <f t="shared" si="0"/>
        <v>3. Large</v>
      </c>
      <c r="Q46" s="965" t="s">
        <v>926</v>
      </c>
      <c r="R46" s="1138"/>
      <c r="S46" s="622" t="s">
        <v>143</v>
      </c>
      <c r="T46" s="323" t="str">
        <f t="shared" si="1"/>
        <v>Covered</v>
      </c>
      <c r="U46" s="561">
        <v>42376</v>
      </c>
      <c r="V46" s="1143"/>
      <c r="W46" s="559" t="s">
        <v>152</v>
      </c>
      <c r="X46" s="627">
        <v>0</v>
      </c>
      <c r="Y46" s="473">
        <v>0</v>
      </c>
      <c r="Z46" s="617" t="s">
        <v>43</v>
      </c>
      <c r="AA46" s="627">
        <v>0</v>
      </c>
      <c r="AB46" s="473">
        <v>2</v>
      </c>
      <c r="AC46" s="473">
        <v>0</v>
      </c>
      <c r="AD46" s="473">
        <v>2</v>
      </c>
      <c r="AE46" s="617"/>
      <c r="AF46" s="599">
        <v>0</v>
      </c>
      <c r="AG46" s="330">
        <v>0</v>
      </c>
      <c r="AH46" s="630">
        <f t="shared" si="2"/>
        <v>0.16589250165892502</v>
      </c>
      <c r="AI46" s="574">
        <f t="shared" si="3"/>
        <v>500</v>
      </c>
      <c r="AJ46" s="605">
        <f t="shared" si="4"/>
        <v>0.16589250165892502</v>
      </c>
      <c r="AK46" s="574">
        <f t="shared" si="5"/>
        <v>500</v>
      </c>
      <c r="AL46" s="605">
        <f t="shared" si="6"/>
        <v>0.16589250165892502</v>
      </c>
      <c r="AM46" s="574">
        <f t="shared" si="7"/>
        <v>500</v>
      </c>
      <c r="AN46" s="605" t="str">
        <f t="shared" si="8"/>
        <v>15-30%</v>
      </c>
      <c r="AO46" s="605">
        <f t="shared" si="9"/>
        <v>0</v>
      </c>
      <c r="AP46" s="574">
        <f t="shared" si="10"/>
        <v>0</v>
      </c>
      <c r="AQ46" s="574" t="str">
        <f t="shared" si="11"/>
        <v>yes</v>
      </c>
      <c r="AR46" s="574">
        <f t="shared" si="12"/>
        <v>10.055999999999999</v>
      </c>
      <c r="AS46" s="574">
        <f t="shared" si="13"/>
        <v>0</v>
      </c>
      <c r="AT46" s="574">
        <f t="shared" si="14"/>
        <v>0</v>
      </c>
      <c r="AU46" s="1123">
        <v>0.17</v>
      </c>
      <c r="AV46" s="635">
        <f t="shared" si="15"/>
        <v>512.38</v>
      </c>
      <c r="AW46" s="638"/>
      <c r="AX46" s="740">
        <v>0</v>
      </c>
      <c r="AY46" s="428">
        <v>145</v>
      </c>
      <c r="AZ46" s="428">
        <v>42</v>
      </c>
      <c r="BA46" s="473" t="s">
        <v>963</v>
      </c>
      <c r="BB46" s="548">
        <f t="shared" si="16"/>
        <v>1</v>
      </c>
      <c r="BC46" s="606">
        <f t="shared" si="17"/>
        <v>3014</v>
      </c>
      <c r="BD46" s="548">
        <f t="shared" si="18"/>
        <v>1</v>
      </c>
      <c r="BE46" s="606">
        <f t="shared" si="19"/>
        <v>3014</v>
      </c>
      <c r="BF46" s="549">
        <f t="shared" si="20"/>
        <v>0</v>
      </c>
      <c r="BG46" s="606">
        <f t="shared" si="21"/>
        <v>0</v>
      </c>
      <c r="BH46" s="600" t="s">
        <v>475</v>
      </c>
      <c r="BI46" s="600" t="s">
        <v>475</v>
      </c>
      <c r="BJ46" s="606">
        <f t="shared" si="42"/>
        <v>0</v>
      </c>
      <c r="BK46" s="606" t="str">
        <f t="shared" si="23"/>
        <v>n/a</v>
      </c>
      <c r="BL46" s="428" t="s">
        <v>475</v>
      </c>
      <c r="BM46" s="548" t="str">
        <f t="shared" si="24"/>
        <v>n/a</v>
      </c>
      <c r="BN46" s="606" t="str">
        <f t="shared" si="25"/>
        <v>n/a</v>
      </c>
      <c r="BO46" s="606" t="str">
        <f t="shared" si="26"/>
        <v>n/a</v>
      </c>
      <c r="BP46" s="578" t="s">
        <v>475</v>
      </c>
      <c r="BQ46" s="606" t="s">
        <v>475</v>
      </c>
      <c r="BR46" s="519" t="s">
        <v>475</v>
      </c>
      <c r="BS46" s="548" t="str">
        <f t="shared" si="27"/>
        <v>n/a</v>
      </c>
      <c r="BT46" s="607" t="str">
        <f t="shared" si="28"/>
        <v>n/a</v>
      </c>
      <c r="BU46" s="325">
        <v>1</v>
      </c>
      <c r="BV46" s="650" t="str">
        <f t="shared" si="29"/>
        <v>n/a</v>
      </c>
      <c r="BW46" s="325" t="s">
        <v>567</v>
      </c>
      <c r="BX46" s="602" t="s">
        <v>475</v>
      </c>
      <c r="BY46" s="1189"/>
      <c r="BZ46" s="1189"/>
      <c r="CA46" s="608" t="str">
        <f t="shared" si="30"/>
        <v>n/a</v>
      </c>
      <c r="CB46" s="428">
        <v>0</v>
      </c>
      <c r="CC46" s="428">
        <v>0</v>
      </c>
      <c r="CD46" s="609" t="str">
        <f t="shared" si="31"/>
        <v>n/a</v>
      </c>
      <c r="CE46" s="610" t="str">
        <f t="shared" si="32"/>
        <v>n/a</v>
      </c>
      <c r="CF46" s="609" t="str">
        <f t="shared" si="33"/>
        <v>n/a</v>
      </c>
      <c r="CG46" s="658" t="str">
        <f t="shared" si="34"/>
        <v>n/a</v>
      </c>
      <c r="CH46" s="328" t="s">
        <v>809</v>
      </c>
      <c r="CI46" s="330">
        <v>0.3</v>
      </c>
      <c r="CJ46" s="664">
        <f t="shared" si="35"/>
        <v>904.19999999999993</v>
      </c>
      <c r="CK46" s="328">
        <v>0</v>
      </c>
      <c r="CL46" s="611" t="s">
        <v>671</v>
      </c>
      <c r="CM46" s="428" t="s">
        <v>475</v>
      </c>
      <c r="CN46" s="428" t="s">
        <v>475</v>
      </c>
      <c r="CO46" s="428" t="s">
        <v>38</v>
      </c>
      <c r="CP46" s="570" t="s">
        <v>170</v>
      </c>
      <c r="CQ46" s="672"/>
      <c r="CS46" s="1069">
        <f t="shared" si="36"/>
        <v>0.33178500331785005</v>
      </c>
      <c r="CT46" s="1069">
        <f t="shared" si="37"/>
        <v>0.16589250165892502</v>
      </c>
      <c r="CU46" s="1066">
        <f t="shared" si="38"/>
        <v>0.33178500331785005</v>
      </c>
      <c r="CV46" s="1066">
        <f t="shared" si="39"/>
        <v>0.16589250165892502</v>
      </c>
      <c r="CW46" s="1082">
        <f t="shared" si="40"/>
        <v>5.5350000000000001</v>
      </c>
      <c r="CX46" s="1082">
        <f t="shared" si="41"/>
        <v>10.055999999999999</v>
      </c>
    </row>
    <row r="47" spans="1:102" s="322" customFormat="1" ht="21" customHeight="1">
      <c r="A47" s="358"/>
      <c r="B47" s="402" t="s">
        <v>817</v>
      </c>
      <c r="C47" s="603" t="s">
        <v>1014</v>
      </c>
      <c r="D47" s="603" t="s">
        <v>1015</v>
      </c>
      <c r="E47" s="1058" t="s">
        <v>1019</v>
      </c>
      <c r="F47" s="730" t="s">
        <v>770</v>
      </c>
      <c r="G47" s="1051"/>
      <c r="H47" s="1051"/>
      <c r="I47" s="1120" t="s">
        <v>33</v>
      </c>
      <c r="J47" s="560" t="s">
        <v>34</v>
      </c>
      <c r="K47" s="604" t="s">
        <v>607</v>
      </c>
      <c r="L47" s="585">
        <v>0</v>
      </c>
      <c r="M47" s="473">
        <v>0</v>
      </c>
      <c r="N47" s="616">
        <v>607</v>
      </c>
      <c r="O47" s="328"/>
      <c r="P47" s="718" t="str">
        <f t="shared" si="0"/>
        <v>2. Medium</v>
      </c>
      <c r="Q47" s="965" t="s">
        <v>926</v>
      </c>
      <c r="R47" s="1138"/>
      <c r="S47" s="622" t="s">
        <v>143</v>
      </c>
      <c r="T47" s="323" t="str">
        <f t="shared" si="1"/>
        <v>Covered</v>
      </c>
      <c r="U47" s="561">
        <v>42376</v>
      </c>
      <c r="V47" s="1143"/>
      <c r="W47" s="559" t="s">
        <v>152</v>
      </c>
      <c r="X47" s="627">
        <v>0</v>
      </c>
      <c r="Y47" s="473">
        <v>0</v>
      </c>
      <c r="Z47" s="617" t="s">
        <v>43</v>
      </c>
      <c r="AA47" s="627">
        <v>0</v>
      </c>
      <c r="AB47" s="473">
        <v>1</v>
      </c>
      <c r="AC47" s="473">
        <v>0</v>
      </c>
      <c r="AD47" s="473">
        <v>1</v>
      </c>
      <c r="AE47" s="617"/>
      <c r="AF47" s="599">
        <v>0</v>
      </c>
      <c r="AG47" s="330">
        <v>0</v>
      </c>
      <c r="AH47" s="630">
        <f t="shared" si="2"/>
        <v>0.41186161449752884</v>
      </c>
      <c r="AI47" s="574">
        <f t="shared" si="3"/>
        <v>250</v>
      </c>
      <c r="AJ47" s="605">
        <f t="shared" si="4"/>
        <v>0.41186161449752884</v>
      </c>
      <c r="AK47" s="574">
        <f t="shared" si="5"/>
        <v>250</v>
      </c>
      <c r="AL47" s="605">
        <f t="shared" si="6"/>
        <v>0.41186161449752884</v>
      </c>
      <c r="AM47" s="574">
        <f t="shared" si="7"/>
        <v>250</v>
      </c>
      <c r="AN47" s="605" t="str">
        <f t="shared" si="8"/>
        <v>30-45%</v>
      </c>
      <c r="AO47" s="605">
        <f t="shared" si="9"/>
        <v>0</v>
      </c>
      <c r="AP47" s="574">
        <f t="shared" si="10"/>
        <v>0</v>
      </c>
      <c r="AQ47" s="574" t="str">
        <f t="shared" si="11"/>
        <v>yes</v>
      </c>
      <c r="AR47" s="574">
        <f t="shared" si="12"/>
        <v>1.4279999999999999</v>
      </c>
      <c r="AS47" s="574">
        <f t="shared" si="13"/>
        <v>0</v>
      </c>
      <c r="AT47" s="574">
        <f t="shared" si="14"/>
        <v>0</v>
      </c>
      <c r="AU47" s="1123">
        <v>0.41</v>
      </c>
      <c r="AV47" s="635">
        <f t="shared" si="15"/>
        <v>248.86999999999998</v>
      </c>
      <c r="AW47" s="638"/>
      <c r="AX47" s="740">
        <v>0</v>
      </c>
      <c r="AY47" s="428">
        <v>54</v>
      </c>
      <c r="AZ47" s="428">
        <v>42</v>
      </c>
      <c r="BA47" s="473" t="s">
        <v>526</v>
      </c>
      <c r="BB47" s="548">
        <f t="shared" si="16"/>
        <v>1</v>
      </c>
      <c r="BC47" s="606">
        <f t="shared" si="17"/>
        <v>607</v>
      </c>
      <c r="BD47" s="548">
        <f t="shared" si="18"/>
        <v>1</v>
      </c>
      <c r="BE47" s="606">
        <f t="shared" si="19"/>
        <v>607</v>
      </c>
      <c r="BF47" s="549">
        <f t="shared" si="20"/>
        <v>0</v>
      </c>
      <c r="BG47" s="606">
        <f t="shared" si="21"/>
        <v>0</v>
      </c>
      <c r="BH47" s="600" t="s">
        <v>475</v>
      </c>
      <c r="BI47" s="600" t="s">
        <v>475</v>
      </c>
      <c r="BJ47" s="606">
        <f t="shared" si="42"/>
        <v>0</v>
      </c>
      <c r="BK47" s="606" t="str">
        <f t="shared" si="23"/>
        <v>n/a</v>
      </c>
      <c r="BL47" s="428" t="s">
        <v>475</v>
      </c>
      <c r="BM47" s="548" t="str">
        <f t="shared" si="24"/>
        <v>n/a</v>
      </c>
      <c r="BN47" s="606" t="str">
        <f t="shared" si="25"/>
        <v>n/a</v>
      </c>
      <c r="BO47" s="606" t="str">
        <f t="shared" si="26"/>
        <v>n/a</v>
      </c>
      <c r="BP47" s="578" t="s">
        <v>475</v>
      </c>
      <c r="BQ47" s="606" t="s">
        <v>475</v>
      </c>
      <c r="BR47" s="519" t="s">
        <v>475</v>
      </c>
      <c r="BS47" s="548" t="str">
        <f t="shared" si="27"/>
        <v>n/a</v>
      </c>
      <c r="BT47" s="607" t="str">
        <f t="shared" si="28"/>
        <v>n/a</v>
      </c>
      <c r="BU47" s="325">
        <v>1</v>
      </c>
      <c r="BV47" s="650" t="str">
        <f t="shared" si="29"/>
        <v>n/a</v>
      </c>
      <c r="BW47" s="325" t="s">
        <v>567</v>
      </c>
      <c r="BX47" s="602" t="s">
        <v>475</v>
      </c>
      <c r="BY47" s="1189"/>
      <c r="BZ47" s="1189"/>
      <c r="CA47" s="608" t="str">
        <f t="shared" si="30"/>
        <v>n/a</v>
      </c>
      <c r="CB47" s="428">
        <v>0</v>
      </c>
      <c r="CC47" s="428">
        <v>0</v>
      </c>
      <c r="CD47" s="609" t="str">
        <f t="shared" si="31"/>
        <v>n/a</v>
      </c>
      <c r="CE47" s="610" t="str">
        <f t="shared" si="32"/>
        <v>n/a</v>
      </c>
      <c r="CF47" s="609" t="str">
        <f t="shared" si="33"/>
        <v>n/a</v>
      </c>
      <c r="CG47" s="658" t="str">
        <f t="shared" si="34"/>
        <v>n/a</v>
      </c>
      <c r="CH47" s="328" t="s">
        <v>809</v>
      </c>
      <c r="CI47" s="330">
        <v>0.7</v>
      </c>
      <c r="CJ47" s="664">
        <f t="shared" si="35"/>
        <v>424.9</v>
      </c>
      <c r="CK47" s="328">
        <v>0</v>
      </c>
      <c r="CL47" s="611" t="s">
        <v>671</v>
      </c>
      <c r="CM47" s="428" t="s">
        <v>475</v>
      </c>
      <c r="CN47" s="428" t="s">
        <v>475</v>
      </c>
      <c r="CO47" s="428" t="s">
        <v>38</v>
      </c>
      <c r="CP47" s="570" t="s">
        <v>170</v>
      </c>
      <c r="CQ47" s="672"/>
      <c r="CS47" s="1069">
        <f t="shared" si="36"/>
        <v>0.82372322899505768</v>
      </c>
      <c r="CT47" s="1069">
        <f t="shared" si="37"/>
        <v>0.41186161449752884</v>
      </c>
      <c r="CU47" s="1066">
        <f t="shared" si="38"/>
        <v>0.82372322899505768</v>
      </c>
      <c r="CV47" s="1066">
        <f t="shared" si="39"/>
        <v>0.41186161449752884</v>
      </c>
      <c r="CW47" s="1082">
        <f t="shared" si="40"/>
        <v>0.51750000000000007</v>
      </c>
      <c r="CX47" s="1082">
        <f t="shared" si="41"/>
        <v>1.4279999999999999</v>
      </c>
    </row>
    <row r="48" spans="1:102" s="322" customFormat="1" ht="21" customHeight="1">
      <c r="A48" s="358"/>
      <c r="B48" s="402" t="s">
        <v>817</v>
      </c>
      <c r="C48" s="603" t="s">
        <v>1014</v>
      </c>
      <c r="D48" s="603" t="s">
        <v>1015</v>
      </c>
      <c r="E48" s="1058" t="s">
        <v>1020</v>
      </c>
      <c r="F48" s="730" t="s">
        <v>771</v>
      </c>
      <c r="G48" s="1051"/>
      <c r="H48" s="1051"/>
      <c r="I48" s="1120" t="s">
        <v>33</v>
      </c>
      <c r="J48" s="560" t="s">
        <v>34</v>
      </c>
      <c r="K48" s="604" t="s">
        <v>607</v>
      </c>
      <c r="L48" s="585">
        <v>0</v>
      </c>
      <c r="M48" s="473">
        <v>0</v>
      </c>
      <c r="N48" s="616">
        <v>1348</v>
      </c>
      <c r="O48" s="328"/>
      <c r="P48" s="718" t="str">
        <f t="shared" si="0"/>
        <v>3. Large</v>
      </c>
      <c r="Q48" s="965" t="s">
        <v>926</v>
      </c>
      <c r="R48" s="1138"/>
      <c r="S48" s="622" t="s">
        <v>143</v>
      </c>
      <c r="T48" s="323" t="str">
        <f t="shared" si="1"/>
        <v>Covered</v>
      </c>
      <c r="U48" s="561">
        <v>42376</v>
      </c>
      <c r="V48" s="1143"/>
      <c r="W48" s="559" t="s">
        <v>152</v>
      </c>
      <c r="X48" s="627">
        <v>0</v>
      </c>
      <c r="Y48" s="473">
        <v>0</v>
      </c>
      <c r="Z48" s="617" t="s">
        <v>43</v>
      </c>
      <c r="AA48" s="627">
        <v>1</v>
      </c>
      <c r="AB48" s="473">
        <v>4</v>
      </c>
      <c r="AC48" s="473">
        <v>0</v>
      </c>
      <c r="AD48" s="473">
        <v>2</v>
      </c>
      <c r="AE48" s="617"/>
      <c r="AF48" s="599">
        <v>0</v>
      </c>
      <c r="AG48" s="330">
        <v>0</v>
      </c>
      <c r="AH48" s="630">
        <f t="shared" si="2"/>
        <v>0.92729970326409494</v>
      </c>
      <c r="AI48" s="574">
        <f t="shared" si="3"/>
        <v>1250</v>
      </c>
      <c r="AJ48" s="605">
        <f t="shared" si="4"/>
        <v>0.92729970326409494</v>
      </c>
      <c r="AK48" s="574">
        <f t="shared" si="5"/>
        <v>1250</v>
      </c>
      <c r="AL48" s="605">
        <f t="shared" si="6"/>
        <v>0.92729970326409494</v>
      </c>
      <c r="AM48" s="574">
        <f t="shared" si="7"/>
        <v>1250</v>
      </c>
      <c r="AN48" s="605" t="str">
        <f t="shared" si="8"/>
        <v>80-100%</v>
      </c>
      <c r="AO48" s="605">
        <f t="shared" si="9"/>
        <v>0</v>
      </c>
      <c r="AP48" s="574">
        <f t="shared" si="10"/>
        <v>0</v>
      </c>
      <c r="AQ48" s="574" t="str">
        <f t="shared" si="11"/>
        <v>yes</v>
      </c>
      <c r="AR48" s="574">
        <f t="shared" si="12"/>
        <v>0.39200000000000035</v>
      </c>
      <c r="AS48" s="574">
        <f t="shared" si="13"/>
        <v>0</v>
      </c>
      <c r="AT48" s="574">
        <f t="shared" si="14"/>
        <v>0</v>
      </c>
      <c r="AU48" s="1123">
        <v>0.93</v>
      </c>
      <c r="AV48" s="635">
        <f t="shared" si="15"/>
        <v>1253.6400000000001</v>
      </c>
      <c r="AW48" s="638"/>
      <c r="AX48" s="740">
        <v>0</v>
      </c>
      <c r="AY48" s="428">
        <v>73</v>
      </c>
      <c r="AZ48" s="428">
        <v>42</v>
      </c>
      <c r="BA48" s="473" t="s">
        <v>526</v>
      </c>
      <c r="BB48" s="548">
        <f t="shared" si="16"/>
        <v>1</v>
      </c>
      <c r="BC48" s="606">
        <f t="shared" si="17"/>
        <v>1348</v>
      </c>
      <c r="BD48" s="548">
        <f t="shared" si="18"/>
        <v>1</v>
      </c>
      <c r="BE48" s="606">
        <f t="shared" si="19"/>
        <v>1348</v>
      </c>
      <c r="BF48" s="549">
        <f t="shared" si="20"/>
        <v>0</v>
      </c>
      <c r="BG48" s="606">
        <f t="shared" si="21"/>
        <v>0</v>
      </c>
      <c r="BH48" s="600" t="s">
        <v>475</v>
      </c>
      <c r="BI48" s="600" t="s">
        <v>475</v>
      </c>
      <c r="BJ48" s="606">
        <f t="shared" si="42"/>
        <v>0</v>
      </c>
      <c r="BK48" s="606" t="str">
        <f t="shared" si="23"/>
        <v>n/a</v>
      </c>
      <c r="BL48" s="428" t="s">
        <v>475</v>
      </c>
      <c r="BM48" s="548" t="str">
        <f t="shared" si="24"/>
        <v>n/a</v>
      </c>
      <c r="BN48" s="606" t="str">
        <f t="shared" si="25"/>
        <v>n/a</v>
      </c>
      <c r="BO48" s="606" t="str">
        <f t="shared" si="26"/>
        <v>n/a</v>
      </c>
      <c r="BP48" s="578" t="s">
        <v>475</v>
      </c>
      <c r="BQ48" s="606" t="s">
        <v>475</v>
      </c>
      <c r="BR48" s="519" t="s">
        <v>475</v>
      </c>
      <c r="BS48" s="548" t="str">
        <f t="shared" si="27"/>
        <v>n/a</v>
      </c>
      <c r="BT48" s="607" t="str">
        <f t="shared" si="28"/>
        <v>n/a</v>
      </c>
      <c r="BU48" s="325">
        <v>1</v>
      </c>
      <c r="BV48" s="650" t="str">
        <f t="shared" si="29"/>
        <v>n/a</v>
      </c>
      <c r="BW48" s="325" t="s">
        <v>567</v>
      </c>
      <c r="BX48" s="602" t="s">
        <v>475</v>
      </c>
      <c r="BY48" s="1189"/>
      <c r="BZ48" s="1189"/>
      <c r="CA48" s="608" t="str">
        <f t="shared" si="30"/>
        <v>n/a</v>
      </c>
      <c r="CB48" s="428">
        <v>0</v>
      </c>
      <c r="CC48" s="428">
        <v>0</v>
      </c>
      <c r="CD48" s="609" t="str">
        <f t="shared" si="31"/>
        <v>n/a</v>
      </c>
      <c r="CE48" s="610" t="str">
        <f t="shared" si="32"/>
        <v>n/a</v>
      </c>
      <c r="CF48" s="609" t="str">
        <f t="shared" si="33"/>
        <v>n/a</v>
      </c>
      <c r="CG48" s="658" t="str">
        <f t="shared" si="34"/>
        <v>n/a</v>
      </c>
      <c r="CH48" s="328" t="s">
        <v>809</v>
      </c>
      <c r="CI48" s="330">
        <v>0.7</v>
      </c>
      <c r="CJ48" s="664">
        <f t="shared" si="35"/>
        <v>943.59999999999991</v>
      </c>
      <c r="CK48" s="328">
        <v>0</v>
      </c>
      <c r="CL48" s="611" t="s">
        <v>671</v>
      </c>
      <c r="CM48" s="428" t="s">
        <v>475</v>
      </c>
      <c r="CN48" s="428" t="s">
        <v>475</v>
      </c>
      <c r="CO48" s="428" t="s">
        <v>38</v>
      </c>
      <c r="CP48" s="570" t="s">
        <v>170</v>
      </c>
      <c r="CQ48" s="672"/>
      <c r="CS48" s="1069">
        <f t="shared" si="36"/>
        <v>1</v>
      </c>
      <c r="CT48" s="1069">
        <f t="shared" si="37"/>
        <v>0.92729970326409494</v>
      </c>
      <c r="CU48" s="1066">
        <f t="shared" si="38"/>
        <v>1</v>
      </c>
      <c r="CV48" s="1066">
        <f t="shared" si="39"/>
        <v>0.92729970326409494</v>
      </c>
      <c r="CW48" s="1082">
        <f t="shared" si="40"/>
        <v>0</v>
      </c>
      <c r="CX48" s="1082">
        <f t="shared" si="41"/>
        <v>0.39200000000000035</v>
      </c>
    </row>
    <row r="49" spans="1:102" s="322" customFormat="1" ht="21" customHeight="1">
      <c r="A49" s="358"/>
      <c r="B49" s="402" t="s">
        <v>817</v>
      </c>
      <c r="C49" s="603" t="s">
        <v>1026</v>
      </c>
      <c r="D49" s="603" t="s">
        <v>1026</v>
      </c>
      <c r="E49" s="1058"/>
      <c r="F49" s="730" t="s">
        <v>777</v>
      </c>
      <c r="G49" s="1051"/>
      <c r="H49" s="1051"/>
      <c r="I49" s="1120" t="s">
        <v>33</v>
      </c>
      <c r="J49" s="560" t="s">
        <v>34</v>
      </c>
      <c r="K49" s="604" t="s">
        <v>607</v>
      </c>
      <c r="L49" s="585">
        <v>0</v>
      </c>
      <c r="M49" s="473">
        <v>0</v>
      </c>
      <c r="N49" s="616">
        <v>755</v>
      </c>
      <c r="O49" s="328"/>
      <c r="P49" s="718" t="str">
        <f t="shared" si="0"/>
        <v>2. Medium</v>
      </c>
      <c r="Q49" s="965" t="s">
        <v>926</v>
      </c>
      <c r="R49" s="1138"/>
      <c r="S49" s="622" t="s">
        <v>143</v>
      </c>
      <c r="T49" s="323" t="str">
        <f t="shared" si="1"/>
        <v>Covered</v>
      </c>
      <c r="U49" s="561">
        <v>42376</v>
      </c>
      <c r="V49" s="1143"/>
      <c r="W49" s="558" t="s">
        <v>152</v>
      </c>
      <c r="X49" s="627">
        <v>0</v>
      </c>
      <c r="Y49" s="473">
        <v>0</v>
      </c>
      <c r="Z49" s="617" t="s">
        <v>43</v>
      </c>
      <c r="AA49" s="627">
        <v>0</v>
      </c>
      <c r="AB49" s="473">
        <v>0</v>
      </c>
      <c r="AC49" s="473">
        <v>0</v>
      </c>
      <c r="AD49" s="473">
        <v>3</v>
      </c>
      <c r="AE49" s="617"/>
      <c r="AF49" s="599">
        <v>0</v>
      </c>
      <c r="AG49" s="330">
        <v>0</v>
      </c>
      <c r="AH49" s="630">
        <f t="shared" si="2"/>
        <v>0</v>
      </c>
      <c r="AI49" s="574">
        <f t="shared" si="3"/>
        <v>0</v>
      </c>
      <c r="AJ49" s="605">
        <f t="shared" si="4"/>
        <v>0</v>
      </c>
      <c r="AK49" s="574">
        <f t="shared" si="5"/>
        <v>0</v>
      </c>
      <c r="AL49" s="605">
        <f t="shared" si="6"/>
        <v>0</v>
      </c>
      <c r="AM49" s="574">
        <f t="shared" si="7"/>
        <v>0</v>
      </c>
      <c r="AN49" s="605" t="str">
        <f t="shared" si="8"/>
        <v>0-10%</v>
      </c>
      <c r="AO49" s="605">
        <f t="shared" si="9"/>
        <v>0</v>
      </c>
      <c r="AP49" s="574">
        <f t="shared" si="10"/>
        <v>0</v>
      </c>
      <c r="AQ49" s="574" t="str">
        <f t="shared" si="11"/>
        <v>yes</v>
      </c>
      <c r="AR49" s="574">
        <f t="shared" si="12"/>
        <v>3.02</v>
      </c>
      <c r="AS49" s="574">
        <f t="shared" si="13"/>
        <v>0</v>
      </c>
      <c r="AT49" s="574">
        <f t="shared" si="14"/>
        <v>0</v>
      </c>
      <c r="AU49" s="1123"/>
      <c r="AV49" s="635">
        <f t="shared" si="15"/>
        <v>0</v>
      </c>
      <c r="AW49" s="638"/>
      <c r="AX49" s="740">
        <v>0</v>
      </c>
      <c r="AY49" s="428">
        <v>5</v>
      </c>
      <c r="AZ49" s="428">
        <v>42</v>
      </c>
      <c r="BA49" s="473" t="s">
        <v>526</v>
      </c>
      <c r="BB49" s="548">
        <f t="shared" si="16"/>
        <v>0.27814569536423839</v>
      </c>
      <c r="BC49" s="606">
        <f t="shared" si="17"/>
        <v>209.99999999999997</v>
      </c>
      <c r="BD49" s="548">
        <f t="shared" si="18"/>
        <v>0.27814569536423839</v>
      </c>
      <c r="BE49" s="606">
        <f t="shared" si="19"/>
        <v>209.99999999999997</v>
      </c>
      <c r="BF49" s="549">
        <f t="shared" si="20"/>
        <v>0</v>
      </c>
      <c r="BG49" s="606">
        <f t="shared" si="21"/>
        <v>0</v>
      </c>
      <c r="BH49" s="600" t="s">
        <v>475</v>
      </c>
      <c r="BI49" s="600" t="s">
        <v>475</v>
      </c>
      <c r="BJ49" s="606">
        <f t="shared" si="42"/>
        <v>0</v>
      </c>
      <c r="BK49" s="606" t="str">
        <f t="shared" si="23"/>
        <v>n/a</v>
      </c>
      <c r="BL49" s="428" t="s">
        <v>475</v>
      </c>
      <c r="BM49" s="548" t="str">
        <f t="shared" si="24"/>
        <v>n/a</v>
      </c>
      <c r="BN49" s="606" t="str">
        <f t="shared" si="25"/>
        <v>n/a</v>
      </c>
      <c r="BO49" s="606" t="str">
        <f t="shared" si="26"/>
        <v>n/a</v>
      </c>
      <c r="BP49" s="578" t="s">
        <v>475</v>
      </c>
      <c r="BQ49" s="606" t="s">
        <v>475</v>
      </c>
      <c r="BR49" s="519" t="s">
        <v>475</v>
      </c>
      <c r="BS49" s="548" t="str">
        <f t="shared" si="27"/>
        <v>n/a</v>
      </c>
      <c r="BT49" s="607" t="str">
        <f t="shared" si="28"/>
        <v>n/a</v>
      </c>
      <c r="BU49" s="325">
        <v>1</v>
      </c>
      <c r="BV49" s="650" t="str">
        <f t="shared" si="29"/>
        <v>n/a</v>
      </c>
      <c r="BW49" s="325" t="s">
        <v>567</v>
      </c>
      <c r="BX49" s="602" t="s">
        <v>475</v>
      </c>
      <c r="BY49" s="1189"/>
      <c r="BZ49" s="1189"/>
      <c r="CA49" s="608" t="str">
        <f t="shared" si="30"/>
        <v>n/a</v>
      </c>
      <c r="CB49" s="428">
        <v>0</v>
      </c>
      <c r="CC49" s="428">
        <v>0</v>
      </c>
      <c r="CD49" s="609" t="str">
        <f t="shared" si="31"/>
        <v>n/a</v>
      </c>
      <c r="CE49" s="610" t="str">
        <f t="shared" si="32"/>
        <v>n/a</v>
      </c>
      <c r="CF49" s="609" t="str">
        <f t="shared" si="33"/>
        <v>n/a</v>
      </c>
      <c r="CG49" s="658" t="str">
        <f t="shared" si="34"/>
        <v>n/a</v>
      </c>
      <c r="CH49" s="328" t="s">
        <v>809</v>
      </c>
      <c r="CI49" s="330">
        <v>1</v>
      </c>
      <c r="CJ49" s="664">
        <f t="shared" si="35"/>
        <v>755</v>
      </c>
      <c r="CK49" s="328">
        <v>0</v>
      </c>
      <c r="CL49" s="611" t="s">
        <v>671</v>
      </c>
      <c r="CM49" s="428" t="s">
        <v>475</v>
      </c>
      <c r="CN49" s="428" t="s">
        <v>475</v>
      </c>
      <c r="CO49" s="428" t="s">
        <v>38</v>
      </c>
      <c r="CP49" s="570" t="s">
        <v>170</v>
      </c>
      <c r="CQ49" s="672"/>
      <c r="CS49" s="1069">
        <f t="shared" si="36"/>
        <v>0</v>
      </c>
      <c r="CT49" s="1069">
        <f t="shared" si="37"/>
        <v>0</v>
      </c>
      <c r="CU49" s="1066">
        <f t="shared" si="38"/>
        <v>0</v>
      </c>
      <c r="CV49" s="1066">
        <f t="shared" si="39"/>
        <v>0</v>
      </c>
      <c r="CW49" s="1082">
        <f t="shared" si="40"/>
        <v>1.8875</v>
      </c>
      <c r="CX49" s="1082">
        <f t="shared" si="41"/>
        <v>3.02</v>
      </c>
    </row>
    <row r="50" spans="1:102" s="322" customFormat="1" ht="21" customHeight="1">
      <c r="A50" s="358"/>
      <c r="B50" s="402" t="s">
        <v>817</v>
      </c>
      <c r="C50" s="603" t="s">
        <v>1095</v>
      </c>
      <c r="D50" s="603" t="s">
        <v>1096</v>
      </c>
      <c r="E50" s="1058" t="s">
        <v>1097</v>
      </c>
      <c r="F50" s="1084" t="s">
        <v>843</v>
      </c>
      <c r="G50" s="1051"/>
      <c r="H50" s="1051"/>
      <c r="I50" s="560" t="s">
        <v>33</v>
      </c>
      <c r="J50" s="560" t="s">
        <v>45</v>
      </c>
      <c r="K50" s="604" t="s">
        <v>607</v>
      </c>
      <c r="L50" s="585">
        <v>0</v>
      </c>
      <c r="M50" s="473">
        <v>0</v>
      </c>
      <c r="N50" s="714">
        <v>250</v>
      </c>
      <c r="O50" s="328"/>
      <c r="P50" s="718" t="str">
        <f t="shared" si="0"/>
        <v>1. Small</v>
      </c>
      <c r="Q50" s="965" t="s">
        <v>926</v>
      </c>
      <c r="R50" s="1138"/>
      <c r="S50" s="622" t="s">
        <v>811</v>
      </c>
      <c r="T50" s="323" t="str">
        <f t="shared" si="1"/>
        <v>Covered</v>
      </c>
      <c r="U50" s="561">
        <v>42376</v>
      </c>
      <c r="V50" s="1143"/>
      <c r="W50" s="558" t="s">
        <v>152</v>
      </c>
      <c r="X50" s="627">
        <v>0</v>
      </c>
      <c r="Y50" s="473">
        <v>0</v>
      </c>
      <c r="Z50" s="617" t="s">
        <v>43</v>
      </c>
      <c r="AA50" s="627">
        <v>0</v>
      </c>
      <c r="AB50" s="736">
        <v>0</v>
      </c>
      <c r="AC50" s="473">
        <v>0</v>
      </c>
      <c r="AD50" s="473">
        <v>2</v>
      </c>
      <c r="AE50" s="617"/>
      <c r="AF50" s="599">
        <v>0</v>
      </c>
      <c r="AG50" s="325">
        <v>0</v>
      </c>
      <c r="AH50" s="630">
        <f t="shared" si="2"/>
        <v>0</v>
      </c>
      <c r="AI50" s="574">
        <f t="shared" si="3"/>
        <v>0</v>
      </c>
      <c r="AJ50" s="605">
        <f t="shared" si="4"/>
        <v>0</v>
      </c>
      <c r="AK50" s="574">
        <f t="shared" si="5"/>
        <v>0</v>
      </c>
      <c r="AL50" s="605">
        <f t="shared" si="6"/>
        <v>0</v>
      </c>
      <c r="AM50" s="574">
        <f t="shared" si="7"/>
        <v>0</v>
      </c>
      <c r="AN50" s="605" t="str">
        <f t="shared" si="8"/>
        <v>0-10%</v>
      </c>
      <c r="AO50" s="605">
        <f t="shared" si="9"/>
        <v>0</v>
      </c>
      <c r="AP50" s="574">
        <f t="shared" si="10"/>
        <v>0</v>
      </c>
      <c r="AQ50" s="574" t="str">
        <f t="shared" si="11"/>
        <v>yes</v>
      </c>
      <c r="AR50" s="574">
        <f t="shared" si="12"/>
        <v>1</v>
      </c>
      <c r="AS50" s="574">
        <f t="shared" si="13"/>
        <v>0</v>
      </c>
      <c r="AT50" s="574">
        <f t="shared" si="14"/>
        <v>0</v>
      </c>
      <c r="AU50" s="330">
        <v>0.9</v>
      </c>
      <c r="AV50" s="635">
        <f t="shared" si="15"/>
        <v>225</v>
      </c>
      <c r="AW50" s="1155" t="s">
        <v>884</v>
      </c>
      <c r="AX50" s="740">
        <v>0</v>
      </c>
      <c r="AY50" s="428">
        <v>5</v>
      </c>
      <c r="AZ50" s="428">
        <v>42</v>
      </c>
      <c r="BA50" s="473" t="s">
        <v>963</v>
      </c>
      <c r="BB50" s="548">
        <f t="shared" si="16"/>
        <v>0.84</v>
      </c>
      <c r="BC50" s="606">
        <f t="shared" si="17"/>
        <v>210</v>
      </c>
      <c r="BD50" s="548">
        <f t="shared" si="18"/>
        <v>0.84</v>
      </c>
      <c r="BE50" s="606">
        <f t="shared" si="19"/>
        <v>210</v>
      </c>
      <c r="BF50" s="549">
        <f t="shared" si="20"/>
        <v>0</v>
      </c>
      <c r="BG50" s="606">
        <f t="shared" si="21"/>
        <v>0</v>
      </c>
      <c r="BH50" s="600" t="s">
        <v>475</v>
      </c>
      <c r="BI50" s="600" t="s">
        <v>475</v>
      </c>
      <c r="BJ50" s="606">
        <f t="shared" si="42"/>
        <v>0</v>
      </c>
      <c r="BK50" s="606" t="str">
        <f t="shared" si="23"/>
        <v>n/a</v>
      </c>
      <c r="BL50" s="428" t="s">
        <v>475</v>
      </c>
      <c r="BM50" s="548" t="str">
        <f t="shared" si="24"/>
        <v>n/a</v>
      </c>
      <c r="BN50" s="606" t="str">
        <f t="shared" si="25"/>
        <v>n/a</v>
      </c>
      <c r="BO50" s="606" t="str">
        <f t="shared" si="26"/>
        <v>n/a</v>
      </c>
      <c r="BP50" s="428" t="s">
        <v>475</v>
      </c>
      <c r="BQ50" s="606" t="s">
        <v>475</v>
      </c>
      <c r="BR50" s="428" t="s">
        <v>475</v>
      </c>
      <c r="BS50" s="548" t="str">
        <f t="shared" si="27"/>
        <v>n/a</v>
      </c>
      <c r="BT50" s="607" t="str">
        <f t="shared" si="28"/>
        <v>n/a</v>
      </c>
      <c r="BU50" s="325">
        <v>0.7</v>
      </c>
      <c r="BV50" s="650" t="str">
        <f t="shared" si="29"/>
        <v>n/a</v>
      </c>
      <c r="BW50" s="1165" t="s">
        <v>891</v>
      </c>
      <c r="BX50" s="602" t="s">
        <v>475</v>
      </c>
      <c r="BY50" s="1189"/>
      <c r="BZ50" s="1189"/>
      <c r="CA50" s="608" t="str">
        <f t="shared" si="30"/>
        <v>n/a</v>
      </c>
      <c r="CB50" s="428">
        <v>0</v>
      </c>
      <c r="CC50" s="428">
        <v>0</v>
      </c>
      <c r="CD50" s="609" t="str">
        <f t="shared" si="31"/>
        <v>n/a</v>
      </c>
      <c r="CE50" s="610" t="str">
        <f t="shared" si="32"/>
        <v>n/a</v>
      </c>
      <c r="CF50" s="609" t="str">
        <f t="shared" si="33"/>
        <v>n/a</v>
      </c>
      <c r="CG50" s="658" t="str">
        <f t="shared" si="34"/>
        <v>n/a</v>
      </c>
      <c r="CH50" s="743" t="s">
        <v>893</v>
      </c>
      <c r="CI50" s="330">
        <v>0</v>
      </c>
      <c r="CJ50" s="664">
        <f t="shared" si="35"/>
        <v>0</v>
      </c>
      <c r="CK50" s="328">
        <v>0</v>
      </c>
      <c r="CL50" s="611" t="s">
        <v>671</v>
      </c>
      <c r="CM50" s="428" t="s">
        <v>475</v>
      </c>
      <c r="CN50" s="428" t="s">
        <v>475</v>
      </c>
      <c r="CO50" s="428" t="s">
        <v>38</v>
      </c>
      <c r="CP50" s="570" t="s">
        <v>170</v>
      </c>
      <c r="CQ50" s="1167" t="s">
        <v>894</v>
      </c>
      <c r="CS50" s="1069">
        <f t="shared" si="36"/>
        <v>0</v>
      </c>
      <c r="CT50" s="1069">
        <f t="shared" si="37"/>
        <v>0</v>
      </c>
      <c r="CU50" s="1066">
        <f t="shared" si="38"/>
        <v>0</v>
      </c>
      <c r="CV50" s="1066">
        <f t="shared" si="39"/>
        <v>0</v>
      </c>
      <c r="CW50" s="1082">
        <f t="shared" si="40"/>
        <v>0.625</v>
      </c>
      <c r="CX50" s="1082">
        <f t="shared" si="41"/>
        <v>1</v>
      </c>
    </row>
    <row r="51" spans="1:102" s="322" customFormat="1" ht="21" customHeight="1">
      <c r="A51" s="358"/>
      <c r="B51" s="402" t="s">
        <v>817</v>
      </c>
      <c r="C51" s="603" t="s">
        <v>1109</v>
      </c>
      <c r="D51" s="603" t="s">
        <v>851</v>
      </c>
      <c r="E51" s="1058" t="s">
        <v>1110</v>
      </c>
      <c r="F51" s="1083" t="s">
        <v>851</v>
      </c>
      <c r="G51" s="1051"/>
      <c r="H51" s="1051"/>
      <c r="I51" s="560" t="s">
        <v>33</v>
      </c>
      <c r="J51" s="560" t="s">
        <v>45</v>
      </c>
      <c r="K51" s="604" t="s">
        <v>607</v>
      </c>
      <c r="L51" s="585">
        <v>0</v>
      </c>
      <c r="M51" s="473">
        <v>0</v>
      </c>
      <c r="N51" s="714">
        <v>1853</v>
      </c>
      <c r="O51" s="328"/>
      <c r="P51" s="718" t="str">
        <f t="shared" si="0"/>
        <v>3. Large</v>
      </c>
      <c r="Q51" s="965" t="s">
        <v>926</v>
      </c>
      <c r="R51" s="1138"/>
      <c r="S51" s="622" t="s">
        <v>811</v>
      </c>
      <c r="T51" s="323" t="str">
        <f t="shared" si="1"/>
        <v>Covered</v>
      </c>
      <c r="U51" s="561">
        <v>42376</v>
      </c>
      <c r="V51" s="1143"/>
      <c r="W51" s="558" t="s">
        <v>152</v>
      </c>
      <c r="X51" s="627">
        <v>0</v>
      </c>
      <c r="Y51" s="473">
        <v>0</v>
      </c>
      <c r="Z51" s="617" t="s">
        <v>43</v>
      </c>
      <c r="AA51" s="627">
        <v>0</v>
      </c>
      <c r="AB51" s="736">
        <v>0</v>
      </c>
      <c r="AC51" s="473">
        <v>0</v>
      </c>
      <c r="AD51" s="473">
        <v>3</v>
      </c>
      <c r="AE51" s="617"/>
      <c r="AF51" s="599">
        <v>0</v>
      </c>
      <c r="AG51" s="325">
        <v>0</v>
      </c>
      <c r="AH51" s="630">
        <f t="shared" si="2"/>
        <v>0</v>
      </c>
      <c r="AI51" s="574">
        <f t="shared" si="3"/>
        <v>0</v>
      </c>
      <c r="AJ51" s="605">
        <f t="shared" si="4"/>
        <v>0</v>
      </c>
      <c r="AK51" s="574">
        <f t="shared" si="5"/>
        <v>0</v>
      </c>
      <c r="AL51" s="605">
        <f t="shared" si="6"/>
        <v>0</v>
      </c>
      <c r="AM51" s="574">
        <f t="shared" si="7"/>
        <v>0</v>
      </c>
      <c r="AN51" s="605" t="str">
        <f t="shared" si="8"/>
        <v>0-10%</v>
      </c>
      <c r="AO51" s="605">
        <f t="shared" si="9"/>
        <v>0</v>
      </c>
      <c r="AP51" s="574">
        <f t="shared" si="10"/>
        <v>0</v>
      </c>
      <c r="AQ51" s="574" t="str">
        <f t="shared" si="11"/>
        <v>yes</v>
      </c>
      <c r="AR51" s="574">
        <f t="shared" si="12"/>
        <v>7.4119999999999999</v>
      </c>
      <c r="AS51" s="574">
        <f t="shared" si="13"/>
        <v>0</v>
      </c>
      <c r="AT51" s="574">
        <f t="shared" si="14"/>
        <v>0</v>
      </c>
      <c r="AU51" s="330">
        <v>0.9</v>
      </c>
      <c r="AV51" s="635">
        <f t="shared" si="15"/>
        <v>1667.7</v>
      </c>
      <c r="AW51" s="1155" t="s">
        <v>884</v>
      </c>
      <c r="AX51" s="740">
        <v>0</v>
      </c>
      <c r="AY51" s="428">
        <v>5</v>
      </c>
      <c r="AZ51" s="428">
        <v>42</v>
      </c>
      <c r="BA51" s="473" t="s">
        <v>963</v>
      </c>
      <c r="BB51" s="548">
        <f t="shared" si="16"/>
        <v>0.11332973556395035</v>
      </c>
      <c r="BC51" s="606">
        <f t="shared" si="17"/>
        <v>210</v>
      </c>
      <c r="BD51" s="548">
        <f t="shared" si="18"/>
        <v>0.11332973556395035</v>
      </c>
      <c r="BE51" s="606">
        <f t="shared" si="19"/>
        <v>210</v>
      </c>
      <c r="BF51" s="549">
        <f t="shared" si="20"/>
        <v>0</v>
      </c>
      <c r="BG51" s="606">
        <f t="shared" si="21"/>
        <v>0</v>
      </c>
      <c r="BH51" s="600" t="s">
        <v>475</v>
      </c>
      <c r="BI51" s="600" t="s">
        <v>475</v>
      </c>
      <c r="BJ51" s="606">
        <f t="shared" si="42"/>
        <v>0</v>
      </c>
      <c r="BK51" s="606" t="str">
        <f t="shared" si="23"/>
        <v>n/a</v>
      </c>
      <c r="BL51" s="428" t="s">
        <v>475</v>
      </c>
      <c r="BM51" s="548" t="str">
        <f t="shared" si="24"/>
        <v>n/a</v>
      </c>
      <c r="BN51" s="606" t="str">
        <f t="shared" si="25"/>
        <v>n/a</v>
      </c>
      <c r="BO51" s="606" t="str">
        <f t="shared" si="26"/>
        <v>n/a</v>
      </c>
      <c r="BP51" s="428" t="s">
        <v>475</v>
      </c>
      <c r="BQ51" s="606" t="s">
        <v>475</v>
      </c>
      <c r="BR51" s="428" t="s">
        <v>475</v>
      </c>
      <c r="BS51" s="548" t="str">
        <f t="shared" si="27"/>
        <v>n/a</v>
      </c>
      <c r="BT51" s="607" t="str">
        <f t="shared" si="28"/>
        <v>n/a</v>
      </c>
      <c r="BU51" s="325">
        <v>0.7</v>
      </c>
      <c r="BV51" s="650" t="str">
        <f t="shared" si="29"/>
        <v>n/a</v>
      </c>
      <c r="BW51" s="1165" t="s">
        <v>891</v>
      </c>
      <c r="BX51" s="602" t="s">
        <v>475</v>
      </c>
      <c r="BY51" s="1189"/>
      <c r="BZ51" s="1189"/>
      <c r="CA51" s="608" t="str">
        <f t="shared" si="30"/>
        <v>n/a</v>
      </c>
      <c r="CB51" s="428">
        <v>0</v>
      </c>
      <c r="CC51" s="428">
        <v>0</v>
      </c>
      <c r="CD51" s="609" t="str">
        <f t="shared" si="31"/>
        <v>n/a</v>
      </c>
      <c r="CE51" s="610" t="str">
        <f t="shared" si="32"/>
        <v>n/a</v>
      </c>
      <c r="CF51" s="609" t="str">
        <f t="shared" si="33"/>
        <v>n/a</v>
      </c>
      <c r="CG51" s="658" t="str">
        <f t="shared" si="34"/>
        <v>n/a</v>
      </c>
      <c r="CH51" s="743" t="s">
        <v>893</v>
      </c>
      <c r="CI51" s="330">
        <v>0</v>
      </c>
      <c r="CJ51" s="664">
        <f t="shared" si="35"/>
        <v>0</v>
      </c>
      <c r="CK51" s="328">
        <v>0</v>
      </c>
      <c r="CL51" s="611" t="s">
        <v>671</v>
      </c>
      <c r="CM51" s="428" t="s">
        <v>475</v>
      </c>
      <c r="CN51" s="428" t="s">
        <v>475</v>
      </c>
      <c r="CO51" s="428" t="s">
        <v>38</v>
      </c>
      <c r="CP51" s="570" t="s">
        <v>170</v>
      </c>
      <c r="CQ51" s="1167" t="s">
        <v>894</v>
      </c>
      <c r="CS51" s="1069">
        <f t="shared" si="36"/>
        <v>0</v>
      </c>
      <c r="CT51" s="1069">
        <f t="shared" si="37"/>
        <v>0</v>
      </c>
      <c r="CU51" s="1066">
        <f t="shared" si="38"/>
        <v>0</v>
      </c>
      <c r="CV51" s="1066">
        <f t="shared" si="39"/>
        <v>0</v>
      </c>
      <c r="CW51" s="1082">
        <f t="shared" si="40"/>
        <v>4.6325000000000003</v>
      </c>
      <c r="CX51" s="1082">
        <f t="shared" si="41"/>
        <v>7.4119999999999999</v>
      </c>
    </row>
    <row r="52" spans="1:102" s="322" customFormat="1" ht="21" customHeight="1">
      <c r="A52" s="358"/>
      <c r="B52" s="402" t="s">
        <v>817</v>
      </c>
      <c r="C52" s="603" t="s">
        <v>1007</v>
      </c>
      <c r="D52" s="603" t="s">
        <v>1008</v>
      </c>
      <c r="E52" s="1058" t="s">
        <v>1011</v>
      </c>
      <c r="F52" s="728" t="s">
        <v>762</v>
      </c>
      <c r="G52" s="1051"/>
      <c r="H52" s="1051"/>
      <c r="I52" s="1120" t="s">
        <v>33</v>
      </c>
      <c r="J52" s="560" t="s">
        <v>34</v>
      </c>
      <c r="K52" s="604" t="s">
        <v>607</v>
      </c>
      <c r="L52" s="585">
        <v>0</v>
      </c>
      <c r="M52" s="473">
        <v>0</v>
      </c>
      <c r="N52" s="616">
        <v>500</v>
      </c>
      <c r="O52" s="328"/>
      <c r="P52" s="718" t="str">
        <f t="shared" si="0"/>
        <v>1. Small</v>
      </c>
      <c r="Q52" s="965" t="s">
        <v>926</v>
      </c>
      <c r="R52" s="1138"/>
      <c r="S52" s="622" t="s">
        <v>143</v>
      </c>
      <c r="T52" s="323" t="str">
        <f t="shared" si="1"/>
        <v>Covered</v>
      </c>
      <c r="U52" s="561">
        <v>42376</v>
      </c>
      <c r="V52" s="1143"/>
      <c r="W52" s="558" t="s">
        <v>152</v>
      </c>
      <c r="X52" s="627">
        <v>0</v>
      </c>
      <c r="Y52" s="473">
        <v>0</v>
      </c>
      <c r="Z52" s="617" t="s">
        <v>43</v>
      </c>
      <c r="AA52" s="627">
        <v>0</v>
      </c>
      <c r="AB52" s="473">
        <v>0</v>
      </c>
      <c r="AC52" s="473">
        <v>0</v>
      </c>
      <c r="AD52" s="473">
        <v>1</v>
      </c>
      <c r="AE52" s="617"/>
      <c r="AF52" s="599">
        <v>0</v>
      </c>
      <c r="AG52" s="330">
        <v>0</v>
      </c>
      <c r="AH52" s="630">
        <f t="shared" si="2"/>
        <v>0</v>
      </c>
      <c r="AI52" s="574">
        <f t="shared" si="3"/>
        <v>0</v>
      </c>
      <c r="AJ52" s="605">
        <f t="shared" si="4"/>
        <v>0</v>
      </c>
      <c r="AK52" s="574">
        <f t="shared" si="5"/>
        <v>0</v>
      </c>
      <c r="AL52" s="605">
        <f t="shared" si="6"/>
        <v>0</v>
      </c>
      <c r="AM52" s="574">
        <f t="shared" si="7"/>
        <v>0</v>
      </c>
      <c r="AN52" s="605" t="str">
        <f t="shared" si="8"/>
        <v>0-10%</v>
      </c>
      <c r="AO52" s="605">
        <f t="shared" si="9"/>
        <v>0</v>
      </c>
      <c r="AP52" s="574">
        <f t="shared" si="10"/>
        <v>0</v>
      </c>
      <c r="AQ52" s="574" t="str">
        <f t="shared" si="11"/>
        <v>yes</v>
      </c>
      <c r="AR52" s="574">
        <f t="shared" si="12"/>
        <v>2</v>
      </c>
      <c r="AS52" s="574">
        <f t="shared" si="13"/>
        <v>0</v>
      </c>
      <c r="AT52" s="574">
        <f t="shared" si="14"/>
        <v>0</v>
      </c>
      <c r="AU52" s="1123"/>
      <c r="AV52" s="635">
        <f t="shared" si="15"/>
        <v>0</v>
      </c>
      <c r="AW52" s="638"/>
      <c r="AX52" s="740">
        <v>0</v>
      </c>
      <c r="AY52" s="428">
        <v>20</v>
      </c>
      <c r="AZ52" s="428">
        <v>42</v>
      </c>
      <c r="BA52" s="473" t="s">
        <v>526</v>
      </c>
      <c r="BB52" s="548">
        <f t="shared" si="16"/>
        <v>1</v>
      </c>
      <c r="BC52" s="606">
        <f t="shared" si="17"/>
        <v>500</v>
      </c>
      <c r="BD52" s="548">
        <f t="shared" si="18"/>
        <v>1</v>
      </c>
      <c r="BE52" s="606">
        <f t="shared" si="19"/>
        <v>500</v>
      </c>
      <c r="BF52" s="549">
        <f t="shared" si="20"/>
        <v>0</v>
      </c>
      <c r="BG52" s="606">
        <f t="shared" si="21"/>
        <v>0</v>
      </c>
      <c r="BH52" s="600" t="s">
        <v>475</v>
      </c>
      <c r="BI52" s="600" t="s">
        <v>475</v>
      </c>
      <c r="BJ52" s="606">
        <f t="shared" si="42"/>
        <v>0</v>
      </c>
      <c r="BK52" s="606" t="str">
        <f t="shared" si="23"/>
        <v>n/a</v>
      </c>
      <c r="BL52" s="428" t="s">
        <v>475</v>
      </c>
      <c r="BM52" s="548" t="str">
        <f t="shared" si="24"/>
        <v>n/a</v>
      </c>
      <c r="BN52" s="606" t="str">
        <f t="shared" si="25"/>
        <v>n/a</v>
      </c>
      <c r="BO52" s="606" t="str">
        <f t="shared" si="26"/>
        <v>n/a</v>
      </c>
      <c r="BP52" s="578" t="s">
        <v>475</v>
      </c>
      <c r="BQ52" s="606" t="s">
        <v>475</v>
      </c>
      <c r="BR52" s="519" t="s">
        <v>475</v>
      </c>
      <c r="BS52" s="548" t="str">
        <f t="shared" si="27"/>
        <v>n/a</v>
      </c>
      <c r="BT52" s="607" t="str">
        <f t="shared" si="28"/>
        <v>n/a</v>
      </c>
      <c r="BU52" s="325">
        <v>1</v>
      </c>
      <c r="BV52" s="650" t="str">
        <f t="shared" si="29"/>
        <v>n/a</v>
      </c>
      <c r="BW52" s="325" t="s">
        <v>567</v>
      </c>
      <c r="BX52" s="602" t="s">
        <v>475</v>
      </c>
      <c r="BY52" s="1189"/>
      <c r="BZ52" s="1189"/>
      <c r="CA52" s="608" t="str">
        <f t="shared" si="30"/>
        <v>n/a</v>
      </c>
      <c r="CB52" s="428">
        <v>0</v>
      </c>
      <c r="CC52" s="428">
        <v>0</v>
      </c>
      <c r="CD52" s="609" t="str">
        <f t="shared" si="31"/>
        <v>n/a</v>
      </c>
      <c r="CE52" s="610" t="str">
        <f t="shared" si="32"/>
        <v>n/a</v>
      </c>
      <c r="CF52" s="609" t="str">
        <f t="shared" si="33"/>
        <v>n/a</v>
      </c>
      <c r="CG52" s="658" t="str">
        <f t="shared" si="34"/>
        <v>n/a</v>
      </c>
      <c r="CH52" s="328" t="s">
        <v>809</v>
      </c>
      <c r="CI52" s="330">
        <v>1</v>
      </c>
      <c r="CJ52" s="664">
        <f t="shared" si="35"/>
        <v>500</v>
      </c>
      <c r="CK52" s="328">
        <v>3</v>
      </c>
      <c r="CL52" s="611" t="s">
        <v>671</v>
      </c>
      <c r="CM52" s="428" t="s">
        <v>475</v>
      </c>
      <c r="CN52" s="428" t="s">
        <v>475</v>
      </c>
      <c r="CO52" s="428" t="s">
        <v>170</v>
      </c>
      <c r="CP52" s="570" t="s">
        <v>170</v>
      </c>
      <c r="CQ52" s="672"/>
      <c r="CS52" s="1069">
        <f t="shared" si="36"/>
        <v>0</v>
      </c>
      <c r="CT52" s="1069">
        <f t="shared" si="37"/>
        <v>0</v>
      </c>
      <c r="CU52" s="1066">
        <f t="shared" si="38"/>
        <v>0</v>
      </c>
      <c r="CV52" s="1066">
        <f t="shared" si="39"/>
        <v>0</v>
      </c>
      <c r="CW52" s="1082">
        <f t="shared" si="40"/>
        <v>1.25</v>
      </c>
      <c r="CX52" s="1082">
        <f t="shared" si="41"/>
        <v>2</v>
      </c>
    </row>
    <row r="53" spans="1:102" s="322" customFormat="1" ht="21" customHeight="1">
      <c r="A53" s="358"/>
      <c r="B53" s="402" t="s">
        <v>817</v>
      </c>
      <c r="C53" s="603" t="s">
        <v>1095</v>
      </c>
      <c r="D53" s="603" t="s">
        <v>1096</v>
      </c>
      <c r="E53" s="1058" t="s">
        <v>1098</v>
      </c>
      <c r="F53" s="1084" t="s">
        <v>844</v>
      </c>
      <c r="G53" s="1051"/>
      <c r="H53" s="1051"/>
      <c r="I53" s="560" t="s">
        <v>33</v>
      </c>
      <c r="J53" s="560" t="s">
        <v>45</v>
      </c>
      <c r="K53" s="604" t="s">
        <v>607</v>
      </c>
      <c r="L53" s="585">
        <v>0</v>
      </c>
      <c r="M53" s="473">
        <v>0</v>
      </c>
      <c r="N53" s="714">
        <v>92</v>
      </c>
      <c r="O53" s="328"/>
      <c r="P53" s="718" t="str">
        <f t="shared" si="0"/>
        <v>1. Small</v>
      </c>
      <c r="Q53" s="965" t="s">
        <v>926</v>
      </c>
      <c r="R53" s="1138"/>
      <c r="S53" s="622" t="s">
        <v>811</v>
      </c>
      <c r="T53" s="323" t="str">
        <f t="shared" si="1"/>
        <v>Covered</v>
      </c>
      <c r="U53" s="561">
        <v>42376</v>
      </c>
      <c r="V53" s="1143"/>
      <c r="W53" s="558" t="s">
        <v>152</v>
      </c>
      <c r="X53" s="627">
        <v>0</v>
      </c>
      <c r="Y53" s="473">
        <v>0</v>
      </c>
      <c r="Z53" s="617" t="s">
        <v>43</v>
      </c>
      <c r="AA53" s="627">
        <v>0</v>
      </c>
      <c r="AB53" s="736"/>
      <c r="AC53" s="473">
        <v>0</v>
      </c>
      <c r="AD53" s="473">
        <v>2</v>
      </c>
      <c r="AE53" s="617"/>
      <c r="AF53" s="599">
        <v>0</v>
      </c>
      <c r="AG53" s="325">
        <v>0</v>
      </c>
      <c r="AH53" s="630">
        <f t="shared" si="2"/>
        <v>0</v>
      </c>
      <c r="AI53" s="574">
        <f t="shared" si="3"/>
        <v>0</v>
      </c>
      <c r="AJ53" s="605">
        <f t="shared" si="4"/>
        <v>0</v>
      </c>
      <c r="AK53" s="574">
        <f t="shared" si="5"/>
        <v>0</v>
      </c>
      <c r="AL53" s="605">
        <f t="shared" si="6"/>
        <v>0</v>
      </c>
      <c r="AM53" s="574">
        <f t="shared" si="7"/>
        <v>0</v>
      </c>
      <c r="AN53" s="605" t="str">
        <f t="shared" si="8"/>
        <v>0-10%</v>
      </c>
      <c r="AO53" s="605">
        <f t="shared" si="9"/>
        <v>0</v>
      </c>
      <c r="AP53" s="574">
        <f t="shared" si="10"/>
        <v>0</v>
      </c>
      <c r="AQ53" s="574" t="str">
        <f t="shared" si="11"/>
        <v>yes</v>
      </c>
      <c r="AR53" s="574">
        <f t="shared" si="12"/>
        <v>0.36799999999999999</v>
      </c>
      <c r="AS53" s="574">
        <f t="shared" si="13"/>
        <v>0</v>
      </c>
      <c r="AT53" s="574">
        <f t="shared" si="14"/>
        <v>0</v>
      </c>
      <c r="AU53" s="330">
        <v>0.9</v>
      </c>
      <c r="AV53" s="635">
        <f t="shared" si="15"/>
        <v>82.8</v>
      </c>
      <c r="AW53" s="1155" t="s">
        <v>884</v>
      </c>
      <c r="AX53" s="740">
        <v>0</v>
      </c>
      <c r="AY53" s="428">
        <v>4</v>
      </c>
      <c r="AZ53" s="428">
        <v>42</v>
      </c>
      <c r="BA53" s="473" t="s">
        <v>963</v>
      </c>
      <c r="BB53" s="548">
        <f t="shared" si="16"/>
        <v>1</v>
      </c>
      <c r="BC53" s="606">
        <f t="shared" si="17"/>
        <v>92</v>
      </c>
      <c r="BD53" s="548">
        <f t="shared" si="18"/>
        <v>1</v>
      </c>
      <c r="BE53" s="606">
        <f t="shared" si="19"/>
        <v>92</v>
      </c>
      <c r="BF53" s="549">
        <f t="shared" si="20"/>
        <v>0</v>
      </c>
      <c r="BG53" s="606">
        <f t="shared" si="21"/>
        <v>0</v>
      </c>
      <c r="BH53" s="600" t="s">
        <v>475</v>
      </c>
      <c r="BI53" s="600" t="s">
        <v>475</v>
      </c>
      <c r="BJ53" s="606">
        <f t="shared" si="42"/>
        <v>0</v>
      </c>
      <c r="BK53" s="606" t="str">
        <f t="shared" si="23"/>
        <v>n/a</v>
      </c>
      <c r="BL53" s="428" t="s">
        <v>475</v>
      </c>
      <c r="BM53" s="548" t="str">
        <f t="shared" si="24"/>
        <v>n/a</v>
      </c>
      <c r="BN53" s="606" t="str">
        <f t="shared" si="25"/>
        <v>n/a</v>
      </c>
      <c r="BO53" s="606" t="str">
        <f t="shared" si="26"/>
        <v>n/a</v>
      </c>
      <c r="BP53" s="428" t="s">
        <v>475</v>
      </c>
      <c r="BQ53" s="606" t="s">
        <v>475</v>
      </c>
      <c r="BR53" s="428" t="s">
        <v>475</v>
      </c>
      <c r="BS53" s="548" t="str">
        <f t="shared" si="27"/>
        <v>n/a</v>
      </c>
      <c r="BT53" s="607" t="str">
        <f t="shared" si="28"/>
        <v>n/a</v>
      </c>
      <c r="BU53" s="325">
        <v>0.7</v>
      </c>
      <c r="BV53" s="650" t="str">
        <f t="shared" si="29"/>
        <v>n/a</v>
      </c>
      <c r="BW53" s="1165" t="s">
        <v>891</v>
      </c>
      <c r="BX53" s="602" t="s">
        <v>475</v>
      </c>
      <c r="BY53" s="1189"/>
      <c r="BZ53" s="1189"/>
      <c r="CA53" s="608" t="str">
        <f t="shared" si="30"/>
        <v>n/a</v>
      </c>
      <c r="CB53" s="428">
        <v>0</v>
      </c>
      <c r="CC53" s="428">
        <v>0</v>
      </c>
      <c r="CD53" s="609" t="str">
        <f t="shared" si="31"/>
        <v>n/a</v>
      </c>
      <c r="CE53" s="610" t="str">
        <f t="shared" si="32"/>
        <v>n/a</v>
      </c>
      <c r="CF53" s="609" t="str">
        <f t="shared" si="33"/>
        <v>n/a</v>
      </c>
      <c r="CG53" s="658" t="str">
        <f t="shared" si="34"/>
        <v>n/a</v>
      </c>
      <c r="CH53" s="743" t="s">
        <v>893</v>
      </c>
      <c r="CI53" s="330">
        <v>0</v>
      </c>
      <c r="CJ53" s="664">
        <f t="shared" si="35"/>
        <v>0</v>
      </c>
      <c r="CK53" s="328">
        <v>0</v>
      </c>
      <c r="CL53" s="611" t="s">
        <v>671</v>
      </c>
      <c r="CM53" s="428" t="s">
        <v>475</v>
      </c>
      <c r="CN53" s="428" t="s">
        <v>475</v>
      </c>
      <c r="CO53" s="428" t="s">
        <v>38</v>
      </c>
      <c r="CP53" s="570" t="s">
        <v>170</v>
      </c>
      <c r="CQ53" s="1167" t="s">
        <v>894</v>
      </c>
      <c r="CS53" s="1069">
        <f t="shared" si="36"/>
        <v>0</v>
      </c>
      <c r="CT53" s="1069">
        <f t="shared" si="37"/>
        <v>0</v>
      </c>
      <c r="CU53" s="1066">
        <f t="shared" si="38"/>
        <v>0</v>
      </c>
      <c r="CV53" s="1066">
        <f t="shared" si="39"/>
        <v>0</v>
      </c>
      <c r="CW53" s="1082">
        <f t="shared" si="40"/>
        <v>0.23</v>
      </c>
      <c r="CX53" s="1082">
        <f t="shared" si="41"/>
        <v>0.36799999999999999</v>
      </c>
    </row>
    <row r="54" spans="1:102" s="322" customFormat="1" ht="21" customHeight="1">
      <c r="A54" s="358"/>
      <c r="B54" s="402" t="s">
        <v>817</v>
      </c>
      <c r="C54" s="603" t="s">
        <v>1065</v>
      </c>
      <c r="D54" s="603" t="s">
        <v>1066</v>
      </c>
      <c r="E54" s="1058" t="s">
        <v>1067</v>
      </c>
      <c r="F54" s="1083" t="s">
        <v>825</v>
      </c>
      <c r="G54" s="1051"/>
      <c r="H54" s="1051"/>
      <c r="I54" s="560" t="s">
        <v>33</v>
      </c>
      <c r="J54" s="560" t="s">
        <v>34</v>
      </c>
      <c r="K54" s="604" t="s">
        <v>607</v>
      </c>
      <c r="L54" s="585">
        <v>0</v>
      </c>
      <c r="M54" s="473">
        <v>0</v>
      </c>
      <c r="N54" s="714">
        <v>323</v>
      </c>
      <c r="O54" s="328"/>
      <c r="P54" s="718" t="str">
        <f t="shared" si="0"/>
        <v>1. Small</v>
      </c>
      <c r="Q54" s="965" t="s">
        <v>926</v>
      </c>
      <c r="R54" s="1138"/>
      <c r="S54" s="622" t="s">
        <v>811</v>
      </c>
      <c r="T54" s="323" t="str">
        <f t="shared" si="1"/>
        <v>Covered</v>
      </c>
      <c r="U54" s="561">
        <v>42376</v>
      </c>
      <c r="V54" s="1143"/>
      <c r="W54" s="558" t="s">
        <v>152</v>
      </c>
      <c r="X54" s="627">
        <v>0</v>
      </c>
      <c r="Y54" s="473">
        <v>0</v>
      </c>
      <c r="Z54" s="617" t="s">
        <v>43</v>
      </c>
      <c r="AA54" s="627">
        <v>0</v>
      </c>
      <c r="AB54" s="736">
        <v>0</v>
      </c>
      <c r="AC54" s="473">
        <v>0</v>
      </c>
      <c r="AD54" s="473">
        <v>2</v>
      </c>
      <c r="AE54" s="617"/>
      <c r="AF54" s="599">
        <v>0</v>
      </c>
      <c r="AG54" s="325">
        <v>0</v>
      </c>
      <c r="AH54" s="630">
        <f t="shared" si="2"/>
        <v>0</v>
      </c>
      <c r="AI54" s="574">
        <f t="shared" si="3"/>
        <v>0</v>
      </c>
      <c r="AJ54" s="605">
        <f t="shared" si="4"/>
        <v>0</v>
      </c>
      <c r="AK54" s="574">
        <f t="shared" si="5"/>
        <v>0</v>
      </c>
      <c r="AL54" s="605">
        <f t="shared" si="6"/>
        <v>0</v>
      </c>
      <c r="AM54" s="574">
        <f t="shared" si="7"/>
        <v>0</v>
      </c>
      <c r="AN54" s="605" t="str">
        <f t="shared" si="8"/>
        <v>0-10%</v>
      </c>
      <c r="AO54" s="605">
        <f t="shared" si="9"/>
        <v>0</v>
      </c>
      <c r="AP54" s="574">
        <f t="shared" si="10"/>
        <v>0</v>
      </c>
      <c r="AQ54" s="574" t="str">
        <f t="shared" si="11"/>
        <v>yes</v>
      </c>
      <c r="AR54" s="574">
        <f t="shared" si="12"/>
        <v>1.292</v>
      </c>
      <c r="AS54" s="574">
        <f t="shared" si="13"/>
        <v>0</v>
      </c>
      <c r="AT54" s="574">
        <f t="shared" si="14"/>
        <v>0</v>
      </c>
      <c r="AU54" s="330">
        <v>0.9</v>
      </c>
      <c r="AV54" s="635">
        <f t="shared" si="15"/>
        <v>290.7</v>
      </c>
      <c r="AW54" s="1155" t="s">
        <v>884</v>
      </c>
      <c r="AX54" s="740">
        <v>0</v>
      </c>
      <c r="AY54" s="428">
        <v>10</v>
      </c>
      <c r="AZ54" s="428">
        <v>42</v>
      </c>
      <c r="BA54" s="473" t="s">
        <v>963</v>
      </c>
      <c r="BB54" s="548">
        <f t="shared" si="16"/>
        <v>1</v>
      </c>
      <c r="BC54" s="606">
        <f t="shared" si="17"/>
        <v>323</v>
      </c>
      <c r="BD54" s="548">
        <f t="shared" si="18"/>
        <v>1</v>
      </c>
      <c r="BE54" s="606">
        <f t="shared" si="19"/>
        <v>323</v>
      </c>
      <c r="BF54" s="549">
        <f t="shared" si="20"/>
        <v>0</v>
      </c>
      <c r="BG54" s="606">
        <f t="shared" si="21"/>
        <v>0</v>
      </c>
      <c r="BH54" s="600" t="s">
        <v>475</v>
      </c>
      <c r="BI54" s="600" t="s">
        <v>475</v>
      </c>
      <c r="BJ54" s="606">
        <f t="shared" si="42"/>
        <v>0</v>
      </c>
      <c r="BK54" s="606" t="str">
        <f t="shared" si="23"/>
        <v>n/a</v>
      </c>
      <c r="BL54" s="428" t="s">
        <v>475</v>
      </c>
      <c r="BM54" s="548" t="str">
        <f t="shared" si="24"/>
        <v>n/a</v>
      </c>
      <c r="BN54" s="606" t="str">
        <f t="shared" si="25"/>
        <v>n/a</v>
      </c>
      <c r="BO54" s="606" t="str">
        <f t="shared" si="26"/>
        <v>n/a</v>
      </c>
      <c r="BP54" s="428" t="s">
        <v>475</v>
      </c>
      <c r="BQ54" s="606" t="s">
        <v>475</v>
      </c>
      <c r="BR54" s="428" t="s">
        <v>475</v>
      </c>
      <c r="BS54" s="548" t="str">
        <f t="shared" si="27"/>
        <v>n/a</v>
      </c>
      <c r="BT54" s="607" t="str">
        <f t="shared" si="28"/>
        <v>n/a</v>
      </c>
      <c r="BU54" s="325">
        <v>0.7</v>
      </c>
      <c r="BV54" s="650" t="str">
        <f t="shared" si="29"/>
        <v>n/a</v>
      </c>
      <c r="BW54" s="1165" t="s">
        <v>891</v>
      </c>
      <c r="BX54" s="602" t="s">
        <v>475</v>
      </c>
      <c r="BY54" s="1189"/>
      <c r="BZ54" s="1189"/>
      <c r="CA54" s="608" t="str">
        <f t="shared" si="30"/>
        <v>n/a</v>
      </c>
      <c r="CB54" s="428">
        <v>0</v>
      </c>
      <c r="CC54" s="428">
        <v>0</v>
      </c>
      <c r="CD54" s="609" t="str">
        <f t="shared" si="31"/>
        <v>n/a</v>
      </c>
      <c r="CE54" s="610" t="str">
        <f t="shared" si="32"/>
        <v>n/a</v>
      </c>
      <c r="CF54" s="609" t="str">
        <f t="shared" si="33"/>
        <v>n/a</v>
      </c>
      <c r="CG54" s="658" t="str">
        <f t="shared" si="34"/>
        <v>n/a</v>
      </c>
      <c r="CH54" s="743" t="s">
        <v>893</v>
      </c>
      <c r="CI54" s="330">
        <v>0</v>
      </c>
      <c r="CJ54" s="664">
        <f t="shared" si="35"/>
        <v>0</v>
      </c>
      <c r="CK54" s="328">
        <v>0</v>
      </c>
      <c r="CL54" s="611" t="s">
        <v>671</v>
      </c>
      <c r="CM54" s="428" t="s">
        <v>475</v>
      </c>
      <c r="CN54" s="428" t="s">
        <v>475</v>
      </c>
      <c r="CO54" s="428" t="s">
        <v>38</v>
      </c>
      <c r="CP54" s="570" t="s">
        <v>170</v>
      </c>
      <c r="CQ54" s="1167" t="s">
        <v>894</v>
      </c>
      <c r="CS54" s="1069">
        <f t="shared" si="36"/>
        <v>0</v>
      </c>
      <c r="CT54" s="1069">
        <f t="shared" si="37"/>
        <v>0</v>
      </c>
      <c r="CU54" s="1066">
        <f t="shared" si="38"/>
        <v>0</v>
      </c>
      <c r="CV54" s="1066">
        <f t="shared" si="39"/>
        <v>0</v>
      </c>
      <c r="CW54" s="1082">
        <f t="shared" si="40"/>
        <v>0.8075</v>
      </c>
      <c r="CX54" s="1082">
        <f t="shared" si="41"/>
        <v>1.292</v>
      </c>
    </row>
    <row r="55" spans="1:102" s="322" customFormat="1" ht="21" customHeight="1">
      <c r="A55" s="358"/>
      <c r="B55" s="402" t="s">
        <v>817</v>
      </c>
      <c r="C55" s="603" t="s">
        <v>1026</v>
      </c>
      <c r="D55" s="603" t="s">
        <v>1026</v>
      </c>
      <c r="E55" s="1058"/>
      <c r="F55" s="730" t="s">
        <v>778</v>
      </c>
      <c r="G55" s="1051"/>
      <c r="H55" s="1051"/>
      <c r="I55" s="1120" t="s">
        <v>33</v>
      </c>
      <c r="J55" s="560" t="s">
        <v>34</v>
      </c>
      <c r="K55" s="604" t="s">
        <v>607</v>
      </c>
      <c r="L55" s="585">
        <v>0</v>
      </c>
      <c r="M55" s="473">
        <v>0</v>
      </c>
      <c r="N55" s="616">
        <v>792</v>
      </c>
      <c r="O55" s="328"/>
      <c r="P55" s="718" t="str">
        <f t="shared" si="0"/>
        <v>2. Medium</v>
      </c>
      <c r="Q55" s="965" t="s">
        <v>926</v>
      </c>
      <c r="R55" s="1138"/>
      <c r="S55" s="622" t="s">
        <v>143</v>
      </c>
      <c r="T55" s="323" t="str">
        <f t="shared" si="1"/>
        <v>Covered</v>
      </c>
      <c r="U55" s="561">
        <v>42376</v>
      </c>
      <c r="V55" s="1143"/>
      <c r="W55" s="558" t="s">
        <v>152</v>
      </c>
      <c r="X55" s="627">
        <v>0</v>
      </c>
      <c r="Y55" s="473">
        <v>0</v>
      </c>
      <c r="Z55" s="617" t="s">
        <v>43</v>
      </c>
      <c r="AA55" s="627">
        <v>0</v>
      </c>
      <c r="AB55" s="473">
        <v>1</v>
      </c>
      <c r="AC55" s="473">
        <v>0</v>
      </c>
      <c r="AD55" s="473">
        <v>0</v>
      </c>
      <c r="AE55" s="617"/>
      <c r="AF55" s="599">
        <v>0</v>
      </c>
      <c r="AG55" s="330">
        <v>0</v>
      </c>
      <c r="AH55" s="630">
        <f t="shared" si="2"/>
        <v>0.31565656565656564</v>
      </c>
      <c r="AI55" s="574">
        <f t="shared" si="3"/>
        <v>249.99999999999997</v>
      </c>
      <c r="AJ55" s="605">
        <f t="shared" si="4"/>
        <v>0.31565656565656564</v>
      </c>
      <c r="AK55" s="574">
        <f t="shared" si="5"/>
        <v>249.99999999999997</v>
      </c>
      <c r="AL55" s="605">
        <f t="shared" si="6"/>
        <v>0.31565656565656564</v>
      </c>
      <c r="AM55" s="574">
        <f t="shared" si="7"/>
        <v>249.99999999999997</v>
      </c>
      <c r="AN55" s="605" t="str">
        <f t="shared" si="8"/>
        <v>30-45%</v>
      </c>
      <c r="AO55" s="605">
        <f t="shared" si="9"/>
        <v>0</v>
      </c>
      <c r="AP55" s="574">
        <f t="shared" si="10"/>
        <v>0</v>
      </c>
      <c r="AQ55" s="574" t="str">
        <f t="shared" si="11"/>
        <v>no</v>
      </c>
      <c r="AR55" s="574">
        <f t="shared" si="12"/>
        <v>2.1680000000000001</v>
      </c>
      <c r="AS55" s="574">
        <f t="shared" si="13"/>
        <v>0</v>
      </c>
      <c r="AT55" s="574">
        <f t="shared" si="14"/>
        <v>0</v>
      </c>
      <c r="AU55" s="1123">
        <v>0.32</v>
      </c>
      <c r="AV55" s="635">
        <f t="shared" si="15"/>
        <v>253.44</v>
      </c>
      <c r="AW55" s="638"/>
      <c r="AX55" s="740">
        <v>0</v>
      </c>
      <c r="AY55" s="428">
        <v>22</v>
      </c>
      <c r="AZ55" s="428">
        <v>42</v>
      </c>
      <c r="BA55" s="473" t="s">
        <v>526</v>
      </c>
      <c r="BB55" s="548">
        <f t="shared" si="16"/>
        <v>1</v>
      </c>
      <c r="BC55" s="606">
        <f t="shared" si="17"/>
        <v>792</v>
      </c>
      <c r="BD55" s="548">
        <f t="shared" si="18"/>
        <v>1</v>
      </c>
      <c r="BE55" s="606">
        <f t="shared" si="19"/>
        <v>792</v>
      </c>
      <c r="BF55" s="549">
        <f t="shared" si="20"/>
        <v>0</v>
      </c>
      <c r="BG55" s="606">
        <f t="shared" si="21"/>
        <v>0</v>
      </c>
      <c r="BH55" s="600" t="s">
        <v>475</v>
      </c>
      <c r="BI55" s="600" t="s">
        <v>475</v>
      </c>
      <c r="BJ55" s="606">
        <f t="shared" si="42"/>
        <v>0</v>
      </c>
      <c r="BK55" s="606" t="str">
        <f t="shared" si="23"/>
        <v>n/a</v>
      </c>
      <c r="BL55" s="428" t="s">
        <v>475</v>
      </c>
      <c r="BM55" s="548" t="str">
        <f t="shared" si="24"/>
        <v>n/a</v>
      </c>
      <c r="BN55" s="606" t="str">
        <f t="shared" si="25"/>
        <v>n/a</v>
      </c>
      <c r="BO55" s="606" t="str">
        <f t="shared" si="26"/>
        <v>n/a</v>
      </c>
      <c r="BP55" s="578" t="s">
        <v>475</v>
      </c>
      <c r="BQ55" s="606" t="s">
        <v>475</v>
      </c>
      <c r="BR55" s="519" t="s">
        <v>475</v>
      </c>
      <c r="BS55" s="548" t="str">
        <f t="shared" si="27"/>
        <v>n/a</v>
      </c>
      <c r="BT55" s="607" t="str">
        <f t="shared" si="28"/>
        <v>n/a</v>
      </c>
      <c r="BU55" s="325">
        <v>1</v>
      </c>
      <c r="BV55" s="650" t="str">
        <f t="shared" si="29"/>
        <v>n/a</v>
      </c>
      <c r="BW55" s="325" t="s">
        <v>567</v>
      </c>
      <c r="BX55" s="602" t="s">
        <v>475</v>
      </c>
      <c r="BY55" s="1189"/>
      <c r="BZ55" s="1189"/>
      <c r="CA55" s="608" t="str">
        <f t="shared" si="30"/>
        <v>n/a</v>
      </c>
      <c r="CB55" s="428">
        <v>0</v>
      </c>
      <c r="CC55" s="428">
        <v>0</v>
      </c>
      <c r="CD55" s="609" t="str">
        <f t="shared" si="31"/>
        <v>n/a</v>
      </c>
      <c r="CE55" s="610" t="str">
        <f t="shared" si="32"/>
        <v>n/a</v>
      </c>
      <c r="CF55" s="609" t="str">
        <f t="shared" si="33"/>
        <v>n/a</v>
      </c>
      <c r="CG55" s="658" t="str">
        <f t="shared" si="34"/>
        <v>n/a</v>
      </c>
      <c r="CH55" s="328" t="s">
        <v>809</v>
      </c>
      <c r="CI55" s="330">
        <v>1</v>
      </c>
      <c r="CJ55" s="664">
        <f t="shared" si="35"/>
        <v>792</v>
      </c>
      <c r="CK55" s="328">
        <v>3</v>
      </c>
      <c r="CL55" s="611" t="s">
        <v>671</v>
      </c>
      <c r="CM55" s="428" t="s">
        <v>475</v>
      </c>
      <c r="CN55" s="428" t="s">
        <v>475</v>
      </c>
      <c r="CO55" s="428" t="s">
        <v>170</v>
      </c>
      <c r="CP55" s="570" t="s">
        <v>170</v>
      </c>
      <c r="CQ55" s="672"/>
      <c r="CS55" s="1069">
        <f t="shared" si="36"/>
        <v>0.63131313131313127</v>
      </c>
      <c r="CT55" s="1069">
        <f t="shared" si="37"/>
        <v>0.31565656565656564</v>
      </c>
      <c r="CU55" s="1066">
        <f t="shared" si="38"/>
        <v>0.63131313131313127</v>
      </c>
      <c r="CV55" s="1066">
        <f t="shared" si="39"/>
        <v>0.31565656565656564</v>
      </c>
      <c r="CW55" s="1082">
        <f t="shared" si="40"/>
        <v>0.98</v>
      </c>
      <c r="CX55" s="1082">
        <f t="shared" si="41"/>
        <v>2.1680000000000001</v>
      </c>
    </row>
    <row r="56" spans="1:102" s="322" customFormat="1" ht="21" customHeight="1">
      <c r="A56" s="358"/>
      <c r="B56" s="402" t="s">
        <v>817</v>
      </c>
      <c r="C56" s="603" t="s">
        <v>1026</v>
      </c>
      <c r="D56" s="603" t="s">
        <v>1026</v>
      </c>
      <c r="E56" s="1058"/>
      <c r="F56" s="730" t="s">
        <v>779</v>
      </c>
      <c r="G56" s="1051"/>
      <c r="H56" s="1051"/>
      <c r="I56" s="1120" t="s">
        <v>33</v>
      </c>
      <c r="J56" s="560" t="s">
        <v>45</v>
      </c>
      <c r="K56" s="604" t="s">
        <v>607</v>
      </c>
      <c r="L56" s="585">
        <v>0</v>
      </c>
      <c r="M56" s="473">
        <v>0</v>
      </c>
      <c r="N56" s="616">
        <v>501</v>
      </c>
      <c r="O56" s="328"/>
      <c r="P56" s="718" t="str">
        <f t="shared" si="0"/>
        <v>2. Medium</v>
      </c>
      <c r="Q56" s="965" t="s">
        <v>926</v>
      </c>
      <c r="R56" s="1138"/>
      <c r="S56" s="622" t="s">
        <v>143</v>
      </c>
      <c r="T56" s="323" t="str">
        <f t="shared" si="1"/>
        <v>Covered</v>
      </c>
      <c r="U56" s="561">
        <v>42376</v>
      </c>
      <c r="V56" s="1143"/>
      <c r="W56" s="558" t="s">
        <v>152</v>
      </c>
      <c r="X56" s="627">
        <v>0</v>
      </c>
      <c r="Y56" s="473">
        <v>0</v>
      </c>
      <c r="Z56" s="617" t="s">
        <v>43</v>
      </c>
      <c r="AA56" s="627">
        <v>1</v>
      </c>
      <c r="AB56" s="473">
        <v>0</v>
      </c>
      <c r="AC56" s="473">
        <v>0</v>
      </c>
      <c r="AD56" s="473">
        <v>1</v>
      </c>
      <c r="AE56" s="617"/>
      <c r="AF56" s="599">
        <v>0</v>
      </c>
      <c r="AG56" s="330">
        <v>0</v>
      </c>
      <c r="AH56" s="630">
        <f t="shared" si="2"/>
        <v>0.49900199600798401</v>
      </c>
      <c r="AI56" s="574">
        <f t="shared" si="3"/>
        <v>250</v>
      </c>
      <c r="AJ56" s="605">
        <f t="shared" si="4"/>
        <v>0.49900199600798401</v>
      </c>
      <c r="AK56" s="574">
        <f t="shared" si="5"/>
        <v>250</v>
      </c>
      <c r="AL56" s="605">
        <f t="shared" si="6"/>
        <v>0.49900199600798401</v>
      </c>
      <c r="AM56" s="574">
        <f t="shared" si="7"/>
        <v>250</v>
      </c>
      <c r="AN56" s="605" t="str">
        <f t="shared" si="8"/>
        <v>45-60%</v>
      </c>
      <c r="AO56" s="605">
        <f t="shared" si="9"/>
        <v>0</v>
      </c>
      <c r="AP56" s="574">
        <f t="shared" si="10"/>
        <v>0</v>
      </c>
      <c r="AQ56" s="574" t="str">
        <f t="shared" si="11"/>
        <v>yes</v>
      </c>
      <c r="AR56" s="574">
        <f t="shared" si="12"/>
        <v>1.004</v>
      </c>
      <c r="AS56" s="574">
        <f t="shared" si="13"/>
        <v>0</v>
      </c>
      <c r="AT56" s="574">
        <f t="shared" si="14"/>
        <v>0</v>
      </c>
      <c r="AU56" s="1123">
        <v>0.5</v>
      </c>
      <c r="AV56" s="635">
        <f t="shared" si="15"/>
        <v>250.5</v>
      </c>
      <c r="AW56" s="638"/>
      <c r="AX56" s="740">
        <v>0</v>
      </c>
      <c r="AY56" s="428">
        <v>18</v>
      </c>
      <c r="AZ56" s="428">
        <v>42</v>
      </c>
      <c r="BA56" s="473" t="s">
        <v>526</v>
      </c>
      <c r="BB56" s="548">
        <f t="shared" si="16"/>
        <v>1</v>
      </c>
      <c r="BC56" s="606">
        <f t="shared" si="17"/>
        <v>501</v>
      </c>
      <c r="BD56" s="548">
        <f t="shared" si="18"/>
        <v>1</v>
      </c>
      <c r="BE56" s="606">
        <f t="shared" si="19"/>
        <v>501</v>
      </c>
      <c r="BF56" s="549">
        <f t="shared" si="20"/>
        <v>0</v>
      </c>
      <c r="BG56" s="606">
        <f t="shared" si="21"/>
        <v>0</v>
      </c>
      <c r="BH56" s="600" t="s">
        <v>475</v>
      </c>
      <c r="BI56" s="600" t="s">
        <v>475</v>
      </c>
      <c r="BJ56" s="606">
        <f t="shared" si="42"/>
        <v>0</v>
      </c>
      <c r="BK56" s="606" t="str">
        <f t="shared" si="23"/>
        <v>n/a</v>
      </c>
      <c r="BL56" s="428" t="s">
        <v>475</v>
      </c>
      <c r="BM56" s="548" t="str">
        <f t="shared" si="24"/>
        <v>n/a</v>
      </c>
      <c r="BN56" s="606" t="str">
        <f t="shared" si="25"/>
        <v>n/a</v>
      </c>
      <c r="BO56" s="606" t="str">
        <f t="shared" si="26"/>
        <v>n/a</v>
      </c>
      <c r="BP56" s="578" t="s">
        <v>475</v>
      </c>
      <c r="BQ56" s="606" t="s">
        <v>475</v>
      </c>
      <c r="BR56" s="519" t="s">
        <v>475</v>
      </c>
      <c r="BS56" s="548" t="str">
        <f t="shared" si="27"/>
        <v>n/a</v>
      </c>
      <c r="BT56" s="607" t="str">
        <f t="shared" si="28"/>
        <v>n/a</v>
      </c>
      <c r="BU56" s="325">
        <v>1</v>
      </c>
      <c r="BV56" s="650" t="str">
        <f t="shared" si="29"/>
        <v>n/a</v>
      </c>
      <c r="BW56" s="325" t="s">
        <v>567</v>
      </c>
      <c r="BX56" s="602" t="s">
        <v>475</v>
      </c>
      <c r="BY56" s="1189"/>
      <c r="BZ56" s="1189"/>
      <c r="CA56" s="608" t="str">
        <f t="shared" si="30"/>
        <v>n/a</v>
      </c>
      <c r="CB56" s="428">
        <v>0</v>
      </c>
      <c r="CC56" s="428">
        <v>0</v>
      </c>
      <c r="CD56" s="609" t="str">
        <f t="shared" si="31"/>
        <v>n/a</v>
      </c>
      <c r="CE56" s="610" t="str">
        <f t="shared" si="32"/>
        <v>n/a</v>
      </c>
      <c r="CF56" s="609" t="str">
        <f t="shared" si="33"/>
        <v>n/a</v>
      </c>
      <c r="CG56" s="658" t="str">
        <f t="shared" si="34"/>
        <v>n/a</v>
      </c>
      <c r="CH56" s="328" t="s">
        <v>809</v>
      </c>
      <c r="CI56" s="330">
        <v>1</v>
      </c>
      <c r="CJ56" s="664">
        <f t="shared" si="35"/>
        <v>501</v>
      </c>
      <c r="CK56" s="328">
        <v>0</v>
      </c>
      <c r="CL56" s="611" t="s">
        <v>671</v>
      </c>
      <c r="CM56" s="428" t="s">
        <v>475</v>
      </c>
      <c r="CN56" s="428" t="s">
        <v>475</v>
      </c>
      <c r="CO56" s="428" t="s">
        <v>38</v>
      </c>
      <c r="CP56" s="570" t="s">
        <v>170</v>
      </c>
      <c r="CQ56" s="672"/>
      <c r="CS56" s="1069">
        <f t="shared" si="36"/>
        <v>0.79840319361277445</v>
      </c>
      <c r="CT56" s="1069">
        <f t="shared" si="37"/>
        <v>0.49900199600798401</v>
      </c>
      <c r="CU56" s="1066">
        <f t="shared" si="38"/>
        <v>0.79840319361277445</v>
      </c>
      <c r="CV56" s="1066">
        <f t="shared" si="39"/>
        <v>0.49900199600798401</v>
      </c>
      <c r="CW56" s="1082">
        <f t="shared" si="40"/>
        <v>0.25249999999999995</v>
      </c>
      <c r="CX56" s="1082">
        <f t="shared" si="41"/>
        <v>1.004</v>
      </c>
    </row>
    <row r="57" spans="1:102" s="322" customFormat="1" ht="21" customHeight="1">
      <c r="A57" s="358"/>
      <c r="B57" s="402" t="s">
        <v>817</v>
      </c>
      <c r="C57" s="603" t="s">
        <v>996</v>
      </c>
      <c r="D57" s="603" t="s">
        <v>997</v>
      </c>
      <c r="E57" s="1058" t="s">
        <v>998</v>
      </c>
      <c r="F57" s="728" t="s">
        <v>753</v>
      </c>
      <c r="G57" s="1051"/>
      <c r="H57" s="1051"/>
      <c r="I57" s="1120" t="s">
        <v>33</v>
      </c>
      <c r="J57" s="560" t="s">
        <v>34</v>
      </c>
      <c r="K57" s="604" t="s">
        <v>607</v>
      </c>
      <c r="L57" s="585">
        <v>0</v>
      </c>
      <c r="M57" s="473">
        <v>0</v>
      </c>
      <c r="N57" s="615">
        <v>351</v>
      </c>
      <c r="O57" s="328"/>
      <c r="P57" s="718" t="str">
        <f t="shared" si="0"/>
        <v>1. Small</v>
      </c>
      <c r="Q57" s="965" t="s">
        <v>926</v>
      </c>
      <c r="R57" s="1138"/>
      <c r="S57" s="622" t="s">
        <v>143</v>
      </c>
      <c r="T57" s="323" t="str">
        <f t="shared" si="1"/>
        <v>Covered</v>
      </c>
      <c r="U57" s="561">
        <v>42376</v>
      </c>
      <c r="V57" s="1143"/>
      <c r="W57" s="558" t="s">
        <v>152</v>
      </c>
      <c r="X57" s="627">
        <v>0</v>
      </c>
      <c r="Y57" s="473">
        <v>0</v>
      </c>
      <c r="Z57" s="617" t="s">
        <v>43</v>
      </c>
      <c r="AA57" s="627">
        <v>0</v>
      </c>
      <c r="AB57" s="473">
        <v>0</v>
      </c>
      <c r="AC57" s="473">
        <v>0</v>
      </c>
      <c r="AD57" s="473">
        <v>1</v>
      </c>
      <c r="AE57" s="617"/>
      <c r="AF57" s="599">
        <v>0</v>
      </c>
      <c r="AG57" s="330">
        <v>0</v>
      </c>
      <c r="AH57" s="630">
        <f t="shared" si="2"/>
        <v>0</v>
      </c>
      <c r="AI57" s="574">
        <f t="shared" si="3"/>
        <v>0</v>
      </c>
      <c r="AJ57" s="605">
        <f t="shared" si="4"/>
        <v>0</v>
      </c>
      <c r="AK57" s="574">
        <f t="shared" si="5"/>
        <v>0</v>
      </c>
      <c r="AL57" s="605">
        <f t="shared" si="6"/>
        <v>0</v>
      </c>
      <c r="AM57" s="574">
        <f t="shared" si="7"/>
        <v>0</v>
      </c>
      <c r="AN57" s="605" t="str">
        <f t="shared" si="8"/>
        <v>0-10%</v>
      </c>
      <c r="AO57" s="605">
        <f t="shared" si="9"/>
        <v>0</v>
      </c>
      <c r="AP57" s="574">
        <f t="shared" si="10"/>
        <v>0</v>
      </c>
      <c r="AQ57" s="574" t="str">
        <f t="shared" si="11"/>
        <v>yes</v>
      </c>
      <c r="AR57" s="574">
        <f t="shared" si="12"/>
        <v>1.4039999999999999</v>
      </c>
      <c r="AS57" s="574">
        <f t="shared" si="13"/>
        <v>0</v>
      </c>
      <c r="AT57" s="574">
        <f t="shared" si="14"/>
        <v>0</v>
      </c>
      <c r="AU57" s="1123"/>
      <c r="AV57" s="635">
        <f t="shared" si="15"/>
        <v>0</v>
      </c>
      <c r="AW57" s="638"/>
      <c r="AX57" s="740">
        <v>0</v>
      </c>
      <c r="AY57" s="428">
        <v>32</v>
      </c>
      <c r="AZ57" s="428">
        <v>42</v>
      </c>
      <c r="BA57" s="473" t="s">
        <v>963</v>
      </c>
      <c r="BB57" s="548">
        <f t="shared" si="16"/>
        <v>1</v>
      </c>
      <c r="BC57" s="606">
        <f t="shared" si="17"/>
        <v>351</v>
      </c>
      <c r="BD57" s="548">
        <f t="shared" si="18"/>
        <v>1</v>
      </c>
      <c r="BE57" s="606">
        <f t="shared" si="19"/>
        <v>351</v>
      </c>
      <c r="BF57" s="549">
        <f t="shared" si="20"/>
        <v>0</v>
      </c>
      <c r="BG57" s="606">
        <f t="shared" si="21"/>
        <v>0</v>
      </c>
      <c r="BH57" s="600" t="s">
        <v>475</v>
      </c>
      <c r="BI57" s="600" t="s">
        <v>475</v>
      </c>
      <c r="BJ57" s="606">
        <f t="shared" si="42"/>
        <v>0</v>
      </c>
      <c r="BK57" s="606" t="str">
        <f t="shared" si="23"/>
        <v>n/a</v>
      </c>
      <c r="BL57" s="428" t="s">
        <v>475</v>
      </c>
      <c r="BM57" s="548" t="str">
        <f t="shared" si="24"/>
        <v>n/a</v>
      </c>
      <c r="BN57" s="606" t="str">
        <f t="shared" si="25"/>
        <v>n/a</v>
      </c>
      <c r="BO57" s="606" t="str">
        <f t="shared" si="26"/>
        <v>n/a</v>
      </c>
      <c r="BP57" s="578" t="s">
        <v>475</v>
      </c>
      <c r="BQ57" s="606" t="s">
        <v>475</v>
      </c>
      <c r="BR57" s="519" t="s">
        <v>475</v>
      </c>
      <c r="BS57" s="548" t="str">
        <f t="shared" si="27"/>
        <v>n/a</v>
      </c>
      <c r="BT57" s="607" t="str">
        <f t="shared" si="28"/>
        <v>n/a</v>
      </c>
      <c r="BU57" s="325">
        <v>1</v>
      </c>
      <c r="BV57" s="650" t="str">
        <f t="shared" si="29"/>
        <v>n/a</v>
      </c>
      <c r="BW57" s="325" t="s">
        <v>567</v>
      </c>
      <c r="BX57" s="602" t="s">
        <v>475</v>
      </c>
      <c r="BY57" s="1189"/>
      <c r="BZ57" s="1189"/>
      <c r="CA57" s="608" t="str">
        <f t="shared" si="30"/>
        <v>n/a</v>
      </c>
      <c r="CB57" s="428">
        <v>0</v>
      </c>
      <c r="CC57" s="428">
        <v>0</v>
      </c>
      <c r="CD57" s="609" t="str">
        <f t="shared" si="31"/>
        <v>n/a</v>
      </c>
      <c r="CE57" s="610" t="str">
        <f t="shared" si="32"/>
        <v>n/a</v>
      </c>
      <c r="CF57" s="609" t="str">
        <f t="shared" si="33"/>
        <v>n/a</v>
      </c>
      <c r="CG57" s="658" t="str">
        <f t="shared" si="34"/>
        <v>n/a</v>
      </c>
      <c r="CH57" s="328" t="s">
        <v>809</v>
      </c>
      <c r="CI57" s="330">
        <v>1</v>
      </c>
      <c r="CJ57" s="664">
        <f t="shared" si="35"/>
        <v>351</v>
      </c>
      <c r="CK57" s="328">
        <v>0</v>
      </c>
      <c r="CL57" s="611" t="s">
        <v>671</v>
      </c>
      <c r="CM57" s="428" t="s">
        <v>475</v>
      </c>
      <c r="CN57" s="428" t="s">
        <v>475</v>
      </c>
      <c r="CO57" s="428" t="s">
        <v>38</v>
      </c>
      <c r="CP57" s="570" t="s">
        <v>170</v>
      </c>
      <c r="CQ57" s="672"/>
      <c r="CS57" s="1069">
        <f t="shared" si="36"/>
        <v>0</v>
      </c>
      <c r="CT57" s="1069">
        <f t="shared" si="37"/>
        <v>0</v>
      </c>
      <c r="CU57" s="1066">
        <f t="shared" si="38"/>
        <v>0</v>
      </c>
      <c r="CV57" s="1066">
        <f t="shared" si="39"/>
        <v>0</v>
      </c>
      <c r="CW57" s="1082">
        <f t="shared" si="40"/>
        <v>0.87749999999999995</v>
      </c>
      <c r="CX57" s="1082">
        <f t="shared" si="41"/>
        <v>1.4039999999999999</v>
      </c>
    </row>
    <row r="58" spans="1:102" s="322" customFormat="1" ht="21" customHeight="1">
      <c r="A58" s="358"/>
      <c r="B58" s="402" t="s">
        <v>817</v>
      </c>
      <c r="C58" s="603" t="s">
        <v>996</v>
      </c>
      <c r="D58" s="603" t="s">
        <v>997</v>
      </c>
      <c r="E58" s="1058" t="s">
        <v>1021</v>
      </c>
      <c r="F58" s="730" t="s">
        <v>772</v>
      </c>
      <c r="G58" s="1051"/>
      <c r="H58" s="1051"/>
      <c r="I58" s="1120" t="s">
        <v>33</v>
      </c>
      <c r="J58" s="560" t="s">
        <v>34</v>
      </c>
      <c r="K58" s="604" t="s">
        <v>607</v>
      </c>
      <c r="L58" s="585">
        <v>0</v>
      </c>
      <c r="M58" s="473">
        <v>0</v>
      </c>
      <c r="N58" s="616">
        <v>104</v>
      </c>
      <c r="O58" s="328"/>
      <c r="P58" s="718" t="str">
        <f t="shared" si="0"/>
        <v>1. Small</v>
      </c>
      <c r="Q58" s="965" t="s">
        <v>926</v>
      </c>
      <c r="R58" s="1138"/>
      <c r="S58" s="622" t="s">
        <v>143</v>
      </c>
      <c r="T58" s="323" t="str">
        <f t="shared" si="1"/>
        <v>Covered</v>
      </c>
      <c r="U58" s="561">
        <v>42376</v>
      </c>
      <c r="V58" s="1143"/>
      <c r="W58" s="558" t="s">
        <v>152</v>
      </c>
      <c r="X58" s="627">
        <v>0</v>
      </c>
      <c r="Y58" s="473">
        <v>0</v>
      </c>
      <c r="Z58" s="617" t="s">
        <v>43</v>
      </c>
      <c r="AA58" s="627">
        <v>0</v>
      </c>
      <c r="AB58" s="473">
        <v>2</v>
      </c>
      <c r="AC58" s="473">
        <v>0</v>
      </c>
      <c r="AD58" s="473">
        <v>0</v>
      </c>
      <c r="AE58" s="617"/>
      <c r="AF58" s="599">
        <v>0</v>
      </c>
      <c r="AG58" s="330">
        <v>0</v>
      </c>
      <c r="AH58" s="630">
        <f t="shared" si="2"/>
        <v>1</v>
      </c>
      <c r="AI58" s="574">
        <f t="shared" si="3"/>
        <v>104</v>
      </c>
      <c r="AJ58" s="605">
        <f t="shared" si="4"/>
        <v>1</v>
      </c>
      <c r="AK58" s="574">
        <f t="shared" si="5"/>
        <v>104</v>
      </c>
      <c r="AL58" s="605">
        <f t="shared" si="6"/>
        <v>1</v>
      </c>
      <c r="AM58" s="574">
        <f t="shared" si="7"/>
        <v>104</v>
      </c>
      <c r="AN58" s="605" t="str">
        <f t="shared" si="8"/>
        <v>80-100%</v>
      </c>
      <c r="AO58" s="605">
        <f t="shared" si="9"/>
        <v>0</v>
      </c>
      <c r="AP58" s="574">
        <f t="shared" si="10"/>
        <v>0</v>
      </c>
      <c r="AQ58" s="574" t="str">
        <f t="shared" si="11"/>
        <v>no</v>
      </c>
      <c r="AR58" s="574">
        <f t="shared" si="12"/>
        <v>0</v>
      </c>
      <c r="AS58" s="574">
        <f t="shared" si="13"/>
        <v>0</v>
      </c>
      <c r="AT58" s="574">
        <f t="shared" si="14"/>
        <v>0</v>
      </c>
      <c r="AU58" s="1123">
        <v>1</v>
      </c>
      <c r="AV58" s="635">
        <f t="shared" si="15"/>
        <v>104</v>
      </c>
      <c r="AW58" s="638"/>
      <c r="AX58" s="740">
        <v>0</v>
      </c>
      <c r="AY58" s="428">
        <v>4</v>
      </c>
      <c r="AZ58" s="428">
        <v>42</v>
      </c>
      <c r="BA58" s="473" t="s">
        <v>526</v>
      </c>
      <c r="BB58" s="548">
        <f t="shared" si="16"/>
        <v>1</v>
      </c>
      <c r="BC58" s="606">
        <f t="shared" si="17"/>
        <v>104</v>
      </c>
      <c r="BD58" s="548">
        <f t="shared" si="18"/>
        <v>1</v>
      </c>
      <c r="BE58" s="606">
        <f t="shared" si="19"/>
        <v>104</v>
      </c>
      <c r="BF58" s="549">
        <f t="shared" si="20"/>
        <v>0</v>
      </c>
      <c r="BG58" s="606">
        <f t="shared" si="21"/>
        <v>0</v>
      </c>
      <c r="BH58" s="600" t="s">
        <v>475</v>
      </c>
      <c r="BI58" s="600" t="s">
        <v>475</v>
      </c>
      <c r="BJ58" s="606">
        <f t="shared" si="42"/>
        <v>0</v>
      </c>
      <c r="BK58" s="606" t="str">
        <f t="shared" si="23"/>
        <v>n/a</v>
      </c>
      <c r="BL58" s="428" t="s">
        <v>475</v>
      </c>
      <c r="BM58" s="548" t="str">
        <f t="shared" si="24"/>
        <v>n/a</v>
      </c>
      <c r="BN58" s="606" t="str">
        <f t="shared" si="25"/>
        <v>n/a</v>
      </c>
      <c r="BO58" s="606" t="str">
        <f t="shared" si="26"/>
        <v>n/a</v>
      </c>
      <c r="BP58" s="578" t="s">
        <v>475</v>
      </c>
      <c r="BQ58" s="606" t="s">
        <v>475</v>
      </c>
      <c r="BR58" s="519" t="s">
        <v>475</v>
      </c>
      <c r="BS58" s="548" t="str">
        <f t="shared" si="27"/>
        <v>n/a</v>
      </c>
      <c r="BT58" s="607" t="str">
        <f t="shared" si="28"/>
        <v>n/a</v>
      </c>
      <c r="BU58" s="325">
        <v>1</v>
      </c>
      <c r="BV58" s="650" t="str">
        <f t="shared" si="29"/>
        <v>n/a</v>
      </c>
      <c r="BW58" s="325" t="s">
        <v>567</v>
      </c>
      <c r="BX58" s="602" t="s">
        <v>475</v>
      </c>
      <c r="BY58" s="1189"/>
      <c r="BZ58" s="1189"/>
      <c r="CA58" s="608" t="str">
        <f t="shared" si="30"/>
        <v>n/a</v>
      </c>
      <c r="CB58" s="428">
        <v>0</v>
      </c>
      <c r="CC58" s="428">
        <v>0</v>
      </c>
      <c r="CD58" s="609" t="str">
        <f t="shared" si="31"/>
        <v>n/a</v>
      </c>
      <c r="CE58" s="610" t="str">
        <f t="shared" si="32"/>
        <v>n/a</v>
      </c>
      <c r="CF58" s="609" t="str">
        <f t="shared" si="33"/>
        <v>n/a</v>
      </c>
      <c r="CG58" s="658" t="str">
        <f t="shared" si="34"/>
        <v>n/a</v>
      </c>
      <c r="CH58" s="328" t="s">
        <v>809</v>
      </c>
      <c r="CI58" s="330">
        <v>1</v>
      </c>
      <c r="CJ58" s="664">
        <f t="shared" si="35"/>
        <v>104</v>
      </c>
      <c r="CK58" s="328">
        <v>0</v>
      </c>
      <c r="CL58" s="611" t="s">
        <v>671</v>
      </c>
      <c r="CM58" s="428" t="s">
        <v>475</v>
      </c>
      <c r="CN58" s="428" t="s">
        <v>475</v>
      </c>
      <c r="CO58" s="428" t="s">
        <v>38</v>
      </c>
      <c r="CP58" s="570" t="s">
        <v>170</v>
      </c>
      <c r="CQ58" s="672"/>
      <c r="CS58" s="1069">
        <f t="shared" si="36"/>
        <v>1</v>
      </c>
      <c r="CT58" s="1069">
        <f t="shared" si="37"/>
        <v>1</v>
      </c>
      <c r="CU58" s="1066">
        <f t="shared" si="38"/>
        <v>1</v>
      </c>
      <c r="CV58" s="1066">
        <f t="shared" si="39"/>
        <v>1</v>
      </c>
      <c r="CW58" s="1082">
        <f t="shared" si="40"/>
        <v>0</v>
      </c>
      <c r="CX58" s="1082">
        <f t="shared" si="41"/>
        <v>0</v>
      </c>
    </row>
    <row r="59" spans="1:102" s="322" customFormat="1" ht="21" customHeight="1">
      <c r="A59" s="358"/>
      <c r="B59" s="402" t="s">
        <v>817</v>
      </c>
      <c r="C59" s="603" t="s">
        <v>1112</v>
      </c>
      <c r="D59" s="603" t="s">
        <v>854</v>
      </c>
      <c r="E59" s="1058" t="s">
        <v>1113</v>
      </c>
      <c r="F59" s="1084" t="s">
        <v>853</v>
      </c>
      <c r="G59" s="1051"/>
      <c r="H59" s="1051"/>
      <c r="I59" s="560" t="s">
        <v>33</v>
      </c>
      <c r="J59" s="560" t="s">
        <v>45</v>
      </c>
      <c r="K59" s="604" t="s">
        <v>607</v>
      </c>
      <c r="L59" s="585">
        <v>0</v>
      </c>
      <c r="M59" s="473">
        <v>0</v>
      </c>
      <c r="N59" s="714">
        <v>234</v>
      </c>
      <c r="O59" s="328"/>
      <c r="P59" s="718" t="str">
        <f t="shared" si="0"/>
        <v>1. Small</v>
      </c>
      <c r="Q59" s="965" t="s">
        <v>926</v>
      </c>
      <c r="R59" s="1138"/>
      <c r="S59" s="622" t="s">
        <v>811</v>
      </c>
      <c r="T59" s="323" t="str">
        <f t="shared" si="1"/>
        <v>Covered</v>
      </c>
      <c r="U59" s="561">
        <v>42376</v>
      </c>
      <c r="V59" s="1143"/>
      <c r="W59" s="558" t="s">
        <v>152</v>
      </c>
      <c r="X59" s="627">
        <v>0</v>
      </c>
      <c r="Y59" s="473">
        <v>0</v>
      </c>
      <c r="Z59" s="617" t="s">
        <v>43</v>
      </c>
      <c r="AA59" s="627">
        <v>0</v>
      </c>
      <c r="AB59" s="736">
        <v>0</v>
      </c>
      <c r="AC59" s="473">
        <v>0</v>
      </c>
      <c r="AD59" s="473">
        <v>2</v>
      </c>
      <c r="AE59" s="617"/>
      <c r="AF59" s="599">
        <v>0</v>
      </c>
      <c r="AG59" s="325">
        <v>0</v>
      </c>
      <c r="AH59" s="630">
        <f t="shared" si="2"/>
        <v>0</v>
      </c>
      <c r="AI59" s="574">
        <f t="shared" si="3"/>
        <v>0</v>
      </c>
      <c r="AJ59" s="605">
        <f t="shared" si="4"/>
        <v>0</v>
      </c>
      <c r="AK59" s="574">
        <f t="shared" si="5"/>
        <v>0</v>
      </c>
      <c r="AL59" s="605">
        <f t="shared" si="6"/>
        <v>0</v>
      </c>
      <c r="AM59" s="574">
        <f t="shared" si="7"/>
        <v>0</v>
      </c>
      <c r="AN59" s="605" t="str">
        <f t="shared" si="8"/>
        <v>0-10%</v>
      </c>
      <c r="AO59" s="605">
        <f t="shared" si="9"/>
        <v>0</v>
      </c>
      <c r="AP59" s="574">
        <f t="shared" si="10"/>
        <v>0</v>
      </c>
      <c r="AQ59" s="574" t="str">
        <f t="shared" si="11"/>
        <v>yes</v>
      </c>
      <c r="AR59" s="574">
        <f t="shared" si="12"/>
        <v>0.93600000000000005</v>
      </c>
      <c r="AS59" s="574">
        <f t="shared" si="13"/>
        <v>0</v>
      </c>
      <c r="AT59" s="574">
        <f t="shared" si="14"/>
        <v>0</v>
      </c>
      <c r="AU59" s="330">
        <v>0.9</v>
      </c>
      <c r="AV59" s="635">
        <f t="shared" si="15"/>
        <v>210.6</v>
      </c>
      <c r="AW59" s="1155" t="s">
        <v>884</v>
      </c>
      <c r="AX59" s="740">
        <v>0</v>
      </c>
      <c r="AY59" s="428">
        <v>0</v>
      </c>
      <c r="AZ59" s="428">
        <v>42</v>
      </c>
      <c r="BA59" s="473" t="s">
        <v>963</v>
      </c>
      <c r="BB59" s="548">
        <f t="shared" si="16"/>
        <v>0</v>
      </c>
      <c r="BC59" s="606">
        <f t="shared" si="17"/>
        <v>0</v>
      </c>
      <c r="BD59" s="548">
        <f t="shared" si="18"/>
        <v>0</v>
      </c>
      <c r="BE59" s="606">
        <f t="shared" si="19"/>
        <v>0</v>
      </c>
      <c r="BF59" s="549">
        <f t="shared" si="20"/>
        <v>0</v>
      </c>
      <c r="BG59" s="606">
        <f t="shared" si="21"/>
        <v>0</v>
      </c>
      <c r="BH59" s="600" t="s">
        <v>475</v>
      </c>
      <c r="BI59" s="600" t="s">
        <v>475</v>
      </c>
      <c r="BJ59" s="606">
        <f t="shared" si="42"/>
        <v>0</v>
      </c>
      <c r="BK59" s="606" t="str">
        <f t="shared" si="23"/>
        <v>n/a</v>
      </c>
      <c r="BL59" s="428" t="s">
        <v>475</v>
      </c>
      <c r="BM59" s="548" t="str">
        <f t="shared" si="24"/>
        <v>n/a</v>
      </c>
      <c r="BN59" s="606" t="str">
        <f t="shared" si="25"/>
        <v>n/a</v>
      </c>
      <c r="BO59" s="606" t="str">
        <f t="shared" si="26"/>
        <v>n/a</v>
      </c>
      <c r="BP59" s="428" t="s">
        <v>475</v>
      </c>
      <c r="BQ59" s="606" t="s">
        <v>475</v>
      </c>
      <c r="BR59" s="428" t="s">
        <v>475</v>
      </c>
      <c r="BS59" s="548" t="str">
        <f t="shared" si="27"/>
        <v>n/a</v>
      </c>
      <c r="BT59" s="607" t="str">
        <f t="shared" si="28"/>
        <v>n/a</v>
      </c>
      <c r="BU59" s="325">
        <v>0.7</v>
      </c>
      <c r="BV59" s="650" t="str">
        <f t="shared" si="29"/>
        <v>n/a</v>
      </c>
      <c r="BW59" s="1165" t="s">
        <v>891</v>
      </c>
      <c r="BX59" s="602" t="s">
        <v>475</v>
      </c>
      <c r="BY59" s="1189"/>
      <c r="BZ59" s="1189"/>
      <c r="CA59" s="608" t="str">
        <f t="shared" si="30"/>
        <v>n/a</v>
      </c>
      <c r="CB59" s="428">
        <v>0</v>
      </c>
      <c r="CC59" s="428">
        <v>0</v>
      </c>
      <c r="CD59" s="609" t="str">
        <f t="shared" si="31"/>
        <v>n/a</v>
      </c>
      <c r="CE59" s="610" t="str">
        <f t="shared" si="32"/>
        <v>n/a</v>
      </c>
      <c r="CF59" s="609" t="str">
        <f t="shared" si="33"/>
        <v>n/a</v>
      </c>
      <c r="CG59" s="658" t="str">
        <f t="shared" si="34"/>
        <v>n/a</v>
      </c>
      <c r="CH59" s="743" t="s">
        <v>893</v>
      </c>
      <c r="CI59" s="330">
        <v>0</v>
      </c>
      <c r="CJ59" s="664">
        <f t="shared" si="35"/>
        <v>0</v>
      </c>
      <c r="CK59" s="328">
        <v>0</v>
      </c>
      <c r="CL59" s="611" t="s">
        <v>671</v>
      </c>
      <c r="CM59" s="428" t="s">
        <v>475</v>
      </c>
      <c r="CN59" s="428" t="s">
        <v>475</v>
      </c>
      <c r="CO59" s="428" t="s">
        <v>38</v>
      </c>
      <c r="CP59" s="570" t="s">
        <v>170</v>
      </c>
      <c r="CQ59" s="1167" t="s">
        <v>894</v>
      </c>
      <c r="CS59" s="1069">
        <f t="shared" si="36"/>
        <v>0</v>
      </c>
      <c r="CT59" s="1069">
        <f t="shared" si="37"/>
        <v>0</v>
      </c>
      <c r="CU59" s="1066">
        <f t="shared" si="38"/>
        <v>0</v>
      </c>
      <c r="CV59" s="1066">
        <f t="shared" si="39"/>
        <v>0</v>
      </c>
      <c r="CW59" s="1082">
        <f t="shared" si="40"/>
        <v>0.58499999999999996</v>
      </c>
      <c r="CX59" s="1082">
        <f t="shared" si="41"/>
        <v>0.93600000000000005</v>
      </c>
    </row>
    <row r="60" spans="1:102" s="322" customFormat="1" ht="21" customHeight="1">
      <c r="A60" s="358"/>
      <c r="B60" s="402" t="s">
        <v>817</v>
      </c>
      <c r="C60" s="603" t="s">
        <v>989</v>
      </c>
      <c r="D60" s="603" t="s">
        <v>990</v>
      </c>
      <c r="E60" s="1058" t="s">
        <v>999</v>
      </c>
      <c r="F60" s="728" t="s">
        <v>754</v>
      </c>
      <c r="G60" s="1051"/>
      <c r="H60" s="1051"/>
      <c r="I60" s="1120" t="s">
        <v>33</v>
      </c>
      <c r="J60" s="560" t="s">
        <v>34</v>
      </c>
      <c r="K60" s="604" t="s">
        <v>607</v>
      </c>
      <c r="L60" s="585">
        <v>0</v>
      </c>
      <c r="M60" s="473">
        <v>0</v>
      </c>
      <c r="N60" s="615">
        <v>1106</v>
      </c>
      <c r="O60" s="328"/>
      <c r="P60" s="718" t="str">
        <f t="shared" si="0"/>
        <v>3. Large</v>
      </c>
      <c r="Q60" s="965" t="s">
        <v>926</v>
      </c>
      <c r="R60" s="1138"/>
      <c r="S60" s="622" t="s">
        <v>143</v>
      </c>
      <c r="T60" s="323" t="str">
        <f t="shared" si="1"/>
        <v>Covered</v>
      </c>
      <c r="U60" s="561">
        <v>42376</v>
      </c>
      <c r="V60" s="1143"/>
      <c r="W60" s="558" t="s">
        <v>152</v>
      </c>
      <c r="X60" s="627">
        <v>0</v>
      </c>
      <c r="Y60" s="473">
        <v>0</v>
      </c>
      <c r="Z60" s="617" t="s">
        <v>43</v>
      </c>
      <c r="AA60" s="627">
        <v>0</v>
      </c>
      <c r="AB60" s="473">
        <v>0</v>
      </c>
      <c r="AC60" s="473">
        <v>0</v>
      </c>
      <c r="AD60" s="473">
        <v>2</v>
      </c>
      <c r="AE60" s="617"/>
      <c r="AF60" s="599">
        <v>0</v>
      </c>
      <c r="AG60" s="330">
        <v>0</v>
      </c>
      <c r="AH60" s="630">
        <f t="shared" si="2"/>
        <v>0</v>
      </c>
      <c r="AI60" s="574">
        <f t="shared" si="3"/>
        <v>0</v>
      </c>
      <c r="AJ60" s="605">
        <f t="shared" si="4"/>
        <v>0</v>
      </c>
      <c r="AK60" s="574">
        <f t="shared" si="5"/>
        <v>0</v>
      </c>
      <c r="AL60" s="605">
        <f t="shared" si="6"/>
        <v>0</v>
      </c>
      <c r="AM60" s="574">
        <f t="shared" si="7"/>
        <v>0</v>
      </c>
      <c r="AN60" s="605" t="str">
        <f t="shared" si="8"/>
        <v>0-10%</v>
      </c>
      <c r="AO60" s="605">
        <f t="shared" si="9"/>
        <v>0</v>
      </c>
      <c r="AP60" s="574">
        <f t="shared" si="10"/>
        <v>0</v>
      </c>
      <c r="AQ60" s="574" t="str">
        <f t="shared" si="11"/>
        <v>yes</v>
      </c>
      <c r="AR60" s="574">
        <f t="shared" si="12"/>
        <v>4.4240000000000004</v>
      </c>
      <c r="AS60" s="574">
        <f t="shared" si="13"/>
        <v>0</v>
      </c>
      <c r="AT60" s="574">
        <f t="shared" si="14"/>
        <v>0</v>
      </c>
      <c r="AU60" s="1123"/>
      <c r="AV60" s="635">
        <f t="shared" si="15"/>
        <v>0</v>
      </c>
      <c r="AW60" s="638"/>
      <c r="AX60" s="740">
        <v>0</v>
      </c>
      <c r="AY60" s="428">
        <v>35</v>
      </c>
      <c r="AZ60" s="428">
        <v>42</v>
      </c>
      <c r="BA60" s="473" t="s">
        <v>526</v>
      </c>
      <c r="BB60" s="548">
        <f t="shared" si="16"/>
        <v>1</v>
      </c>
      <c r="BC60" s="606">
        <f t="shared" si="17"/>
        <v>1106</v>
      </c>
      <c r="BD60" s="548">
        <f t="shared" si="18"/>
        <v>1</v>
      </c>
      <c r="BE60" s="606">
        <f t="shared" si="19"/>
        <v>1106</v>
      </c>
      <c r="BF60" s="549">
        <f t="shared" si="20"/>
        <v>0</v>
      </c>
      <c r="BG60" s="606">
        <f t="shared" si="21"/>
        <v>0</v>
      </c>
      <c r="BH60" s="600" t="s">
        <v>475</v>
      </c>
      <c r="BI60" s="600" t="s">
        <v>475</v>
      </c>
      <c r="BJ60" s="606">
        <f t="shared" si="42"/>
        <v>0</v>
      </c>
      <c r="BK60" s="606" t="str">
        <f t="shared" si="23"/>
        <v>n/a</v>
      </c>
      <c r="BL60" s="428" t="s">
        <v>475</v>
      </c>
      <c r="BM60" s="548" t="str">
        <f t="shared" si="24"/>
        <v>n/a</v>
      </c>
      <c r="BN60" s="606" t="str">
        <f t="shared" si="25"/>
        <v>n/a</v>
      </c>
      <c r="BO60" s="606" t="str">
        <f t="shared" si="26"/>
        <v>n/a</v>
      </c>
      <c r="BP60" s="578" t="s">
        <v>475</v>
      </c>
      <c r="BQ60" s="606" t="s">
        <v>475</v>
      </c>
      <c r="BR60" s="519" t="s">
        <v>475</v>
      </c>
      <c r="BS60" s="548" t="str">
        <f t="shared" si="27"/>
        <v>n/a</v>
      </c>
      <c r="BT60" s="607" t="str">
        <f t="shared" si="28"/>
        <v>n/a</v>
      </c>
      <c r="BU60" s="325">
        <v>1</v>
      </c>
      <c r="BV60" s="650" t="str">
        <f t="shared" si="29"/>
        <v>n/a</v>
      </c>
      <c r="BW60" s="325" t="s">
        <v>567</v>
      </c>
      <c r="BX60" s="602" t="s">
        <v>475</v>
      </c>
      <c r="BY60" s="1189"/>
      <c r="BZ60" s="1189"/>
      <c r="CA60" s="608" t="str">
        <f t="shared" si="30"/>
        <v>n/a</v>
      </c>
      <c r="CB60" s="428">
        <v>0</v>
      </c>
      <c r="CC60" s="428">
        <v>0</v>
      </c>
      <c r="CD60" s="609" t="str">
        <f t="shared" si="31"/>
        <v>n/a</v>
      </c>
      <c r="CE60" s="610" t="str">
        <f t="shared" si="32"/>
        <v>n/a</v>
      </c>
      <c r="CF60" s="609" t="str">
        <f t="shared" si="33"/>
        <v>n/a</v>
      </c>
      <c r="CG60" s="658" t="str">
        <f t="shared" si="34"/>
        <v>n/a</v>
      </c>
      <c r="CH60" s="328" t="s">
        <v>809</v>
      </c>
      <c r="CI60" s="330">
        <v>1</v>
      </c>
      <c r="CJ60" s="664">
        <f t="shared" si="35"/>
        <v>1106</v>
      </c>
      <c r="CK60" s="328">
        <v>0</v>
      </c>
      <c r="CL60" s="611" t="s">
        <v>671</v>
      </c>
      <c r="CM60" s="428" t="s">
        <v>475</v>
      </c>
      <c r="CN60" s="428" t="s">
        <v>475</v>
      </c>
      <c r="CO60" s="428" t="s">
        <v>38</v>
      </c>
      <c r="CP60" s="570" t="s">
        <v>170</v>
      </c>
      <c r="CQ60" s="672"/>
      <c r="CS60" s="1069">
        <f t="shared" si="36"/>
        <v>0</v>
      </c>
      <c r="CT60" s="1069">
        <f t="shared" si="37"/>
        <v>0</v>
      </c>
      <c r="CU60" s="1066">
        <f t="shared" si="38"/>
        <v>0</v>
      </c>
      <c r="CV60" s="1066">
        <f t="shared" si="39"/>
        <v>0</v>
      </c>
      <c r="CW60" s="1082">
        <f t="shared" si="40"/>
        <v>2.7650000000000001</v>
      </c>
      <c r="CX60" s="1082">
        <f t="shared" si="41"/>
        <v>4.4240000000000004</v>
      </c>
    </row>
    <row r="61" spans="1:102" s="322" customFormat="1" ht="21" customHeight="1">
      <c r="A61" s="358"/>
      <c r="B61" s="402" t="s">
        <v>817</v>
      </c>
      <c r="C61" s="603" t="s">
        <v>1112</v>
      </c>
      <c r="D61" s="603" t="s">
        <v>854</v>
      </c>
      <c r="E61" s="1058" t="s">
        <v>1114</v>
      </c>
      <c r="F61" s="1084" t="s">
        <v>854</v>
      </c>
      <c r="G61" s="1051"/>
      <c r="H61" s="1051"/>
      <c r="I61" s="560" t="s">
        <v>33</v>
      </c>
      <c r="J61" s="560" t="s">
        <v>45</v>
      </c>
      <c r="K61" s="604" t="s">
        <v>607</v>
      </c>
      <c r="L61" s="585">
        <v>0</v>
      </c>
      <c r="M61" s="473">
        <v>0</v>
      </c>
      <c r="N61" s="714">
        <v>536</v>
      </c>
      <c r="O61" s="328"/>
      <c r="P61" s="718" t="str">
        <f t="shared" si="0"/>
        <v>2. Medium</v>
      </c>
      <c r="Q61" s="965" t="s">
        <v>926</v>
      </c>
      <c r="R61" s="1138"/>
      <c r="S61" s="622" t="s">
        <v>811</v>
      </c>
      <c r="T61" s="323" t="str">
        <f t="shared" si="1"/>
        <v>Covered</v>
      </c>
      <c r="U61" s="561">
        <v>42376</v>
      </c>
      <c r="V61" s="1143"/>
      <c r="W61" s="558" t="s">
        <v>152</v>
      </c>
      <c r="X61" s="627">
        <v>0</v>
      </c>
      <c r="Y61" s="473">
        <v>0</v>
      </c>
      <c r="Z61" s="617" t="s">
        <v>43</v>
      </c>
      <c r="AA61" s="627">
        <v>0</v>
      </c>
      <c r="AB61" s="736">
        <v>0</v>
      </c>
      <c r="AC61" s="473">
        <v>0</v>
      </c>
      <c r="AD61" s="473">
        <v>3</v>
      </c>
      <c r="AE61" s="617"/>
      <c r="AF61" s="599">
        <v>0</v>
      </c>
      <c r="AG61" s="325">
        <v>0</v>
      </c>
      <c r="AH61" s="630">
        <f t="shared" si="2"/>
        <v>0</v>
      </c>
      <c r="AI61" s="574">
        <f t="shared" si="3"/>
        <v>0</v>
      </c>
      <c r="AJ61" s="605">
        <f t="shared" si="4"/>
        <v>0</v>
      </c>
      <c r="AK61" s="574">
        <f t="shared" si="5"/>
        <v>0</v>
      </c>
      <c r="AL61" s="605">
        <f t="shared" si="6"/>
        <v>0</v>
      </c>
      <c r="AM61" s="574">
        <f t="shared" si="7"/>
        <v>0</v>
      </c>
      <c r="AN61" s="605" t="str">
        <f t="shared" si="8"/>
        <v>0-10%</v>
      </c>
      <c r="AO61" s="605">
        <f t="shared" si="9"/>
        <v>0</v>
      </c>
      <c r="AP61" s="574">
        <f t="shared" si="10"/>
        <v>0</v>
      </c>
      <c r="AQ61" s="574" t="str">
        <f t="shared" si="11"/>
        <v>yes</v>
      </c>
      <c r="AR61" s="574">
        <f t="shared" si="12"/>
        <v>2.1440000000000001</v>
      </c>
      <c r="AS61" s="574">
        <f t="shared" si="13"/>
        <v>0</v>
      </c>
      <c r="AT61" s="574">
        <f t="shared" si="14"/>
        <v>0</v>
      </c>
      <c r="AU61" s="330">
        <v>0.9</v>
      </c>
      <c r="AV61" s="635">
        <f t="shared" si="15"/>
        <v>482.40000000000003</v>
      </c>
      <c r="AW61" s="1155" t="s">
        <v>884</v>
      </c>
      <c r="AX61" s="740">
        <v>0</v>
      </c>
      <c r="AY61" s="428">
        <v>2</v>
      </c>
      <c r="AZ61" s="428">
        <v>42</v>
      </c>
      <c r="BA61" s="473" t="s">
        <v>963</v>
      </c>
      <c r="BB61" s="548">
        <f t="shared" si="16"/>
        <v>0.15671641791044777</v>
      </c>
      <c r="BC61" s="606">
        <f t="shared" si="17"/>
        <v>84</v>
      </c>
      <c r="BD61" s="548">
        <f t="shared" si="18"/>
        <v>0.15671641791044777</v>
      </c>
      <c r="BE61" s="606">
        <f t="shared" si="19"/>
        <v>84</v>
      </c>
      <c r="BF61" s="549">
        <f t="shared" si="20"/>
        <v>0</v>
      </c>
      <c r="BG61" s="606">
        <f t="shared" si="21"/>
        <v>0</v>
      </c>
      <c r="BH61" s="600" t="s">
        <v>475</v>
      </c>
      <c r="BI61" s="600" t="s">
        <v>475</v>
      </c>
      <c r="BJ61" s="606">
        <f t="shared" si="42"/>
        <v>0</v>
      </c>
      <c r="BK61" s="606" t="str">
        <f t="shared" si="23"/>
        <v>n/a</v>
      </c>
      <c r="BL61" s="428" t="s">
        <v>475</v>
      </c>
      <c r="BM61" s="548" t="str">
        <f t="shared" si="24"/>
        <v>n/a</v>
      </c>
      <c r="BN61" s="606" t="str">
        <f t="shared" si="25"/>
        <v>n/a</v>
      </c>
      <c r="BO61" s="606" t="str">
        <f t="shared" si="26"/>
        <v>n/a</v>
      </c>
      <c r="BP61" s="428" t="s">
        <v>475</v>
      </c>
      <c r="BQ61" s="606" t="s">
        <v>475</v>
      </c>
      <c r="BR61" s="428" t="s">
        <v>475</v>
      </c>
      <c r="BS61" s="548" t="str">
        <f t="shared" si="27"/>
        <v>n/a</v>
      </c>
      <c r="BT61" s="607" t="str">
        <f t="shared" si="28"/>
        <v>n/a</v>
      </c>
      <c r="BU61" s="325">
        <v>0.7</v>
      </c>
      <c r="BV61" s="650" t="str">
        <f t="shared" si="29"/>
        <v>n/a</v>
      </c>
      <c r="BW61" s="1165" t="s">
        <v>891</v>
      </c>
      <c r="BX61" s="602" t="s">
        <v>475</v>
      </c>
      <c r="BY61" s="1189"/>
      <c r="BZ61" s="1189"/>
      <c r="CA61" s="608" t="str">
        <f t="shared" si="30"/>
        <v>n/a</v>
      </c>
      <c r="CB61" s="428">
        <v>0</v>
      </c>
      <c r="CC61" s="428">
        <v>0</v>
      </c>
      <c r="CD61" s="609" t="str">
        <f t="shared" si="31"/>
        <v>n/a</v>
      </c>
      <c r="CE61" s="610" t="str">
        <f t="shared" si="32"/>
        <v>n/a</v>
      </c>
      <c r="CF61" s="609" t="str">
        <f t="shared" si="33"/>
        <v>n/a</v>
      </c>
      <c r="CG61" s="658" t="str">
        <f t="shared" si="34"/>
        <v>n/a</v>
      </c>
      <c r="CH61" s="743" t="s">
        <v>893</v>
      </c>
      <c r="CI61" s="330">
        <v>0</v>
      </c>
      <c r="CJ61" s="664">
        <f t="shared" si="35"/>
        <v>0</v>
      </c>
      <c r="CK61" s="328">
        <v>0</v>
      </c>
      <c r="CL61" s="611" t="s">
        <v>671</v>
      </c>
      <c r="CM61" s="428" t="s">
        <v>475</v>
      </c>
      <c r="CN61" s="428" t="s">
        <v>475</v>
      </c>
      <c r="CO61" s="428" t="s">
        <v>38</v>
      </c>
      <c r="CP61" s="570" t="s">
        <v>170</v>
      </c>
      <c r="CQ61" s="1167" t="s">
        <v>894</v>
      </c>
      <c r="CS61" s="1069">
        <f t="shared" si="36"/>
        <v>0</v>
      </c>
      <c r="CT61" s="1069">
        <f t="shared" si="37"/>
        <v>0</v>
      </c>
      <c r="CU61" s="1066">
        <f t="shared" si="38"/>
        <v>0</v>
      </c>
      <c r="CV61" s="1066">
        <f t="shared" si="39"/>
        <v>0</v>
      </c>
      <c r="CW61" s="1082">
        <f t="shared" si="40"/>
        <v>1.34</v>
      </c>
      <c r="CX61" s="1082">
        <f t="shared" si="41"/>
        <v>2.1440000000000001</v>
      </c>
    </row>
    <row r="62" spans="1:102" s="322" customFormat="1" ht="21" customHeight="1">
      <c r="A62" s="358"/>
      <c r="B62" s="402" t="s">
        <v>817</v>
      </c>
      <c r="C62" s="603" t="s">
        <v>1014</v>
      </c>
      <c r="D62" s="603" t="s">
        <v>1015</v>
      </c>
      <c r="E62" s="1058" t="s">
        <v>1022</v>
      </c>
      <c r="F62" s="730" t="s">
        <v>773</v>
      </c>
      <c r="G62" s="1051"/>
      <c r="H62" s="1051"/>
      <c r="I62" s="1120" t="s">
        <v>33</v>
      </c>
      <c r="J62" s="560" t="s">
        <v>45</v>
      </c>
      <c r="K62" s="604" t="s">
        <v>607</v>
      </c>
      <c r="L62" s="585">
        <v>0</v>
      </c>
      <c r="M62" s="473">
        <v>0</v>
      </c>
      <c r="N62" s="616">
        <v>98</v>
      </c>
      <c r="O62" s="328"/>
      <c r="P62" s="718" t="str">
        <f t="shared" si="0"/>
        <v>1. Small</v>
      </c>
      <c r="Q62" s="965" t="s">
        <v>926</v>
      </c>
      <c r="R62" s="1138"/>
      <c r="S62" s="622" t="s">
        <v>143</v>
      </c>
      <c r="T62" s="323" t="str">
        <f t="shared" si="1"/>
        <v>Covered</v>
      </c>
      <c r="U62" s="561">
        <v>42376</v>
      </c>
      <c r="V62" s="1143"/>
      <c r="W62" s="558" t="s">
        <v>152</v>
      </c>
      <c r="X62" s="627">
        <v>0</v>
      </c>
      <c r="Y62" s="473">
        <v>0</v>
      </c>
      <c r="Z62" s="617" t="s">
        <v>43</v>
      </c>
      <c r="AA62" s="627">
        <v>1</v>
      </c>
      <c r="AB62" s="473">
        <v>2</v>
      </c>
      <c r="AC62" s="473">
        <v>0</v>
      </c>
      <c r="AD62" s="473">
        <v>0</v>
      </c>
      <c r="AE62" s="617"/>
      <c r="AF62" s="599">
        <v>0</v>
      </c>
      <c r="AG62" s="330">
        <v>0</v>
      </c>
      <c r="AH62" s="630">
        <f t="shared" si="2"/>
        <v>1</v>
      </c>
      <c r="AI62" s="574">
        <f t="shared" si="3"/>
        <v>98</v>
      </c>
      <c r="AJ62" s="605">
        <f t="shared" si="4"/>
        <v>1</v>
      </c>
      <c r="AK62" s="574">
        <f t="shared" si="5"/>
        <v>98</v>
      </c>
      <c r="AL62" s="605">
        <f t="shared" si="6"/>
        <v>1</v>
      </c>
      <c r="AM62" s="574">
        <f t="shared" si="7"/>
        <v>98</v>
      </c>
      <c r="AN62" s="605" t="str">
        <f t="shared" si="8"/>
        <v>80-100%</v>
      </c>
      <c r="AO62" s="605">
        <f t="shared" si="9"/>
        <v>0</v>
      </c>
      <c r="AP62" s="574">
        <f t="shared" si="10"/>
        <v>0</v>
      </c>
      <c r="AQ62" s="574" t="str">
        <f t="shared" si="11"/>
        <v>no</v>
      </c>
      <c r="AR62" s="574">
        <f t="shared" si="12"/>
        <v>0</v>
      </c>
      <c r="AS62" s="574">
        <f t="shared" si="13"/>
        <v>0</v>
      </c>
      <c r="AT62" s="574">
        <f t="shared" si="14"/>
        <v>0</v>
      </c>
      <c r="AU62" s="1123">
        <v>1</v>
      </c>
      <c r="AV62" s="635">
        <f t="shared" si="15"/>
        <v>98</v>
      </c>
      <c r="AW62" s="638"/>
      <c r="AX62" s="740">
        <v>0</v>
      </c>
      <c r="AY62" s="428">
        <v>0</v>
      </c>
      <c r="AZ62" s="428">
        <v>42</v>
      </c>
      <c r="BA62" s="473" t="s">
        <v>526</v>
      </c>
      <c r="BB62" s="548">
        <f t="shared" si="16"/>
        <v>0</v>
      </c>
      <c r="BC62" s="606">
        <f t="shared" si="17"/>
        <v>0</v>
      </c>
      <c r="BD62" s="548">
        <f t="shared" si="18"/>
        <v>0</v>
      </c>
      <c r="BE62" s="606">
        <f t="shared" si="19"/>
        <v>0</v>
      </c>
      <c r="BF62" s="549">
        <f t="shared" si="20"/>
        <v>0</v>
      </c>
      <c r="BG62" s="606">
        <f t="shared" si="21"/>
        <v>0</v>
      </c>
      <c r="BH62" s="600" t="s">
        <v>475</v>
      </c>
      <c r="BI62" s="600" t="s">
        <v>475</v>
      </c>
      <c r="BJ62" s="606">
        <f t="shared" si="42"/>
        <v>0</v>
      </c>
      <c r="BK62" s="606" t="str">
        <f t="shared" si="23"/>
        <v>n/a</v>
      </c>
      <c r="BL62" s="428" t="s">
        <v>475</v>
      </c>
      <c r="BM62" s="548" t="str">
        <f t="shared" si="24"/>
        <v>n/a</v>
      </c>
      <c r="BN62" s="606" t="str">
        <f t="shared" si="25"/>
        <v>n/a</v>
      </c>
      <c r="BO62" s="606" t="str">
        <f t="shared" si="26"/>
        <v>n/a</v>
      </c>
      <c r="BP62" s="578" t="s">
        <v>475</v>
      </c>
      <c r="BQ62" s="606" t="s">
        <v>475</v>
      </c>
      <c r="BR62" s="519" t="s">
        <v>475</v>
      </c>
      <c r="BS62" s="548" t="str">
        <f t="shared" si="27"/>
        <v>n/a</v>
      </c>
      <c r="BT62" s="607" t="str">
        <f t="shared" si="28"/>
        <v>n/a</v>
      </c>
      <c r="BU62" s="325">
        <v>1</v>
      </c>
      <c r="BV62" s="650" t="str">
        <f t="shared" si="29"/>
        <v>n/a</v>
      </c>
      <c r="BW62" s="325" t="s">
        <v>567</v>
      </c>
      <c r="BX62" s="602" t="s">
        <v>475</v>
      </c>
      <c r="BY62" s="1189"/>
      <c r="BZ62" s="1189"/>
      <c r="CA62" s="608" t="str">
        <f t="shared" si="30"/>
        <v>n/a</v>
      </c>
      <c r="CB62" s="428">
        <v>0</v>
      </c>
      <c r="CC62" s="428">
        <v>0</v>
      </c>
      <c r="CD62" s="609" t="str">
        <f t="shared" si="31"/>
        <v>n/a</v>
      </c>
      <c r="CE62" s="610" t="str">
        <f t="shared" si="32"/>
        <v>n/a</v>
      </c>
      <c r="CF62" s="609" t="str">
        <f t="shared" si="33"/>
        <v>n/a</v>
      </c>
      <c r="CG62" s="658" t="str">
        <f t="shared" si="34"/>
        <v>n/a</v>
      </c>
      <c r="CH62" s="328" t="s">
        <v>809</v>
      </c>
      <c r="CI62" s="330">
        <v>1</v>
      </c>
      <c r="CJ62" s="664">
        <f t="shared" si="35"/>
        <v>98</v>
      </c>
      <c r="CK62" s="328">
        <v>0</v>
      </c>
      <c r="CL62" s="611" t="s">
        <v>671</v>
      </c>
      <c r="CM62" s="428" t="s">
        <v>475</v>
      </c>
      <c r="CN62" s="428" t="s">
        <v>475</v>
      </c>
      <c r="CO62" s="428" t="s">
        <v>38</v>
      </c>
      <c r="CP62" s="570" t="s">
        <v>170</v>
      </c>
      <c r="CQ62" s="672"/>
      <c r="CS62" s="1069">
        <f t="shared" si="36"/>
        <v>1</v>
      </c>
      <c r="CT62" s="1069">
        <f t="shared" si="37"/>
        <v>1</v>
      </c>
      <c r="CU62" s="1066">
        <f t="shared" si="38"/>
        <v>1</v>
      </c>
      <c r="CV62" s="1066">
        <f t="shared" si="39"/>
        <v>1</v>
      </c>
      <c r="CW62" s="1082">
        <f t="shared" si="40"/>
        <v>0</v>
      </c>
      <c r="CX62" s="1082">
        <f t="shared" si="41"/>
        <v>0</v>
      </c>
    </row>
    <row r="63" spans="1:102" s="322" customFormat="1" ht="21" customHeight="1">
      <c r="A63" s="358"/>
      <c r="B63" s="402" t="s">
        <v>817</v>
      </c>
      <c r="C63" s="603" t="s">
        <v>1105</v>
      </c>
      <c r="D63" s="603" t="s">
        <v>1106</v>
      </c>
      <c r="E63" s="1058" t="s">
        <v>1108</v>
      </c>
      <c r="F63" s="1083" t="s">
        <v>850</v>
      </c>
      <c r="G63" s="1051"/>
      <c r="H63" s="1051"/>
      <c r="I63" s="560" t="s">
        <v>33</v>
      </c>
      <c r="J63" s="560" t="s">
        <v>34</v>
      </c>
      <c r="K63" s="604" t="s">
        <v>607</v>
      </c>
      <c r="L63" s="585">
        <v>0</v>
      </c>
      <c r="M63" s="473">
        <v>0</v>
      </c>
      <c r="N63" s="714">
        <v>1083</v>
      </c>
      <c r="O63" s="328"/>
      <c r="P63" s="718" t="str">
        <f t="shared" si="0"/>
        <v>3. Large</v>
      </c>
      <c r="Q63" s="965" t="s">
        <v>926</v>
      </c>
      <c r="R63" s="1138"/>
      <c r="S63" s="622" t="s">
        <v>811</v>
      </c>
      <c r="T63" s="323" t="str">
        <f t="shared" si="1"/>
        <v>Covered</v>
      </c>
      <c r="U63" s="561">
        <v>42376</v>
      </c>
      <c r="V63" s="1143"/>
      <c r="W63" s="558" t="s">
        <v>152</v>
      </c>
      <c r="X63" s="627">
        <v>0</v>
      </c>
      <c r="Y63" s="473">
        <v>0</v>
      </c>
      <c r="Z63" s="617" t="s">
        <v>43</v>
      </c>
      <c r="AA63" s="627">
        <v>0</v>
      </c>
      <c r="AB63" s="736">
        <v>0</v>
      </c>
      <c r="AC63" s="473">
        <v>0</v>
      </c>
      <c r="AD63" s="473">
        <v>4</v>
      </c>
      <c r="AE63" s="617"/>
      <c r="AF63" s="599">
        <v>0</v>
      </c>
      <c r="AG63" s="325">
        <v>0</v>
      </c>
      <c r="AH63" s="630">
        <f t="shared" si="2"/>
        <v>0</v>
      </c>
      <c r="AI63" s="574">
        <f t="shared" si="3"/>
        <v>0</v>
      </c>
      <c r="AJ63" s="605">
        <f t="shared" si="4"/>
        <v>0</v>
      </c>
      <c r="AK63" s="574">
        <f t="shared" si="5"/>
        <v>0</v>
      </c>
      <c r="AL63" s="605">
        <f t="shared" si="6"/>
        <v>0</v>
      </c>
      <c r="AM63" s="574">
        <f t="shared" si="7"/>
        <v>0</v>
      </c>
      <c r="AN63" s="605" t="str">
        <f t="shared" si="8"/>
        <v>0-10%</v>
      </c>
      <c r="AO63" s="605">
        <f t="shared" si="9"/>
        <v>0</v>
      </c>
      <c r="AP63" s="574">
        <f t="shared" si="10"/>
        <v>0</v>
      </c>
      <c r="AQ63" s="574" t="str">
        <f t="shared" si="11"/>
        <v>yes</v>
      </c>
      <c r="AR63" s="574">
        <f t="shared" si="12"/>
        <v>4.3319999999999999</v>
      </c>
      <c r="AS63" s="574">
        <f t="shared" si="13"/>
        <v>0</v>
      </c>
      <c r="AT63" s="574">
        <f t="shared" si="14"/>
        <v>0</v>
      </c>
      <c r="AU63" s="330">
        <v>0.9</v>
      </c>
      <c r="AV63" s="635">
        <f t="shared" si="15"/>
        <v>974.7</v>
      </c>
      <c r="AW63" s="1155" t="s">
        <v>884</v>
      </c>
      <c r="AX63" s="740">
        <v>0</v>
      </c>
      <c r="AY63" s="428">
        <v>4</v>
      </c>
      <c r="AZ63" s="428">
        <v>42</v>
      </c>
      <c r="BA63" s="473" t="s">
        <v>963</v>
      </c>
      <c r="BB63" s="548">
        <f t="shared" si="16"/>
        <v>0.15512465373961218</v>
      </c>
      <c r="BC63" s="606">
        <f t="shared" si="17"/>
        <v>168</v>
      </c>
      <c r="BD63" s="548">
        <f t="shared" si="18"/>
        <v>0.15512465373961218</v>
      </c>
      <c r="BE63" s="606">
        <f t="shared" si="19"/>
        <v>168</v>
      </c>
      <c r="BF63" s="549">
        <f t="shared" si="20"/>
        <v>0</v>
      </c>
      <c r="BG63" s="606">
        <f t="shared" si="21"/>
        <v>0</v>
      </c>
      <c r="BH63" s="600" t="s">
        <v>475</v>
      </c>
      <c r="BI63" s="600" t="s">
        <v>475</v>
      </c>
      <c r="BJ63" s="606">
        <f t="shared" si="42"/>
        <v>0</v>
      </c>
      <c r="BK63" s="606" t="str">
        <f t="shared" si="23"/>
        <v>n/a</v>
      </c>
      <c r="BL63" s="428" t="s">
        <v>475</v>
      </c>
      <c r="BM63" s="548" t="str">
        <f t="shared" si="24"/>
        <v>n/a</v>
      </c>
      <c r="BN63" s="606" t="str">
        <f t="shared" si="25"/>
        <v>n/a</v>
      </c>
      <c r="BO63" s="606" t="str">
        <f t="shared" si="26"/>
        <v>n/a</v>
      </c>
      <c r="BP63" s="428" t="s">
        <v>475</v>
      </c>
      <c r="BQ63" s="606" t="s">
        <v>475</v>
      </c>
      <c r="BR63" s="428" t="s">
        <v>475</v>
      </c>
      <c r="BS63" s="548" t="str">
        <f t="shared" si="27"/>
        <v>n/a</v>
      </c>
      <c r="BT63" s="607" t="str">
        <f t="shared" si="28"/>
        <v>n/a</v>
      </c>
      <c r="BU63" s="325">
        <v>0.7</v>
      </c>
      <c r="BV63" s="650" t="str">
        <f t="shared" si="29"/>
        <v>n/a</v>
      </c>
      <c r="BW63" s="1165" t="s">
        <v>891</v>
      </c>
      <c r="BX63" s="602" t="s">
        <v>475</v>
      </c>
      <c r="BY63" s="1189"/>
      <c r="BZ63" s="1189"/>
      <c r="CA63" s="608" t="str">
        <f t="shared" si="30"/>
        <v>n/a</v>
      </c>
      <c r="CB63" s="428">
        <v>0</v>
      </c>
      <c r="CC63" s="428">
        <v>0</v>
      </c>
      <c r="CD63" s="609" t="str">
        <f t="shared" si="31"/>
        <v>n/a</v>
      </c>
      <c r="CE63" s="610" t="str">
        <f t="shared" si="32"/>
        <v>n/a</v>
      </c>
      <c r="CF63" s="609" t="str">
        <f t="shared" si="33"/>
        <v>n/a</v>
      </c>
      <c r="CG63" s="658" t="str">
        <f t="shared" si="34"/>
        <v>n/a</v>
      </c>
      <c r="CH63" s="743" t="s">
        <v>893</v>
      </c>
      <c r="CI63" s="330">
        <v>0</v>
      </c>
      <c r="CJ63" s="664">
        <f t="shared" si="35"/>
        <v>0</v>
      </c>
      <c r="CK63" s="328">
        <v>0</v>
      </c>
      <c r="CL63" s="611" t="s">
        <v>671</v>
      </c>
      <c r="CM63" s="428" t="s">
        <v>475</v>
      </c>
      <c r="CN63" s="428" t="s">
        <v>475</v>
      </c>
      <c r="CO63" s="428" t="s">
        <v>38</v>
      </c>
      <c r="CP63" s="570" t="s">
        <v>170</v>
      </c>
      <c r="CQ63" s="1167" t="s">
        <v>894</v>
      </c>
      <c r="CS63" s="1069">
        <f t="shared" si="36"/>
        <v>0</v>
      </c>
      <c r="CT63" s="1069">
        <f t="shared" si="37"/>
        <v>0</v>
      </c>
      <c r="CU63" s="1066">
        <f t="shared" si="38"/>
        <v>0</v>
      </c>
      <c r="CV63" s="1066">
        <f t="shared" si="39"/>
        <v>0</v>
      </c>
      <c r="CW63" s="1082">
        <f t="shared" si="40"/>
        <v>2.7075</v>
      </c>
      <c r="CX63" s="1082">
        <f t="shared" si="41"/>
        <v>4.3319999999999999</v>
      </c>
    </row>
    <row r="64" spans="1:102" s="322" customFormat="1" ht="21" customHeight="1">
      <c r="A64" s="358"/>
      <c r="B64" s="402" t="s">
        <v>817</v>
      </c>
      <c r="C64" s="603" t="s">
        <v>1105</v>
      </c>
      <c r="D64" s="603" t="s">
        <v>1106</v>
      </c>
      <c r="E64" s="1058" t="s">
        <v>1107</v>
      </c>
      <c r="F64" s="1083" t="s">
        <v>849</v>
      </c>
      <c r="G64" s="1051"/>
      <c r="H64" s="1051"/>
      <c r="I64" s="560" t="s">
        <v>33</v>
      </c>
      <c r="J64" s="560" t="s">
        <v>45</v>
      </c>
      <c r="K64" s="604" t="s">
        <v>607</v>
      </c>
      <c r="L64" s="585">
        <v>0</v>
      </c>
      <c r="M64" s="473">
        <v>0</v>
      </c>
      <c r="N64" s="714">
        <v>249</v>
      </c>
      <c r="O64" s="328"/>
      <c r="P64" s="718" t="str">
        <f t="shared" si="0"/>
        <v>1. Small</v>
      </c>
      <c r="Q64" s="965" t="s">
        <v>926</v>
      </c>
      <c r="R64" s="1138"/>
      <c r="S64" s="622" t="s">
        <v>811</v>
      </c>
      <c r="T64" s="323" t="str">
        <f t="shared" si="1"/>
        <v>Covered</v>
      </c>
      <c r="U64" s="561">
        <v>42376</v>
      </c>
      <c r="V64" s="1143"/>
      <c r="W64" s="558" t="s">
        <v>152</v>
      </c>
      <c r="X64" s="1147">
        <v>0</v>
      </c>
      <c r="Y64" s="1148">
        <v>0</v>
      </c>
      <c r="Z64" s="1150" t="s">
        <v>43</v>
      </c>
      <c r="AA64" s="627">
        <v>0</v>
      </c>
      <c r="AB64" s="736">
        <v>0</v>
      </c>
      <c r="AC64" s="473">
        <v>0</v>
      </c>
      <c r="AD64" s="473">
        <v>3</v>
      </c>
      <c r="AE64" s="617"/>
      <c r="AF64" s="599">
        <v>0</v>
      </c>
      <c r="AG64" s="325">
        <v>0</v>
      </c>
      <c r="AH64" s="630">
        <f t="shared" si="2"/>
        <v>0</v>
      </c>
      <c r="AI64" s="574">
        <f t="shared" si="3"/>
        <v>0</v>
      </c>
      <c r="AJ64" s="605">
        <f t="shared" si="4"/>
        <v>0</v>
      </c>
      <c r="AK64" s="574">
        <f t="shared" si="5"/>
        <v>0</v>
      </c>
      <c r="AL64" s="605">
        <f t="shared" si="6"/>
        <v>0</v>
      </c>
      <c r="AM64" s="574">
        <f t="shared" si="7"/>
        <v>0</v>
      </c>
      <c r="AN64" s="605" t="str">
        <f t="shared" si="8"/>
        <v>0-10%</v>
      </c>
      <c r="AO64" s="605">
        <f t="shared" si="9"/>
        <v>0</v>
      </c>
      <c r="AP64" s="574">
        <f t="shared" si="10"/>
        <v>0</v>
      </c>
      <c r="AQ64" s="574" t="str">
        <f t="shared" si="11"/>
        <v>yes</v>
      </c>
      <c r="AR64" s="574">
        <f t="shared" si="12"/>
        <v>0.996</v>
      </c>
      <c r="AS64" s="574">
        <f t="shared" si="13"/>
        <v>0</v>
      </c>
      <c r="AT64" s="574">
        <f t="shared" si="14"/>
        <v>0</v>
      </c>
      <c r="AU64" s="330">
        <v>0.9</v>
      </c>
      <c r="AV64" s="635">
        <f t="shared" si="15"/>
        <v>224.1</v>
      </c>
      <c r="AW64" s="1155" t="s">
        <v>884</v>
      </c>
      <c r="AX64" s="740">
        <v>0</v>
      </c>
      <c r="AY64" s="428">
        <v>24</v>
      </c>
      <c r="AZ64" s="428">
        <v>42</v>
      </c>
      <c r="BA64" s="473" t="s">
        <v>963</v>
      </c>
      <c r="BB64" s="548">
        <f t="shared" si="16"/>
        <v>1</v>
      </c>
      <c r="BC64" s="606">
        <f t="shared" si="17"/>
        <v>249</v>
      </c>
      <c r="BD64" s="548">
        <f t="shared" si="18"/>
        <v>1</v>
      </c>
      <c r="BE64" s="606">
        <f t="shared" si="19"/>
        <v>249</v>
      </c>
      <c r="BF64" s="549">
        <f t="shared" si="20"/>
        <v>0</v>
      </c>
      <c r="BG64" s="606">
        <f t="shared" si="21"/>
        <v>0</v>
      </c>
      <c r="BH64" s="600" t="s">
        <v>475</v>
      </c>
      <c r="BI64" s="600" t="s">
        <v>475</v>
      </c>
      <c r="BJ64" s="606">
        <f t="shared" si="42"/>
        <v>0</v>
      </c>
      <c r="BK64" s="606" t="str">
        <f t="shared" si="23"/>
        <v>n/a</v>
      </c>
      <c r="BL64" s="428" t="s">
        <v>475</v>
      </c>
      <c r="BM64" s="548" t="str">
        <f t="shared" si="24"/>
        <v>n/a</v>
      </c>
      <c r="BN64" s="606" t="str">
        <f t="shared" si="25"/>
        <v>n/a</v>
      </c>
      <c r="BO64" s="606" t="str">
        <f t="shared" si="26"/>
        <v>n/a</v>
      </c>
      <c r="BP64" s="428" t="s">
        <v>475</v>
      </c>
      <c r="BQ64" s="606" t="s">
        <v>475</v>
      </c>
      <c r="BR64" s="428" t="s">
        <v>475</v>
      </c>
      <c r="BS64" s="548" t="str">
        <f t="shared" si="27"/>
        <v>n/a</v>
      </c>
      <c r="BT64" s="607" t="str">
        <f t="shared" si="28"/>
        <v>n/a</v>
      </c>
      <c r="BU64" s="325">
        <v>0.7</v>
      </c>
      <c r="BV64" s="650" t="str">
        <f t="shared" si="29"/>
        <v>n/a</v>
      </c>
      <c r="BW64" s="1165" t="s">
        <v>891</v>
      </c>
      <c r="BX64" s="602" t="s">
        <v>475</v>
      </c>
      <c r="BY64" s="1189"/>
      <c r="BZ64" s="1189"/>
      <c r="CA64" s="608" t="str">
        <f t="shared" si="30"/>
        <v>n/a</v>
      </c>
      <c r="CB64" s="428">
        <v>0</v>
      </c>
      <c r="CC64" s="428">
        <v>0</v>
      </c>
      <c r="CD64" s="609" t="str">
        <f t="shared" si="31"/>
        <v>n/a</v>
      </c>
      <c r="CE64" s="610" t="str">
        <f t="shared" si="32"/>
        <v>n/a</v>
      </c>
      <c r="CF64" s="609" t="str">
        <f t="shared" si="33"/>
        <v>n/a</v>
      </c>
      <c r="CG64" s="658" t="str">
        <f t="shared" si="34"/>
        <v>n/a</v>
      </c>
      <c r="CH64" s="743" t="s">
        <v>893</v>
      </c>
      <c r="CI64" s="330">
        <v>0</v>
      </c>
      <c r="CJ64" s="664">
        <f t="shared" si="35"/>
        <v>0</v>
      </c>
      <c r="CK64" s="328">
        <v>0</v>
      </c>
      <c r="CL64" s="611" t="s">
        <v>671</v>
      </c>
      <c r="CM64" s="428" t="s">
        <v>475</v>
      </c>
      <c r="CN64" s="428" t="s">
        <v>475</v>
      </c>
      <c r="CO64" s="428" t="s">
        <v>38</v>
      </c>
      <c r="CP64" s="570" t="s">
        <v>170</v>
      </c>
      <c r="CQ64" s="1167" t="s">
        <v>894</v>
      </c>
      <c r="CS64" s="1069">
        <f t="shared" si="36"/>
        <v>0</v>
      </c>
      <c r="CT64" s="1069">
        <f t="shared" si="37"/>
        <v>0</v>
      </c>
      <c r="CU64" s="1066">
        <f t="shared" si="38"/>
        <v>0</v>
      </c>
      <c r="CV64" s="1066">
        <f t="shared" si="39"/>
        <v>0</v>
      </c>
      <c r="CW64" s="1082">
        <f t="shared" si="40"/>
        <v>0.62250000000000005</v>
      </c>
      <c r="CX64" s="1082">
        <f t="shared" si="41"/>
        <v>0.996</v>
      </c>
    </row>
    <row r="65" spans="1:102" s="322" customFormat="1" ht="21" customHeight="1">
      <c r="A65" s="358"/>
      <c r="B65" s="402" t="s">
        <v>817</v>
      </c>
      <c r="C65" s="603" t="s">
        <v>1007</v>
      </c>
      <c r="D65" s="603" t="s">
        <v>1008</v>
      </c>
      <c r="E65" s="1058" t="s">
        <v>1012</v>
      </c>
      <c r="F65" s="728" t="s">
        <v>763</v>
      </c>
      <c r="G65" s="1051"/>
      <c r="H65" s="1051"/>
      <c r="I65" s="1120" t="s">
        <v>33</v>
      </c>
      <c r="J65" s="560" t="s">
        <v>45</v>
      </c>
      <c r="K65" s="604" t="s">
        <v>607</v>
      </c>
      <c r="L65" s="585">
        <v>0</v>
      </c>
      <c r="M65" s="473">
        <v>0</v>
      </c>
      <c r="N65" s="616">
        <v>301</v>
      </c>
      <c r="O65" s="328"/>
      <c r="P65" s="718" t="str">
        <f t="shared" si="0"/>
        <v>1. Small</v>
      </c>
      <c r="Q65" s="965" t="s">
        <v>926</v>
      </c>
      <c r="R65" s="1138"/>
      <c r="S65" s="622" t="s">
        <v>143</v>
      </c>
      <c r="T65" s="323" t="str">
        <f t="shared" si="1"/>
        <v>Covered</v>
      </c>
      <c r="U65" s="561">
        <v>42376</v>
      </c>
      <c r="V65" s="1143"/>
      <c r="W65" s="558" t="s">
        <v>152</v>
      </c>
      <c r="X65" s="627">
        <v>0</v>
      </c>
      <c r="Y65" s="473">
        <v>0</v>
      </c>
      <c r="Z65" s="617" t="s">
        <v>43</v>
      </c>
      <c r="AA65" s="627">
        <v>0</v>
      </c>
      <c r="AB65" s="473">
        <v>0</v>
      </c>
      <c r="AC65" s="473">
        <v>0</v>
      </c>
      <c r="AD65" s="473">
        <v>2</v>
      </c>
      <c r="AE65" s="617"/>
      <c r="AF65" s="599">
        <v>0</v>
      </c>
      <c r="AG65" s="330">
        <v>0</v>
      </c>
      <c r="AH65" s="630">
        <f t="shared" si="2"/>
        <v>0</v>
      </c>
      <c r="AI65" s="574">
        <f t="shared" si="3"/>
        <v>0</v>
      </c>
      <c r="AJ65" s="605">
        <f t="shared" si="4"/>
        <v>0</v>
      </c>
      <c r="AK65" s="574">
        <f t="shared" si="5"/>
        <v>0</v>
      </c>
      <c r="AL65" s="605">
        <f t="shared" si="6"/>
        <v>0</v>
      </c>
      <c r="AM65" s="574">
        <f t="shared" si="7"/>
        <v>0</v>
      </c>
      <c r="AN65" s="605" t="str">
        <f t="shared" si="8"/>
        <v>0-10%</v>
      </c>
      <c r="AO65" s="605">
        <f t="shared" si="9"/>
        <v>0</v>
      </c>
      <c r="AP65" s="574">
        <f t="shared" si="10"/>
        <v>0</v>
      </c>
      <c r="AQ65" s="574" t="str">
        <f t="shared" si="11"/>
        <v>yes</v>
      </c>
      <c r="AR65" s="574">
        <f t="shared" si="12"/>
        <v>1.204</v>
      </c>
      <c r="AS65" s="574">
        <f t="shared" si="13"/>
        <v>0</v>
      </c>
      <c r="AT65" s="574">
        <f t="shared" si="14"/>
        <v>0</v>
      </c>
      <c r="AU65" s="1123"/>
      <c r="AV65" s="635">
        <f t="shared" si="15"/>
        <v>0</v>
      </c>
      <c r="AW65" s="638"/>
      <c r="AX65" s="740">
        <v>0</v>
      </c>
      <c r="AY65" s="428">
        <v>4</v>
      </c>
      <c r="AZ65" s="428">
        <v>42</v>
      </c>
      <c r="BA65" s="473" t="s">
        <v>963</v>
      </c>
      <c r="BB65" s="548">
        <f t="shared" si="16"/>
        <v>0.55813953488372092</v>
      </c>
      <c r="BC65" s="606">
        <f t="shared" si="17"/>
        <v>168</v>
      </c>
      <c r="BD65" s="548">
        <f t="shared" si="18"/>
        <v>0.55813953488372092</v>
      </c>
      <c r="BE65" s="606">
        <f t="shared" si="19"/>
        <v>168</v>
      </c>
      <c r="BF65" s="549">
        <f t="shared" si="20"/>
        <v>0</v>
      </c>
      <c r="BG65" s="606">
        <f t="shared" si="21"/>
        <v>0</v>
      </c>
      <c r="BH65" s="600" t="s">
        <v>475</v>
      </c>
      <c r="BI65" s="600" t="s">
        <v>475</v>
      </c>
      <c r="BJ65" s="606">
        <f t="shared" si="42"/>
        <v>0</v>
      </c>
      <c r="BK65" s="606" t="str">
        <f t="shared" si="23"/>
        <v>n/a</v>
      </c>
      <c r="BL65" s="428" t="s">
        <v>475</v>
      </c>
      <c r="BM65" s="548" t="str">
        <f t="shared" si="24"/>
        <v>n/a</v>
      </c>
      <c r="BN65" s="606" t="str">
        <f t="shared" si="25"/>
        <v>n/a</v>
      </c>
      <c r="BO65" s="606" t="str">
        <f t="shared" si="26"/>
        <v>n/a</v>
      </c>
      <c r="BP65" s="578" t="s">
        <v>475</v>
      </c>
      <c r="BQ65" s="606" t="s">
        <v>475</v>
      </c>
      <c r="BR65" s="519" t="s">
        <v>475</v>
      </c>
      <c r="BS65" s="548" t="str">
        <f t="shared" si="27"/>
        <v>n/a</v>
      </c>
      <c r="BT65" s="607" t="str">
        <f t="shared" si="28"/>
        <v>n/a</v>
      </c>
      <c r="BU65" s="325">
        <v>1</v>
      </c>
      <c r="BV65" s="650" t="str">
        <f t="shared" si="29"/>
        <v>n/a</v>
      </c>
      <c r="BW65" s="325" t="s">
        <v>567</v>
      </c>
      <c r="BX65" s="602" t="s">
        <v>475</v>
      </c>
      <c r="BY65" s="1189"/>
      <c r="BZ65" s="1189"/>
      <c r="CA65" s="608" t="str">
        <f t="shared" si="30"/>
        <v>n/a</v>
      </c>
      <c r="CB65" s="428">
        <v>0</v>
      </c>
      <c r="CC65" s="428">
        <v>0</v>
      </c>
      <c r="CD65" s="609" t="str">
        <f t="shared" si="31"/>
        <v>n/a</v>
      </c>
      <c r="CE65" s="610" t="str">
        <f t="shared" si="32"/>
        <v>n/a</v>
      </c>
      <c r="CF65" s="609" t="str">
        <f t="shared" si="33"/>
        <v>n/a</v>
      </c>
      <c r="CG65" s="658" t="str">
        <f t="shared" si="34"/>
        <v>n/a</v>
      </c>
      <c r="CH65" s="328" t="s">
        <v>809</v>
      </c>
      <c r="CI65" s="330">
        <v>1</v>
      </c>
      <c r="CJ65" s="664">
        <f t="shared" si="35"/>
        <v>301</v>
      </c>
      <c r="CK65" s="328">
        <v>0</v>
      </c>
      <c r="CL65" s="611" t="s">
        <v>671</v>
      </c>
      <c r="CM65" s="428" t="s">
        <v>475</v>
      </c>
      <c r="CN65" s="428" t="s">
        <v>475</v>
      </c>
      <c r="CO65" s="428" t="s">
        <v>38</v>
      </c>
      <c r="CP65" s="570" t="s">
        <v>170</v>
      </c>
      <c r="CQ65" s="672"/>
      <c r="CS65" s="1069">
        <f t="shared" si="36"/>
        <v>0</v>
      </c>
      <c r="CT65" s="1069">
        <f t="shared" si="37"/>
        <v>0</v>
      </c>
      <c r="CU65" s="1066">
        <f t="shared" si="38"/>
        <v>0</v>
      </c>
      <c r="CV65" s="1066">
        <f t="shared" si="39"/>
        <v>0</v>
      </c>
      <c r="CW65" s="1082">
        <f t="shared" si="40"/>
        <v>0.75249999999999995</v>
      </c>
      <c r="CX65" s="1082">
        <f t="shared" si="41"/>
        <v>1.204</v>
      </c>
    </row>
    <row r="66" spans="1:102" s="322" customFormat="1" ht="21" customHeight="1">
      <c r="A66" s="358"/>
      <c r="B66" s="402" t="s">
        <v>817</v>
      </c>
      <c r="C66" s="603" t="s">
        <v>1007</v>
      </c>
      <c r="D66" s="603" t="s">
        <v>1008</v>
      </c>
      <c r="E66" s="1058" t="s">
        <v>1013</v>
      </c>
      <c r="F66" s="728" t="s">
        <v>764</v>
      </c>
      <c r="G66" s="1051"/>
      <c r="H66" s="1051"/>
      <c r="I66" s="1120" t="s">
        <v>33</v>
      </c>
      <c r="J66" s="560" t="s">
        <v>34</v>
      </c>
      <c r="K66" s="604" t="s">
        <v>607</v>
      </c>
      <c r="L66" s="585">
        <v>0</v>
      </c>
      <c r="M66" s="473">
        <v>0</v>
      </c>
      <c r="N66" s="616">
        <v>1641</v>
      </c>
      <c r="O66" s="328"/>
      <c r="P66" s="718" t="str">
        <f t="shared" si="0"/>
        <v>3. Large</v>
      </c>
      <c r="Q66" s="965" t="s">
        <v>926</v>
      </c>
      <c r="R66" s="1138"/>
      <c r="S66" s="622" t="s">
        <v>143</v>
      </c>
      <c r="T66" s="323" t="str">
        <f t="shared" si="1"/>
        <v>Covered</v>
      </c>
      <c r="U66" s="561">
        <v>42376</v>
      </c>
      <c r="V66" s="1143"/>
      <c r="W66" s="558" t="s">
        <v>152</v>
      </c>
      <c r="X66" s="627">
        <v>0</v>
      </c>
      <c r="Y66" s="473">
        <v>0</v>
      </c>
      <c r="Z66" s="617" t="s">
        <v>43</v>
      </c>
      <c r="AA66" s="627">
        <v>0</v>
      </c>
      <c r="AB66" s="473">
        <v>0</v>
      </c>
      <c r="AC66" s="473">
        <v>0</v>
      </c>
      <c r="AD66" s="473">
        <v>2</v>
      </c>
      <c r="AE66" s="617"/>
      <c r="AF66" s="599">
        <v>0</v>
      </c>
      <c r="AG66" s="330">
        <v>0</v>
      </c>
      <c r="AH66" s="630">
        <f t="shared" si="2"/>
        <v>0</v>
      </c>
      <c r="AI66" s="574">
        <f t="shared" si="3"/>
        <v>0</v>
      </c>
      <c r="AJ66" s="605">
        <f t="shared" si="4"/>
        <v>0</v>
      </c>
      <c r="AK66" s="574">
        <f t="shared" si="5"/>
        <v>0</v>
      </c>
      <c r="AL66" s="605">
        <f t="shared" si="6"/>
        <v>0</v>
      </c>
      <c r="AM66" s="574">
        <f t="shared" si="7"/>
        <v>0</v>
      </c>
      <c r="AN66" s="605" t="str">
        <f t="shared" si="8"/>
        <v>0-10%</v>
      </c>
      <c r="AO66" s="605">
        <f t="shared" si="9"/>
        <v>0</v>
      </c>
      <c r="AP66" s="574">
        <f t="shared" si="10"/>
        <v>0</v>
      </c>
      <c r="AQ66" s="574" t="str">
        <f t="shared" si="11"/>
        <v>yes</v>
      </c>
      <c r="AR66" s="574">
        <f t="shared" si="12"/>
        <v>6.5640000000000001</v>
      </c>
      <c r="AS66" s="574">
        <f t="shared" si="13"/>
        <v>0</v>
      </c>
      <c r="AT66" s="574">
        <f t="shared" si="14"/>
        <v>0</v>
      </c>
      <c r="AU66" s="1123"/>
      <c r="AV66" s="635">
        <f t="shared" si="15"/>
        <v>0</v>
      </c>
      <c r="AW66" s="638"/>
      <c r="AX66" s="740">
        <v>0</v>
      </c>
      <c r="AY66" s="428">
        <v>63</v>
      </c>
      <c r="AZ66" s="428">
        <v>42</v>
      </c>
      <c r="BA66" s="473" t="s">
        <v>963</v>
      </c>
      <c r="BB66" s="548">
        <f t="shared" si="16"/>
        <v>1</v>
      </c>
      <c r="BC66" s="606">
        <f t="shared" si="17"/>
        <v>1641</v>
      </c>
      <c r="BD66" s="548">
        <f t="shared" si="18"/>
        <v>1</v>
      </c>
      <c r="BE66" s="606">
        <f t="shared" si="19"/>
        <v>1641</v>
      </c>
      <c r="BF66" s="549">
        <f t="shared" si="20"/>
        <v>0</v>
      </c>
      <c r="BG66" s="606">
        <f t="shared" si="21"/>
        <v>0</v>
      </c>
      <c r="BH66" s="600" t="s">
        <v>475</v>
      </c>
      <c r="BI66" s="600" t="s">
        <v>475</v>
      </c>
      <c r="BJ66" s="606">
        <f t="shared" si="42"/>
        <v>0</v>
      </c>
      <c r="BK66" s="606" t="str">
        <f t="shared" si="23"/>
        <v>n/a</v>
      </c>
      <c r="BL66" s="428" t="s">
        <v>475</v>
      </c>
      <c r="BM66" s="548" t="str">
        <f t="shared" si="24"/>
        <v>n/a</v>
      </c>
      <c r="BN66" s="606" t="str">
        <f t="shared" si="25"/>
        <v>n/a</v>
      </c>
      <c r="BO66" s="606" t="str">
        <f t="shared" si="26"/>
        <v>n/a</v>
      </c>
      <c r="BP66" s="578" t="s">
        <v>475</v>
      </c>
      <c r="BQ66" s="606" t="s">
        <v>475</v>
      </c>
      <c r="BR66" s="519" t="s">
        <v>475</v>
      </c>
      <c r="BS66" s="548" t="str">
        <f t="shared" si="27"/>
        <v>n/a</v>
      </c>
      <c r="BT66" s="607" t="str">
        <f t="shared" si="28"/>
        <v>n/a</v>
      </c>
      <c r="BU66" s="325">
        <v>1</v>
      </c>
      <c r="BV66" s="650" t="str">
        <f t="shared" si="29"/>
        <v>n/a</v>
      </c>
      <c r="BW66" s="325" t="s">
        <v>567</v>
      </c>
      <c r="BX66" s="602" t="s">
        <v>475</v>
      </c>
      <c r="BY66" s="1189"/>
      <c r="BZ66" s="1189"/>
      <c r="CA66" s="608" t="str">
        <f t="shared" si="30"/>
        <v>n/a</v>
      </c>
      <c r="CB66" s="428">
        <v>0</v>
      </c>
      <c r="CC66" s="428">
        <v>0</v>
      </c>
      <c r="CD66" s="609" t="str">
        <f t="shared" si="31"/>
        <v>n/a</v>
      </c>
      <c r="CE66" s="610" t="str">
        <f t="shared" si="32"/>
        <v>n/a</v>
      </c>
      <c r="CF66" s="609" t="str">
        <f t="shared" si="33"/>
        <v>n/a</v>
      </c>
      <c r="CG66" s="658" t="str">
        <f t="shared" si="34"/>
        <v>n/a</v>
      </c>
      <c r="CH66" s="328" t="s">
        <v>809</v>
      </c>
      <c r="CI66" s="330">
        <v>0.8</v>
      </c>
      <c r="CJ66" s="664">
        <f t="shared" si="35"/>
        <v>1312.8000000000002</v>
      </c>
      <c r="CK66" s="328">
        <v>0</v>
      </c>
      <c r="CL66" s="611" t="s">
        <v>671</v>
      </c>
      <c r="CM66" s="428" t="s">
        <v>475</v>
      </c>
      <c r="CN66" s="428" t="s">
        <v>475</v>
      </c>
      <c r="CO66" s="428" t="s">
        <v>38</v>
      </c>
      <c r="CP66" s="570" t="s">
        <v>170</v>
      </c>
      <c r="CQ66" s="672"/>
      <c r="CS66" s="1069">
        <f t="shared" si="36"/>
        <v>0</v>
      </c>
      <c r="CT66" s="1069">
        <f t="shared" si="37"/>
        <v>0</v>
      </c>
      <c r="CU66" s="1066">
        <f t="shared" si="38"/>
        <v>0</v>
      </c>
      <c r="CV66" s="1066">
        <f t="shared" si="39"/>
        <v>0</v>
      </c>
      <c r="CW66" s="1082">
        <f t="shared" si="40"/>
        <v>4.1025</v>
      </c>
      <c r="CX66" s="1082">
        <f t="shared" si="41"/>
        <v>6.5640000000000001</v>
      </c>
    </row>
    <row r="67" spans="1:102" s="322" customFormat="1" ht="21" customHeight="1">
      <c r="A67" s="358"/>
      <c r="B67" s="402" t="s">
        <v>817</v>
      </c>
      <c r="C67" s="603" t="s">
        <v>1095</v>
      </c>
      <c r="D67" s="603" t="s">
        <v>1096</v>
      </c>
      <c r="E67" s="1058" t="s">
        <v>1099</v>
      </c>
      <c r="F67" s="1084" t="s">
        <v>845</v>
      </c>
      <c r="G67" s="1051"/>
      <c r="H67" s="1051"/>
      <c r="I67" s="560" t="s">
        <v>33</v>
      </c>
      <c r="J67" s="560" t="s">
        <v>45</v>
      </c>
      <c r="K67" s="604" t="s">
        <v>607</v>
      </c>
      <c r="L67" s="585">
        <v>0</v>
      </c>
      <c r="M67" s="473">
        <v>0</v>
      </c>
      <c r="N67" s="714">
        <v>219</v>
      </c>
      <c r="O67" s="328"/>
      <c r="P67" s="718" t="str">
        <f t="shared" si="0"/>
        <v>1. Small</v>
      </c>
      <c r="Q67" s="965" t="s">
        <v>926</v>
      </c>
      <c r="R67" s="1138"/>
      <c r="S67" s="622" t="s">
        <v>811</v>
      </c>
      <c r="T67" s="323" t="str">
        <f t="shared" si="1"/>
        <v>Covered</v>
      </c>
      <c r="U67" s="561">
        <v>42376</v>
      </c>
      <c r="V67" s="1143"/>
      <c r="W67" s="558" t="s">
        <v>152</v>
      </c>
      <c r="X67" s="627">
        <v>0</v>
      </c>
      <c r="Y67" s="473">
        <v>0</v>
      </c>
      <c r="Z67" s="617" t="s">
        <v>43</v>
      </c>
      <c r="AA67" s="627">
        <v>0</v>
      </c>
      <c r="AB67" s="736">
        <v>1</v>
      </c>
      <c r="AC67" s="473">
        <v>0</v>
      </c>
      <c r="AD67" s="473">
        <v>2</v>
      </c>
      <c r="AE67" s="617"/>
      <c r="AF67" s="599">
        <v>0</v>
      </c>
      <c r="AG67" s="325">
        <v>0</v>
      </c>
      <c r="AH67" s="630">
        <f t="shared" si="2"/>
        <v>1</v>
      </c>
      <c r="AI67" s="574">
        <f t="shared" si="3"/>
        <v>219</v>
      </c>
      <c r="AJ67" s="605">
        <f t="shared" si="4"/>
        <v>1</v>
      </c>
      <c r="AK67" s="574">
        <f t="shared" si="5"/>
        <v>219</v>
      </c>
      <c r="AL67" s="605">
        <f t="shared" si="6"/>
        <v>1</v>
      </c>
      <c r="AM67" s="574">
        <f t="shared" si="7"/>
        <v>219</v>
      </c>
      <c r="AN67" s="605" t="str">
        <f t="shared" si="8"/>
        <v>80-100%</v>
      </c>
      <c r="AO67" s="605">
        <f t="shared" si="9"/>
        <v>0</v>
      </c>
      <c r="AP67" s="574">
        <f t="shared" si="10"/>
        <v>0</v>
      </c>
      <c r="AQ67" s="574" t="str">
        <f t="shared" si="11"/>
        <v>yes</v>
      </c>
      <c r="AR67" s="574">
        <f t="shared" si="12"/>
        <v>0</v>
      </c>
      <c r="AS67" s="574">
        <f t="shared" si="13"/>
        <v>0</v>
      </c>
      <c r="AT67" s="574">
        <f t="shared" si="14"/>
        <v>0</v>
      </c>
      <c r="AU67" s="330">
        <v>1</v>
      </c>
      <c r="AV67" s="635">
        <f t="shared" si="15"/>
        <v>219</v>
      </c>
      <c r="AW67" s="1155" t="s">
        <v>884</v>
      </c>
      <c r="AX67" s="740">
        <v>0</v>
      </c>
      <c r="AY67" s="428">
        <v>6</v>
      </c>
      <c r="AZ67" s="428">
        <v>42</v>
      </c>
      <c r="BA67" s="473" t="s">
        <v>963</v>
      </c>
      <c r="BB67" s="548">
        <f t="shared" si="16"/>
        <v>1</v>
      </c>
      <c r="BC67" s="606">
        <f t="shared" si="17"/>
        <v>219</v>
      </c>
      <c r="BD67" s="548">
        <f t="shared" si="18"/>
        <v>1</v>
      </c>
      <c r="BE67" s="606">
        <f t="shared" si="19"/>
        <v>219</v>
      </c>
      <c r="BF67" s="549">
        <f t="shared" si="20"/>
        <v>0</v>
      </c>
      <c r="BG67" s="606">
        <f t="shared" si="21"/>
        <v>0</v>
      </c>
      <c r="BH67" s="600" t="s">
        <v>475</v>
      </c>
      <c r="BI67" s="600" t="s">
        <v>475</v>
      </c>
      <c r="BJ67" s="606">
        <f t="shared" si="42"/>
        <v>0</v>
      </c>
      <c r="BK67" s="606" t="str">
        <f t="shared" si="23"/>
        <v>n/a</v>
      </c>
      <c r="BL67" s="428" t="s">
        <v>475</v>
      </c>
      <c r="BM67" s="548" t="str">
        <f t="shared" si="24"/>
        <v>n/a</v>
      </c>
      <c r="BN67" s="606" t="str">
        <f t="shared" si="25"/>
        <v>n/a</v>
      </c>
      <c r="BO67" s="606" t="str">
        <f t="shared" si="26"/>
        <v>n/a</v>
      </c>
      <c r="BP67" s="428" t="s">
        <v>475</v>
      </c>
      <c r="BQ67" s="606" t="s">
        <v>475</v>
      </c>
      <c r="BR67" s="428" t="s">
        <v>475</v>
      </c>
      <c r="BS67" s="548" t="str">
        <f t="shared" si="27"/>
        <v>n/a</v>
      </c>
      <c r="BT67" s="607" t="str">
        <f t="shared" si="28"/>
        <v>n/a</v>
      </c>
      <c r="BU67" s="325">
        <v>0.7</v>
      </c>
      <c r="BV67" s="650" t="str">
        <f t="shared" si="29"/>
        <v>n/a</v>
      </c>
      <c r="BW67" s="1165" t="s">
        <v>891</v>
      </c>
      <c r="BX67" s="602" t="s">
        <v>475</v>
      </c>
      <c r="BY67" s="1189"/>
      <c r="BZ67" s="1189"/>
      <c r="CA67" s="608" t="str">
        <f t="shared" si="30"/>
        <v>n/a</v>
      </c>
      <c r="CB67" s="428">
        <v>0</v>
      </c>
      <c r="CC67" s="428">
        <v>0</v>
      </c>
      <c r="CD67" s="609" t="str">
        <f t="shared" si="31"/>
        <v>n/a</v>
      </c>
      <c r="CE67" s="610" t="str">
        <f t="shared" si="32"/>
        <v>n/a</v>
      </c>
      <c r="CF67" s="609" t="str">
        <f t="shared" si="33"/>
        <v>n/a</v>
      </c>
      <c r="CG67" s="658" t="str">
        <f t="shared" si="34"/>
        <v>n/a</v>
      </c>
      <c r="CH67" s="743" t="s">
        <v>893</v>
      </c>
      <c r="CI67" s="330">
        <v>0</v>
      </c>
      <c r="CJ67" s="664">
        <f t="shared" si="35"/>
        <v>0</v>
      </c>
      <c r="CK67" s="328">
        <v>0</v>
      </c>
      <c r="CL67" s="611" t="s">
        <v>671</v>
      </c>
      <c r="CM67" s="428" t="s">
        <v>475</v>
      </c>
      <c r="CN67" s="428" t="s">
        <v>475</v>
      </c>
      <c r="CO67" s="428" t="s">
        <v>38</v>
      </c>
      <c r="CP67" s="570" t="s">
        <v>170</v>
      </c>
      <c r="CQ67" s="1167" t="s">
        <v>894</v>
      </c>
      <c r="CS67" s="1069">
        <f t="shared" si="36"/>
        <v>1</v>
      </c>
      <c r="CT67" s="1069">
        <f t="shared" si="37"/>
        <v>1</v>
      </c>
      <c r="CU67" s="1066">
        <f t="shared" si="38"/>
        <v>1</v>
      </c>
      <c r="CV67" s="1066">
        <f t="shared" si="39"/>
        <v>1</v>
      </c>
      <c r="CW67" s="1082">
        <f t="shared" si="40"/>
        <v>0</v>
      </c>
      <c r="CX67" s="1082">
        <f t="shared" si="41"/>
        <v>0</v>
      </c>
    </row>
    <row r="68" spans="1:102" s="322" customFormat="1" ht="21" customHeight="1">
      <c r="A68" s="358"/>
      <c r="B68" s="402" t="s">
        <v>817</v>
      </c>
      <c r="C68" s="603"/>
      <c r="D68" s="603"/>
      <c r="E68" s="1058"/>
      <c r="F68" s="1083" t="s">
        <v>830</v>
      </c>
      <c r="G68" s="1051"/>
      <c r="H68" s="1051"/>
      <c r="I68" s="560" t="s">
        <v>33</v>
      </c>
      <c r="J68" s="560" t="s">
        <v>831</v>
      </c>
      <c r="K68" s="604" t="s">
        <v>607</v>
      </c>
      <c r="L68" s="585">
        <v>0</v>
      </c>
      <c r="M68" s="473">
        <v>0</v>
      </c>
      <c r="N68" s="714">
        <v>145</v>
      </c>
      <c r="O68" s="328"/>
      <c r="P68" s="718" t="str">
        <f t="shared" si="0"/>
        <v>1. Small</v>
      </c>
      <c r="Q68" s="965" t="s">
        <v>926</v>
      </c>
      <c r="R68" s="1138"/>
      <c r="S68" s="622" t="s">
        <v>811</v>
      </c>
      <c r="T68" s="323" t="str">
        <f t="shared" si="1"/>
        <v>Covered</v>
      </c>
      <c r="U68" s="561">
        <v>42376</v>
      </c>
      <c r="V68" s="1143"/>
      <c r="W68" s="558" t="s">
        <v>152</v>
      </c>
      <c r="X68" s="627">
        <v>0</v>
      </c>
      <c r="Y68" s="473">
        <v>0</v>
      </c>
      <c r="Z68" s="617" t="s">
        <v>43</v>
      </c>
      <c r="AA68" s="627">
        <v>0</v>
      </c>
      <c r="AB68" s="736">
        <v>0</v>
      </c>
      <c r="AC68" s="473">
        <v>0</v>
      </c>
      <c r="AD68" s="473">
        <v>0</v>
      </c>
      <c r="AE68" s="617"/>
      <c r="AF68" s="599">
        <v>0</v>
      </c>
      <c r="AG68" s="325">
        <v>0</v>
      </c>
      <c r="AH68" s="630">
        <f t="shared" si="2"/>
        <v>0</v>
      </c>
      <c r="AI68" s="574">
        <f t="shared" si="3"/>
        <v>0</v>
      </c>
      <c r="AJ68" s="605">
        <f t="shared" si="4"/>
        <v>0</v>
      </c>
      <c r="AK68" s="574">
        <f t="shared" si="5"/>
        <v>0</v>
      </c>
      <c r="AL68" s="605">
        <f t="shared" si="6"/>
        <v>0</v>
      </c>
      <c r="AM68" s="574">
        <f t="shared" si="7"/>
        <v>0</v>
      </c>
      <c r="AN68" s="605" t="str">
        <f t="shared" si="8"/>
        <v>0-10%</v>
      </c>
      <c r="AO68" s="605">
        <f t="shared" si="9"/>
        <v>0</v>
      </c>
      <c r="AP68" s="574">
        <f t="shared" si="10"/>
        <v>0</v>
      </c>
      <c r="AQ68" s="574" t="str">
        <f t="shared" si="11"/>
        <v>no</v>
      </c>
      <c r="AR68" s="574">
        <f t="shared" si="12"/>
        <v>0.57999999999999996</v>
      </c>
      <c r="AS68" s="574">
        <f t="shared" si="13"/>
        <v>0</v>
      </c>
      <c r="AT68" s="574">
        <f t="shared" si="14"/>
        <v>0</v>
      </c>
      <c r="AU68" s="330">
        <v>0.9</v>
      </c>
      <c r="AV68" s="635">
        <f t="shared" si="15"/>
        <v>130.5</v>
      </c>
      <c r="AW68" s="1155" t="s">
        <v>888</v>
      </c>
      <c r="AX68" s="740">
        <v>0</v>
      </c>
      <c r="AY68" s="428">
        <v>15</v>
      </c>
      <c r="AZ68" s="428">
        <v>42</v>
      </c>
      <c r="BA68" s="473" t="s">
        <v>963</v>
      </c>
      <c r="BB68" s="548">
        <f t="shared" si="16"/>
        <v>1</v>
      </c>
      <c r="BC68" s="606">
        <f t="shared" si="17"/>
        <v>145</v>
      </c>
      <c r="BD68" s="548">
        <f t="shared" si="18"/>
        <v>1</v>
      </c>
      <c r="BE68" s="606">
        <f t="shared" si="19"/>
        <v>145</v>
      </c>
      <c r="BF68" s="549">
        <f t="shared" si="20"/>
        <v>0</v>
      </c>
      <c r="BG68" s="606">
        <f t="shared" si="21"/>
        <v>0</v>
      </c>
      <c r="BH68" s="600" t="s">
        <v>475</v>
      </c>
      <c r="BI68" s="600" t="s">
        <v>475</v>
      </c>
      <c r="BJ68" s="606">
        <f t="shared" si="42"/>
        <v>0</v>
      </c>
      <c r="BK68" s="606" t="str">
        <f t="shared" si="23"/>
        <v>n/a</v>
      </c>
      <c r="BL68" s="428" t="s">
        <v>475</v>
      </c>
      <c r="BM68" s="548" t="str">
        <f t="shared" si="24"/>
        <v>n/a</v>
      </c>
      <c r="BN68" s="606" t="str">
        <f t="shared" si="25"/>
        <v>n/a</v>
      </c>
      <c r="BO68" s="606" t="str">
        <f t="shared" si="26"/>
        <v>n/a</v>
      </c>
      <c r="BP68" s="428" t="s">
        <v>475</v>
      </c>
      <c r="BQ68" s="606" t="s">
        <v>475</v>
      </c>
      <c r="BR68" s="428" t="s">
        <v>475</v>
      </c>
      <c r="BS68" s="548" t="str">
        <f t="shared" si="27"/>
        <v>n/a</v>
      </c>
      <c r="BT68" s="607" t="str">
        <f t="shared" si="28"/>
        <v>n/a</v>
      </c>
      <c r="BU68" s="325">
        <v>0.7</v>
      </c>
      <c r="BV68" s="650" t="str">
        <f t="shared" si="29"/>
        <v>n/a</v>
      </c>
      <c r="BW68" s="1165" t="s">
        <v>891</v>
      </c>
      <c r="BX68" s="602" t="s">
        <v>475</v>
      </c>
      <c r="BY68" s="1189"/>
      <c r="BZ68" s="1189"/>
      <c r="CA68" s="608" t="str">
        <f t="shared" si="30"/>
        <v>n/a</v>
      </c>
      <c r="CB68" s="428">
        <v>0</v>
      </c>
      <c r="CC68" s="428">
        <v>0</v>
      </c>
      <c r="CD68" s="609" t="str">
        <f t="shared" si="31"/>
        <v>n/a</v>
      </c>
      <c r="CE68" s="610" t="str">
        <f t="shared" si="32"/>
        <v>n/a</v>
      </c>
      <c r="CF68" s="609" t="str">
        <f t="shared" si="33"/>
        <v>n/a</v>
      </c>
      <c r="CG68" s="658" t="str">
        <f t="shared" si="34"/>
        <v>n/a</v>
      </c>
      <c r="CH68" s="743" t="s">
        <v>893</v>
      </c>
      <c r="CI68" s="330">
        <v>0</v>
      </c>
      <c r="CJ68" s="664">
        <f t="shared" si="35"/>
        <v>0</v>
      </c>
      <c r="CK68" s="328">
        <v>0</v>
      </c>
      <c r="CL68" s="611" t="s">
        <v>671</v>
      </c>
      <c r="CM68" s="428" t="s">
        <v>475</v>
      </c>
      <c r="CN68" s="428" t="s">
        <v>475</v>
      </c>
      <c r="CO68" s="428" t="s">
        <v>38</v>
      </c>
      <c r="CP68" s="570" t="s">
        <v>170</v>
      </c>
      <c r="CQ68" s="1167" t="s">
        <v>894</v>
      </c>
      <c r="CS68" s="1069">
        <f t="shared" si="36"/>
        <v>0</v>
      </c>
      <c r="CT68" s="1069">
        <f t="shared" si="37"/>
        <v>0</v>
      </c>
      <c r="CU68" s="1066">
        <f t="shared" si="38"/>
        <v>0</v>
      </c>
      <c r="CV68" s="1066">
        <f t="shared" si="39"/>
        <v>0</v>
      </c>
      <c r="CW68" s="1082">
        <f t="shared" si="40"/>
        <v>0.36249999999999999</v>
      </c>
      <c r="CX68" s="1082">
        <f t="shared" si="41"/>
        <v>0.57999999999999996</v>
      </c>
    </row>
    <row r="69" spans="1:102" s="322" customFormat="1" ht="21" customHeight="1">
      <c r="A69" s="358"/>
      <c r="B69" s="402" t="s">
        <v>817</v>
      </c>
      <c r="C69" s="603" t="s">
        <v>1000</v>
      </c>
      <c r="D69" s="603" t="s">
        <v>1001</v>
      </c>
      <c r="E69" s="1058" t="s">
        <v>1006</v>
      </c>
      <c r="F69" s="729" t="s">
        <v>759</v>
      </c>
      <c r="G69" s="1051"/>
      <c r="H69" s="1051"/>
      <c r="I69" s="1120" t="s">
        <v>33</v>
      </c>
      <c r="J69" s="560" t="s">
        <v>34</v>
      </c>
      <c r="K69" s="604" t="s">
        <v>607</v>
      </c>
      <c r="L69" s="585">
        <v>0</v>
      </c>
      <c r="M69" s="473">
        <v>0</v>
      </c>
      <c r="N69" s="616">
        <v>1913</v>
      </c>
      <c r="O69" s="328"/>
      <c r="P69" s="718" t="str">
        <f t="shared" ref="P69:P132" si="43">IF(I69="Village",IF(N69&gt;1000,"3. Large",IF(N69&gt;500,"2. Medium","1. Small")),IF(L69&gt;50,IF(L69&gt;250,IF(L69&gt;500,IF(L69&gt;1000,"5. Massive","4. Big"),"3. Large"),"2. Medium"),"1. Small"))</f>
        <v>3. Large</v>
      </c>
      <c r="Q69" s="965" t="s">
        <v>926</v>
      </c>
      <c r="R69" s="1138"/>
      <c r="S69" s="622" t="s">
        <v>143</v>
      </c>
      <c r="T69" s="323" t="str">
        <f t="shared" ref="T69:T132" si="44">IF(S69="None","Not Covered","Covered")</f>
        <v>Covered</v>
      </c>
      <c r="U69" s="561">
        <v>42376</v>
      </c>
      <c r="V69" s="1143"/>
      <c r="W69" s="558" t="s">
        <v>152</v>
      </c>
      <c r="X69" s="627">
        <v>0</v>
      </c>
      <c r="Y69" s="473">
        <v>0</v>
      </c>
      <c r="Z69" s="617" t="s">
        <v>43</v>
      </c>
      <c r="AA69" s="627">
        <v>0</v>
      </c>
      <c r="AB69" s="473">
        <v>0</v>
      </c>
      <c r="AC69" s="473">
        <v>0</v>
      </c>
      <c r="AD69" s="473">
        <v>1</v>
      </c>
      <c r="AE69" s="617"/>
      <c r="AF69" s="599">
        <v>0</v>
      </c>
      <c r="AG69" s="330">
        <v>0</v>
      </c>
      <c r="AH69" s="630">
        <f t="shared" ref="AH69:AH132" si="45">IF(I69="Camp",CS69,CT69)</f>
        <v>0</v>
      </c>
      <c r="AI69" s="574">
        <f t="shared" ref="AI69:AI132" si="46">AH69*N69</f>
        <v>0</v>
      </c>
      <c r="AJ69" s="605">
        <f t="shared" ref="AJ69:AJ132" si="47">IF(I69="Camp",CU69,CV69)</f>
        <v>0</v>
      </c>
      <c r="AK69" s="574">
        <f t="shared" ref="AK69:AK132" si="48">AJ69*N69</f>
        <v>0</v>
      </c>
      <c r="AL69" s="605">
        <f t="shared" ref="AL69:AL132" si="49">IF(AG69=0,AH69,IF(AG69&lt;AH69,AH69,AG69))</f>
        <v>0</v>
      </c>
      <c r="AM69" s="574">
        <f t="shared" ref="AM69:AM132" si="50">AL69*N69</f>
        <v>0</v>
      </c>
      <c r="AN69" s="605" t="str">
        <f t="shared" ref="AN69:AN132" si="51">IF(AH69&gt;0.15,IF(AH69&gt;0.3,IF(AH69&gt;0.45,IF(AH69&gt;0.6,IF(AH69&gt;0.8,"80-100%","60-80%"),"45-60%"),"30-45%"),"15-30%"),"0-10%")</f>
        <v>0-10%</v>
      </c>
      <c r="AO69" s="605">
        <f t="shared" ref="AO69:AO132" si="52">AH69-AJ69</f>
        <v>0</v>
      </c>
      <c r="AP69" s="574">
        <f t="shared" ref="AP69:AP132" si="53">AO69*N69</f>
        <v>0</v>
      </c>
      <c r="AQ69" s="574" t="str">
        <f t="shared" ref="AQ69:AQ132" si="54">IF(AD69=0,"no","yes")</f>
        <v>yes</v>
      </c>
      <c r="AR69" s="574">
        <f t="shared" ref="AR69:AR132" si="55">IF(I69="Camp",CW69,CX69)</f>
        <v>7.6520000000000001</v>
      </c>
      <c r="AS69" s="574">
        <f t="shared" ref="AS69:AS132" si="56">AG69*N69</f>
        <v>0</v>
      </c>
      <c r="AT69" s="574">
        <f t="shared" ref="AT69:AT132" si="57">AF69*N69</f>
        <v>0</v>
      </c>
      <c r="AU69" s="1123"/>
      <c r="AV69" s="635">
        <f t="shared" ref="AV69:AV132" si="58">AU69*N69</f>
        <v>0</v>
      </c>
      <c r="AW69" s="638"/>
      <c r="AX69" s="740">
        <v>0</v>
      </c>
      <c r="AY69" s="428">
        <v>39</v>
      </c>
      <c r="AZ69" s="428">
        <v>42</v>
      </c>
      <c r="BA69" s="473" t="s">
        <v>963</v>
      </c>
      <c r="BB69" s="548">
        <f t="shared" ref="BB69:BB132" si="59">IF(I69="Village",IF((((AY69)*AZ69)/N69)&gt;1,1,(((AY69)*AZ69)/N69)),IF((((AX69+AY69)*20)/N69)&gt;1,1,(((AX69+AY69)*20)/N69)))</f>
        <v>0.85624673288029274</v>
      </c>
      <c r="BC69" s="606">
        <f t="shared" ref="BC69:BC132" si="60">BB69*N69</f>
        <v>1638</v>
      </c>
      <c r="BD69" s="548">
        <f t="shared" ref="BD69:BD132" si="61">IF(I69="Village",IF(((AY69*AZ69)/N69)&gt;1,1,((AY69*AZ69)/N69)),IF(((AY69*20)/N69)&gt;1,1,((AY69*20)/N69)))</f>
        <v>0.85624673288029274</v>
      </c>
      <c r="BE69" s="606">
        <f t="shared" ref="BE69:BE132" si="62">IF(I69="Village",BD69*N69,BD69*N69)</f>
        <v>1638</v>
      </c>
      <c r="BF69" s="549">
        <f t="shared" ref="BF69:BF132" si="63">IF(I69="Village",BB69-BD69,BB69-BD69)</f>
        <v>0</v>
      </c>
      <c r="BG69" s="606">
        <f t="shared" ref="BG69:BG132" si="64">IF(I69="Village",BF69*N69,BF69*N69)</f>
        <v>0</v>
      </c>
      <c r="BH69" s="600" t="s">
        <v>475</v>
      </c>
      <c r="BI69" s="600" t="s">
        <v>475</v>
      </c>
      <c r="BJ69" s="606">
        <f t="shared" ref="BJ69:BJ73" si="65">IFERROR(BI69*N69,0)</f>
        <v>0</v>
      </c>
      <c r="BK69" s="606" t="str">
        <f t="shared" ref="BK69:BK132" si="66">IF(I69="Village","n/a",IF((N69/20-AY69)&lt;0,0,(N69/20-AY69)))</f>
        <v>n/a</v>
      </c>
      <c r="BL69" s="428" t="s">
        <v>475</v>
      </c>
      <c r="BM69" s="548" t="str">
        <f t="shared" ref="BM69:BM132" si="67">IF(I69="Village","n/a",IF((BL69*5.6/N69)&gt;1,1,(BL69*5.6/N69)))</f>
        <v>n/a</v>
      </c>
      <c r="BN69" s="606" t="str">
        <f t="shared" ref="BN69:BN132" si="68">IF(I69="Village","n/a",BM69*N69)</f>
        <v>n/a</v>
      </c>
      <c r="BO69" s="606" t="str">
        <f t="shared" ref="BO69:BO132" si="69">IF(I69="Village","n/a",IF(N69/5.6-BL69&lt;0,0,N69/5.6-BL69))</f>
        <v>n/a</v>
      </c>
      <c r="BP69" s="578" t="s">
        <v>475</v>
      </c>
      <c r="BQ69" s="606" t="s">
        <v>475</v>
      </c>
      <c r="BR69" s="519" t="s">
        <v>475</v>
      </c>
      <c r="BS69" s="548" t="str">
        <f t="shared" ref="BS69:BS132" si="70">IF(I69="Village","n/a",IF((BR69*100/N69)&gt;1,1,(BR69*100/N69)))</f>
        <v>n/a</v>
      </c>
      <c r="BT69" s="607" t="str">
        <f t="shared" ref="BT69:BT132" si="71">IF(I69="Village","n/a",IF(N69/100-BR69&lt;0,0,N69/100-BR69))</f>
        <v>n/a</v>
      </c>
      <c r="BU69" s="325">
        <v>1</v>
      </c>
      <c r="BV69" s="650" t="str">
        <f t="shared" ref="BV69:BV132" si="72">IF(I69="Village","n/a",BU69*N69)</f>
        <v>n/a</v>
      </c>
      <c r="BW69" s="325" t="s">
        <v>567</v>
      </c>
      <c r="BX69" s="602" t="s">
        <v>475</v>
      </c>
      <c r="BY69" s="1189"/>
      <c r="BZ69" s="1189"/>
      <c r="CA69" s="608" t="str">
        <f t="shared" ref="CA69:CA132" si="73">IF(I69="Camp",IF(BX69="","To be done",IF(BX69+365&lt;$F$2,"To be done",BX69+365)),"n/a")</f>
        <v>n/a</v>
      </c>
      <c r="CB69" s="428">
        <v>0</v>
      </c>
      <c r="CC69" s="428">
        <v>0</v>
      </c>
      <c r="CD69" s="609" t="str">
        <f t="shared" ref="CD69:CD132" si="74">IF(CA69="n/a","n/a",IF(CA69="To be done",L69,IF((L69-CB69)&lt;0,0,(L69-CB69))))</f>
        <v>n/a</v>
      </c>
      <c r="CE69" s="610" t="str">
        <f t="shared" ref="CE69:CE132" si="75">IF(CA69="n/a","n/a",IF(CD69=0,1,(L69-CD69)/L69))</f>
        <v>n/a</v>
      </c>
      <c r="CF69" s="609" t="str">
        <f t="shared" ref="CF69:CF132" si="76">IF(CE69="n/a","n/a",CE69*N69)</f>
        <v>n/a</v>
      </c>
      <c r="CG69" s="658" t="str">
        <f t="shared" ref="CG69:CG132" si="77">IF(CE69="n/a","n/a",IF(BX69="",IF((CC69-1/1/2014)/30&lt;0,0,ROUND((CC69-(1/1/2014)/30),0)), IF(($F$2-BX69)/30-CC69&lt;0,0,ROUND((($F$2-BX69)/30-CC69),0))))</f>
        <v>n/a</v>
      </c>
      <c r="CH69" s="328" t="s">
        <v>809</v>
      </c>
      <c r="CI69" s="330">
        <v>0.8</v>
      </c>
      <c r="CJ69" s="664">
        <f t="shared" ref="CJ69:CJ132" si="78">CI69*N69</f>
        <v>1530.4</v>
      </c>
      <c r="CK69" s="328">
        <v>3</v>
      </c>
      <c r="CL69" s="611" t="s">
        <v>671</v>
      </c>
      <c r="CM69" s="428" t="s">
        <v>475</v>
      </c>
      <c r="CN69" s="428" t="s">
        <v>475</v>
      </c>
      <c r="CO69" s="428" t="s">
        <v>38</v>
      </c>
      <c r="CP69" s="570" t="s">
        <v>170</v>
      </c>
      <c r="CQ69" s="672"/>
      <c r="CS69" s="1069">
        <f t="shared" ref="CS69:CS132" si="79">IF((((1000*X69/15)+(1000*(Y69/30)/15)+AA69*400+AB69*500+(1000*AC69/15))/N69)&gt;1,1,(((1000*X69/15)+(1000*(Y69/30)/15)+AA69*400+AB69*500+(1000*AC69/15))/N69))</f>
        <v>0</v>
      </c>
      <c r="CT69" s="1069">
        <f t="shared" ref="CT69:CT132" si="80">IF((((1000*X69/15)+(1000*(Y69/30)/15)+AA69*250+AB69*250+(1000*AC69/15))/N69)&gt;1,1,(((1000*X69/15)+(1000*(Y69/30)/15)+AA69*250+AB69*250+(1000*AC69/15))/N69))</f>
        <v>0</v>
      </c>
      <c r="CU69" s="1066">
        <f t="shared" ref="CU69:CU132" si="81">IF(((AA69*400+AB69*500+(1000*AC69/15))/N69)&gt;1,1,(AA69*400+AB69*500+(1000*AC69/15))/N69)</f>
        <v>0</v>
      </c>
      <c r="CV69" s="1066">
        <f t="shared" ref="CV69:CV132" si="82">IF(((AA69*250+AB69*250+(1000*AC69/15))/N69)&gt;1,1,(AA69*250+AB69*250+(1000*AC69/15))/N69)</f>
        <v>0</v>
      </c>
      <c r="CW69" s="1082">
        <f t="shared" ref="CW69:CW132" si="83">IF(N69/400-(AA69+AB69)&lt;0,0,N69/400-(AA69+AB69))</f>
        <v>4.7824999999999998</v>
      </c>
      <c r="CX69" s="1082">
        <f t="shared" ref="CX69:CX132" si="84">IF(N69/250-(AA69+AB69)&lt;0,0,N69/250-(AA69+AB69))</f>
        <v>7.6520000000000001</v>
      </c>
    </row>
    <row r="70" spans="1:102" s="322" customFormat="1" ht="21" customHeight="1">
      <c r="A70" s="358"/>
      <c r="B70" s="402" t="s">
        <v>817</v>
      </c>
      <c r="C70" s="603" t="s">
        <v>1071</v>
      </c>
      <c r="D70" s="603" t="s">
        <v>1072</v>
      </c>
      <c r="E70" s="1058" t="s">
        <v>1074</v>
      </c>
      <c r="F70" s="1083" t="s">
        <v>829</v>
      </c>
      <c r="G70" s="1051"/>
      <c r="H70" s="1051"/>
      <c r="I70" s="560" t="s">
        <v>33</v>
      </c>
      <c r="J70" s="560" t="s">
        <v>34</v>
      </c>
      <c r="K70" s="604" t="s">
        <v>607</v>
      </c>
      <c r="L70" s="585">
        <v>0</v>
      </c>
      <c r="M70" s="473">
        <v>0</v>
      </c>
      <c r="N70" s="714">
        <v>773</v>
      </c>
      <c r="O70" s="328"/>
      <c r="P70" s="718" t="str">
        <f t="shared" si="43"/>
        <v>2. Medium</v>
      </c>
      <c r="Q70" s="965" t="s">
        <v>926</v>
      </c>
      <c r="R70" s="1138"/>
      <c r="S70" s="622" t="s">
        <v>811</v>
      </c>
      <c r="T70" s="323" t="str">
        <f t="shared" si="44"/>
        <v>Covered</v>
      </c>
      <c r="U70" s="561">
        <v>42376</v>
      </c>
      <c r="V70" s="1143"/>
      <c r="W70" s="558" t="s">
        <v>152</v>
      </c>
      <c r="X70" s="627">
        <v>0</v>
      </c>
      <c r="Y70" s="473">
        <v>0</v>
      </c>
      <c r="Z70" s="617" t="s">
        <v>43</v>
      </c>
      <c r="AA70" s="627">
        <v>0</v>
      </c>
      <c r="AB70" s="736">
        <v>4</v>
      </c>
      <c r="AC70" s="473">
        <v>0</v>
      </c>
      <c r="AD70" s="473">
        <v>2</v>
      </c>
      <c r="AE70" s="617"/>
      <c r="AF70" s="599">
        <v>0</v>
      </c>
      <c r="AG70" s="325">
        <v>0</v>
      </c>
      <c r="AH70" s="630">
        <f t="shared" si="45"/>
        <v>1</v>
      </c>
      <c r="AI70" s="574">
        <f t="shared" si="46"/>
        <v>773</v>
      </c>
      <c r="AJ70" s="605">
        <f t="shared" si="47"/>
        <v>1</v>
      </c>
      <c r="AK70" s="574">
        <f t="shared" si="48"/>
        <v>773</v>
      </c>
      <c r="AL70" s="605">
        <f t="shared" si="49"/>
        <v>1</v>
      </c>
      <c r="AM70" s="574">
        <f t="shared" si="50"/>
        <v>773</v>
      </c>
      <c r="AN70" s="605" t="str">
        <f t="shared" si="51"/>
        <v>80-100%</v>
      </c>
      <c r="AO70" s="605">
        <f t="shared" si="52"/>
        <v>0</v>
      </c>
      <c r="AP70" s="574">
        <f t="shared" si="53"/>
        <v>0</v>
      </c>
      <c r="AQ70" s="574" t="str">
        <f t="shared" si="54"/>
        <v>yes</v>
      </c>
      <c r="AR70" s="574">
        <f t="shared" si="55"/>
        <v>0</v>
      </c>
      <c r="AS70" s="574">
        <f t="shared" si="56"/>
        <v>0</v>
      </c>
      <c r="AT70" s="574">
        <f t="shared" si="57"/>
        <v>0</v>
      </c>
      <c r="AU70" s="330">
        <v>1</v>
      </c>
      <c r="AV70" s="635">
        <f t="shared" si="58"/>
        <v>773</v>
      </c>
      <c r="AW70" s="1155" t="s">
        <v>884</v>
      </c>
      <c r="AX70" s="740">
        <v>0</v>
      </c>
      <c r="AY70" s="428">
        <v>7</v>
      </c>
      <c r="AZ70" s="428">
        <v>42</v>
      </c>
      <c r="BA70" s="473" t="s">
        <v>963</v>
      </c>
      <c r="BB70" s="548">
        <f t="shared" si="59"/>
        <v>0.38033635187580855</v>
      </c>
      <c r="BC70" s="606">
        <f t="shared" si="60"/>
        <v>294</v>
      </c>
      <c r="BD70" s="548">
        <f t="shared" si="61"/>
        <v>0.38033635187580855</v>
      </c>
      <c r="BE70" s="606">
        <f t="shared" si="62"/>
        <v>294</v>
      </c>
      <c r="BF70" s="549">
        <f t="shared" si="63"/>
        <v>0</v>
      </c>
      <c r="BG70" s="606">
        <f t="shared" si="64"/>
        <v>0</v>
      </c>
      <c r="BH70" s="600" t="s">
        <v>475</v>
      </c>
      <c r="BI70" s="600" t="s">
        <v>475</v>
      </c>
      <c r="BJ70" s="606">
        <f t="shared" si="65"/>
        <v>0</v>
      </c>
      <c r="BK70" s="606" t="str">
        <f t="shared" si="66"/>
        <v>n/a</v>
      </c>
      <c r="BL70" s="428" t="s">
        <v>475</v>
      </c>
      <c r="BM70" s="548" t="str">
        <f t="shared" si="67"/>
        <v>n/a</v>
      </c>
      <c r="BN70" s="606" t="str">
        <f t="shared" si="68"/>
        <v>n/a</v>
      </c>
      <c r="BO70" s="606" t="str">
        <f t="shared" si="69"/>
        <v>n/a</v>
      </c>
      <c r="BP70" s="428" t="s">
        <v>475</v>
      </c>
      <c r="BQ70" s="606" t="s">
        <v>475</v>
      </c>
      <c r="BR70" s="428" t="s">
        <v>475</v>
      </c>
      <c r="BS70" s="548" t="str">
        <f t="shared" si="70"/>
        <v>n/a</v>
      </c>
      <c r="BT70" s="607" t="str">
        <f t="shared" si="71"/>
        <v>n/a</v>
      </c>
      <c r="BU70" s="325">
        <v>0.7</v>
      </c>
      <c r="BV70" s="650" t="str">
        <f t="shared" si="72"/>
        <v>n/a</v>
      </c>
      <c r="BW70" s="1165" t="s">
        <v>891</v>
      </c>
      <c r="BX70" s="602" t="s">
        <v>475</v>
      </c>
      <c r="BY70" s="1189"/>
      <c r="BZ70" s="1189"/>
      <c r="CA70" s="608" t="str">
        <f t="shared" si="73"/>
        <v>n/a</v>
      </c>
      <c r="CB70" s="428">
        <v>0</v>
      </c>
      <c r="CC70" s="428">
        <v>0</v>
      </c>
      <c r="CD70" s="609" t="str">
        <f t="shared" si="74"/>
        <v>n/a</v>
      </c>
      <c r="CE70" s="610" t="str">
        <f t="shared" si="75"/>
        <v>n/a</v>
      </c>
      <c r="CF70" s="609" t="str">
        <f t="shared" si="76"/>
        <v>n/a</v>
      </c>
      <c r="CG70" s="658" t="str">
        <f t="shared" si="77"/>
        <v>n/a</v>
      </c>
      <c r="CH70" s="743" t="s">
        <v>893</v>
      </c>
      <c r="CI70" s="330">
        <v>0</v>
      </c>
      <c r="CJ70" s="664">
        <f t="shared" si="78"/>
        <v>0</v>
      </c>
      <c r="CK70" s="328">
        <v>0</v>
      </c>
      <c r="CL70" s="611" t="s">
        <v>671</v>
      </c>
      <c r="CM70" s="428" t="s">
        <v>475</v>
      </c>
      <c r="CN70" s="428" t="s">
        <v>475</v>
      </c>
      <c r="CO70" s="428" t="s">
        <v>38</v>
      </c>
      <c r="CP70" s="570" t="s">
        <v>170</v>
      </c>
      <c r="CQ70" s="1167" t="s">
        <v>894</v>
      </c>
      <c r="CS70" s="1069">
        <f t="shared" si="79"/>
        <v>1</v>
      </c>
      <c r="CT70" s="1069">
        <f t="shared" si="80"/>
        <v>1</v>
      </c>
      <c r="CU70" s="1066">
        <f t="shared" si="81"/>
        <v>1</v>
      </c>
      <c r="CV70" s="1066">
        <f t="shared" si="82"/>
        <v>1</v>
      </c>
      <c r="CW70" s="1082">
        <f t="shared" si="83"/>
        <v>0</v>
      </c>
      <c r="CX70" s="1082">
        <f t="shared" si="84"/>
        <v>0</v>
      </c>
    </row>
    <row r="71" spans="1:102" s="322" customFormat="1" ht="21" customHeight="1">
      <c r="A71" s="358"/>
      <c r="B71" s="402" t="s">
        <v>817</v>
      </c>
      <c r="C71" s="603" t="s">
        <v>1026</v>
      </c>
      <c r="D71" s="603" t="s">
        <v>1026</v>
      </c>
      <c r="E71" s="1058"/>
      <c r="F71" s="730" t="s">
        <v>780</v>
      </c>
      <c r="G71" s="1051"/>
      <c r="H71" s="1051"/>
      <c r="I71" s="1120" t="s">
        <v>33</v>
      </c>
      <c r="J71" s="560" t="s">
        <v>34</v>
      </c>
      <c r="K71" s="604" t="s">
        <v>607</v>
      </c>
      <c r="L71" s="585">
        <v>0</v>
      </c>
      <c r="M71" s="473">
        <v>0</v>
      </c>
      <c r="N71" s="616">
        <v>345</v>
      </c>
      <c r="O71" s="328"/>
      <c r="P71" s="718" t="str">
        <f t="shared" si="43"/>
        <v>1. Small</v>
      </c>
      <c r="Q71" s="965" t="s">
        <v>926</v>
      </c>
      <c r="R71" s="1138"/>
      <c r="S71" s="622" t="s">
        <v>143</v>
      </c>
      <c r="T71" s="323" t="str">
        <f t="shared" si="44"/>
        <v>Covered</v>
      </c>
      <c r="U71" s="561">
        <v>42376</v>
      </c>
      <c r="V71" s="1143"/>
      <c r="W71" s="558" t="s">
        <v>152</v>
      </c>
      <c r="X71" s="627">
        <v>0</v>
      </c>
      <c r="Y71" s="473">
        <v>0</v>
      </c>
      <c r="Z71" s="617" t="s">
        <v>43</v>
      </c>
      <c r="AA71" s="627">
        <v>0</v>
      </c>
      <c r="AB71" s="473">
        <v>0</v>
      </c>
      <c r="AC71" s="473">
        <v>0</v>
      </c>
      <c r="AD71" s="473">
        <v>1</v>
      </c>
      <c r="AE71" s="617"/>
      <c r="AF71" s="599">
        <v>0</v>
      </c>
      <c r="AG71" s="330">
        <v>0</v>
      </c>
      <c r="AH71" s="630">
        <f t="shared" si="45"/>
        <v>0</v>
      </c>
      <c r="AI71" s="574">
        <f t="shared" si="46"/>
        <v>0</v>
      </c>
      <c r="AJ71" s="605">
        <f t="shared" si="47"/>
        <v>0</v>
      </c>
      <c r="AK71" s="574">
        <f t="shared" si="48"/>
        <v>0</v>
      </c>
      <c r="AL71" s="605">
        <f t="shared" si="49"/>
        <v>0</v>
      </c>
      <c r="AM71" s="574">
        <f t="shared" si="50"/>
        <v>0</v>
      </c>
      <c r="AN71" s="605" t="str">
        <f t="shared" si="51"/>
        <v>0-10%</v>
      </c>
      <c r="AO71" s="605">
        <f t="shared" si="52"/>
        <v>0</v>
      </c>
      <c r="AP71" s="574">
        <f t="shared" si="53"/>
        <v>0</v>
      </c>
      <c r="AQ71" s="574" t="str">
        <f t="shared" si="54"/>
        <v>yes</v>
      </c>
      <c r="AR71" s="574">
        <f t="shared" si="55"/>
        <v>1.38</v>
      </c>
      <c r="AS71" s="574">
        <f t="shared" si="56"/>
        <v>0</v>
      </c>
      <c r="AT71" s="574">
        <f t="shared" si="57"/>
        <v>0</v>
      </c>
      <c r="AU71" s="1123">
        <v>0</v>
      </c>
      <c r="AV71" s="635">
        <f t="shared" si="58"/>
        <v>0</v>
      </c>
      <c r="AW71" s="638"/>
      <c r="AX71" s="740">
        <v>0</v>
      </c>
      <c r="AY71" s="428">
        <v>0</v>
      </c>
      <c r="AZ71" s="428">
        <v>42</v>
      </c>
      <c r="BA71" s="473" t="s">
        <v>526</v>
      </c>
      <c r="BB71" s="548">
        <f t="shared" si="59"/>
        <v>0</v>
      </c>
      <c r="BC71" s="606">
        <f t="shared" si="60"/>
        <v>0</v>
      </c>
      <c r="BD71" s="548">
        <f t="shared" si="61"/>
        <v>0</v>
      </c>
      <c r="BE71" s="606">
        <f t="shared" si="62"/>
        <v>0</v>
      </c>
      <c r="BF71" s="549">
        <f t="shared" si="63"/>
        <v>0</v>
      </c>
      <c r="BG71" s="606">
        <f t="shared" si="64"/>
        <v>0</v>
      </c>
      <c r="BH71" s="600" t="s">
        <v>475</v>
      </c>
      <c r="BI71" s="600" t="s">
        <v>475</v>
      </c>
      <c r="BJ71" s="606">
        <f t="shared" si="65"/>
        <v>0</v>
      </c>
      <c r="BK71" s="606" t="str">
        <f t="shared" si="66"/>
        <v>n/a</v>
      </c>
      <c r="BL71" s="428" t="s">
        <v>475</v>
      </c>
      <c r="BM71" s="548" t="str">
        <f t="shared" si="67"/>
        <v>n/a</v>
      </c>
      <c r="BN71" s="606" t="str">
        <f t="shared" si="68"/>
        <v>n/a</v>
      </c>
      <c r="BO71" s="606" t="str">
        <f t="shared" si="69"/>
        <v>n/a</v>
      </c>
      <c r="BP71" s="578" t="s">
        <v>475</v>
      </c>
      <c r="BQ71" s="606" t="s">
        <v>475</v>
      </c>
      <c r="BR71" s="519" t="s">
        <v>475</v>
      </c>
      <c r="BS71" s="548" t="str">
        <f t="shared" si="70"/>
        <v>n/a</v>
      </c>
      <c r="BT71" s="607" t="str">
        <f t="shared" si="71"/>
        <v>n/a</v>
      </c>
      <c r="BU71" s="325">
        <v>1</v>
      </c>
      <c r="BV71" s="650" t="str">
        <f t="shared" si="72"/>
        <v>n/a</v>
      </c>
      <c r="BW71" s="325" t="s">
        <v>567</v>
      </c>
      <c r="BX71" s="602" t="s">
        <v>475</v>
      </c>
      <c r="BY71" s="1189"/>
      <c r="BZ71" s="1189"/>
      <c r="CA71" s="608" t="str">
        <f t="shared" si="73"/>
        <v>n/a</v>
      </c>
      <c r="CB71" s="428">
        <v>0</v>
      </c>
      <c r="CC71" s="428">
        <v>0</v>
      </c>
      <c r="CD71" s="609" t="str">
        <f t="shared" si="74"/>
        <v>n/a</v>
      </c>
      <c r="CE71" s="610" t="str">
        <f t="shared" si="75"/>
        <v>n/a</v>
      </c>
      <c r="CF71" s="609" t="str">
        <f t="shared" si="76"/>
        <v>n/a</v>
      </c>
      <c r="CG71" s="658" t="str">
        <f t="shared" si="77"/>
        <v>n/a</v>
      </c>
      <c r="CH71" s="328" t="s">
        <v>809</v>
      </c>
      <c r="CI71" s="330">
        <v>1</v>
      </c>
      <c r="CJ71" s="664">
        <f t="shared" si="78"/>
        <v>345</v>
      </c>
      <c r="CK71" s="328">
        <v>3</v>
      </c>
      <c r="CL71" s="611" t="s">
        <v>671</v>
      </c>
      <c r="CM71" s="428" t="s">
        <v>475</v>
      </c>
      <c r="CN71" s="428" t="s">
        <v>475</v>
      </c>
      <c r="CO71" s="428" t="s">
        <v>38</v>
      </c>
      <c r="CP71" s="570" t="s">
        <v>170</v>
      </c>
      <c r="CQ71" s="672"/>
      <c r="CS71" s="1069">
        <f t="shared" si="79"/>
        <v>0</v>
      </c>
      <c r="CT71" s="1069">
        <f t="shared" si="80"/>
        <v>0</v>
      </c>
      <c r="CU71" s="1066">
        <f t="shared" si="81"/>
        <v>0</v>
      </c>
      <c r="CV71" s="1066">
        <f t="shared" si="82"/>
        <v>0</v>
      </c>
      <c r="CW71" s="1082">
        <f t="shared" si="83"/>
        <v>0.86250000000000004</v>
      </c>
      <c r="CX71" s="1082">
        <f t="shared" si="84"/>
        <v>1.38</v>
      </c>
    </row>
    <row r="72" spans="1:102" s="322" customFormat="1" ht="21" customHeight="1">
      <c r="A72" s="358"/>
      <c r="B72" s="402" t="s">
        <v>817</v>
      </c>
      <c r="C72" s="603" t="s">
        <v>1055</v>
      </c>
      <c r="D72" s="603" t="s">
        <v>1056</v>
      </c>
      <c r="E72" s="1058" t="s">
        <v>1060</v>
      </c>
      <c r="F72" s="1083" t="s">
        <v>822</v>
      </c>
      <c r="G72" s="1051"/>
      <c r="H72" s="1051"/>
      <c r="I72" s="560" t="s">
        <v>33</v>
      </c>
      <c r="J72" s="560" t="s">
        <v>34</v>
      </c>
      <c r="K72" s="604" t="s">
        <v>607</v>
      </c>
      <c r="L72" s="585">
        <v>0</v>
      </c>
      <c r="M72" s="473">
        <v>0</v>
      </c>
      <c r="N72" s="714">
        <v>651</v>
      </c>
      <c r="O72" s="328"/>
      <c r="P72" s="718" t="str">
        <f t="shared" si="43"/>
        <v>2. Medium</v>
      </c>
      <c r="Q72" s="965" t="s">
        <v>926</v>
      </c>
      <c r="R72" s="1138"/>
      <c r="S72" s="622" t="s">
        <v>811</v>
      </c>
      <c r="T72" s="323" t="str">
        <f t="shared" si="44"/>
        <v>Covered</v>
      </c>
      <c r="U72" s="561">
        <v>42376</v>
      </c>
      <c r="V72" s="1143"/>
      <c r="W72" s="558" t="s">
        <v>152</v>
      </c>
      <c r="X72" s="627">
        <v>0</v>
      </c>
      <c r="Y72" s="473">
        <v>0</v>
      </c>
      <c r="Z72" s="617" t="s">
        <v>43</v>
      </c>
      <c r="AA72" s="627">
        <v>0</v>
      </c>
      <c r="AB72" s="736">
        <v>4</v>
      </c>
      <c r="AC72" s="473">
        <v>0</v>
      </c>
      <c r="AD72" s="473">
        <v>5</v>
      </c>
      <c r="AE72" s="617"/>
      <c r="AF72" s="599">
        <v>0</v>
      </c>
      <c r="AG72" s="325">
        <v>0</v>
      </c>
      <c r="AH72" s="630">
        <f t="shared" si="45"/>
        <v>1</v>
      </c>
      <c r="AI72" s="574">
        <f t="shared" si="46"/>
        <v>651</v>
      </c>
      <c r="AJ72" s="605">
        <f t="shared" si="47"/>
        <v>1</v>
      </c>
      <c r="AK72" s="574">
        <f t="shared" si="48"/>
        <v>651</v>
      </c>
      <c r="AL72" s="605">
        <f t="shared" si="49"/>
        <v>1</v>
      </c>
      <c r="AM72" s="574">
        <f t="shared" si="50"/>
        <v>651</v>
      </c>
      <c r="AN72" s="605" t="str">
        <f t="shared" si="51"/>
        <v>80-100%</v>
      </c>
      <c r="AO72" s="605">
        <f t="shared" si="52"/>
        <v>0</v>
      </c>
      <c r="AP72" s="574">
        <f t="shared" si="53"/>
        <v>0</v>
      </c>
      <c r="AQ72" s="574" t="str">
        <f t="shared" si="54"/>
        <v>yes</v>
      </c>
      <c r="AR72" s="574">
        <f t="shared" si="55"/>
        <v>0</v>
      </c>
      <c r="AS72" s="574">
        <f t="shared" si="56"/>
        <v>0</v>
      </c>
      <c r="AT72" s="574">
        <f t="shared" si="57"/>
        <v>0</v>
      </c>
      <c r="AU72" s="330">
        <v>1</v>
      </c>
      <c r="AV72" s="635">
        <f t="shared" si="58"/>
        <v>651</v>
      </c>
      <c r="AW72" s="1155" t="s">
        <v>884</v>
      </c>
      <c r="AX72" s="740">
        <v>0</v>
      </c>
      <c r="AY72" s="428">
        <v>10</v>
      </c>
      <c r="AZ72" s="428">
        <v>42</v>
      </c>
      <c r="BA72" s="473" t="s">
        <v>963</v>
      </c>
      <c r="BB72" s="548">
        <f t="shared" si="59"/>
        <v>0.64516129032258063</v>
      </c>
      <c r="BC72" s="606">
        <f t="shared" si="60"/>
        <v>420</v>
      </c>
      <c r="BD72" s="548">
        <f t="shared" si="61"/>
        <v>0.64516129032258063</v>
      </c>
      <c r="BE72" s="606">
        <f t="shared" si="62"/>
        <v>420</v>
      </c>
      <c r="BF72" s="549">
        <f t="shared" si="63"/>
        <v>0</v>
      </c>
      <c r="BG72" s="606">
        <f t="shared" si="64"/>
        <v>0</v>
      </c>
      <c r="BH72" s="600" t="s">
        <v>475</v>
      </c>
      <c r="BI72" s="600" t="s">
        <v>475</v>
      </c>
      <c r="BJ72" s="606">
        <f t="shared" si="65"/>
        <v>0</v>
      </c>
      <c r="BK72" s="606" t="str">
        <f t="shared" si="66"/>
        <v>n/a</v>
      </c>
      <c r="BL72" s="428" t="s">
        <v>475</v>
      </c>
      <c r="BM72" s="548" t="str">
        <f t="shared" si="67"/>
        <v>n/a</v>
      </c>
      <c r="BN72" s="606" t="str">
        <f t="shared" si="68"/>
        <v>n/a</v>
      </c>
      <c r="BO72" s="606" t="str">
        <f t="shared" si="69"/>
        <v>n/a</v>
      </c>
      <c r="BP72" s="428" t="s">
        <v>475</v>
      </c>
      <c r="BQ72" s="606" t="s">
        <v>475</v>
      </c>
      <c r="BR72" s="428" t="s">
        <v>475</v>
      </c>
      <c r="BS72" s="548" t="str">
        <f t="shared" si="70"/>
        <v>n/a</v>
      </c>
      <c r="BT72" s="607" t="str">
        <f t="shared" si="71"/>
        <v>n/a</v>
      </c>
      <c r="BU72" s="325">
        <v>0.7</v>
      </c>
      <c r="BV72" s="650" t="str">
        <f t="shared" si="72"/>
        <v>n/a</v>
      </c>
      <c r="BW72" s="1165" t="s">
        <v>891</v>
      </c>
      <c r="BX72" s="602" t="s">
        <v>475</v>
      </c>
      <c r="BY72" s="1189"/>
      <c r="BZ72" s="1189"/>
      <c r="CA72" s="608" t="str">
        <f t="shared" si="73"/>
        <v>n/a</v>
      </c>
      <c r="CB72" s="428">
        <v>0</v>
      </c>
      <c r="CC72" s="428">
        <v>0</v>
      </c>
      <c r="CD72" s="609" t="str">
        <f t="shared" si="74"/>
        <v>n/a</v>
      </c>
      <c r="CE72" s="610" t="str">
        <f t="shared" si="75"/>
        <v>n/a</v>
      </c>
      <c r="CF72" s="609" t="str">
        <f t="shared" si="76"/>
        <v>n/a</v>
      </c>
      <c r="CG72" s="658" t="str">
        <f t="shared" si="77"/>
        <v>n/a</v>
      </c>
      <c r="CH72" s="743" t="s">
        <v>893</v>
      </c>
      <c r="CI72" s="330">
        <v>0</v>
      </c>
      <c r="CJ72" s="664">
        <f t="shared" si="78"/>
        <v>0</v>
      </c>
      <c r="CK72" s="328">
        <v>0</v>
      </c>
      <c r="CL72" s="611" t="s">
        <v>671</v>
      </c>
      <c r="CM72" s="428" t="s">
        <v>475</v>
      </c>
      <c r="CN72" s="428" t="s">
        <v>475</v>
      </c>
      <c r="CO72" s="428" t="s">
        <v>38</v>
      </c>
      <c r="CP72" s="570" t="s">
        <v>170</v>
      </c>
      <c r="CQ72" s="1167" t="s">
        <v>894</v>
      </c>
      <c r="CS72" s="1069">
        <f t="shared" si="79"/>
        <v>1</v>
      </c>
      <c r="CT72" s="1069">
        <f t="shared" si="80"/>
        <v>1</v>
      </c>
      <c r="CU72" s="1066">
        <f t="shared" si="81"/>
        <v>1</v>
      </c>
      <c r="CV72" s="1066">
        <f t="shared" si="82"/>
        <v>1</v>
      </c>
      <c r="CW72" s="1082">
        <f t="shared" si="83"/>
        <v>0</v>
      </c>
      <c r="CX72" s="1082">
        <f t="shared" si="84"/>
        <v>0</v>
      </c>
    </row>
    <row r="73" spans="1:102" s="322" customFormat="1" ht="21" customHeight="1">
      <c r="A73" s="358"/>
      <c r="B73" s="402" t="s">
        <v>817</v>
      </c>
      <c r="C73" s="603" t="s">
        <v>1101</v>
      </c>
      <c r="D73" s="603" t="s">
        <v>1102</v>
      </c>
      <c r="E73" s="1058" t="s">
        <v>1103</v>
      </c>
      <c r="F73" s="1083" t="s">
        <v>847</v>
      </c>
      <c r="G73" s="1051"/>
      <c r="H73" s="1051"/>
      <c r="I73" s="560" t="s">
        <v>33</v>
      </c>
      <c r="J73" s="560" t="s">
        <v>34</v>
      </c>
      <c r="K73" s="604" t="s">
        <v>607</v>
      </c>
      <c r="L73" s="585">
        <v>0</v>
      </c>
      <c r="M73" s="473">
        <v>0</v>
      </c>
      <c r="N73" s="714">
        <v>710</v>
      </c>
      <c r="O73" s="328"/>
      <c r="P73" s="718" t="str">
        <f t="shared" si="43"/>
        <v>2. Medium</v>
      </c>
      <c r="Q73" s="965" t="s">
        <v>926</v>
      </c>
      <c r="R73" s="1138"/>
      <c r="S73" s="622" t="s">
        <v>811</v>
      </c>
      <c r="T73" s="323" t="str">
        <f t="shared" si="44"/>
        <v>Covered</v>
      </c>
      <c r="U73" s="561">
        <v>42376</v>
      </c>
      <c r="V73" s="1143"/>
      <c r="W73" s="558" t="s">
        <v>152</v>
      </c>
      <c r="X73" s="627">
        <v>0</v>
      </c>
      <c r="Y73" s="473">
        <v>0</v>
      </c>
      <c r="Z73" s="617" t="s">
        <v>43</v>
      </c>
      <c r="AA73" s="627">
        <v>0</v>
      </c>
      <c r="AB73" s="736">
        <v>1</v>
      </c>
      <c r="AC73" s="473">
        <v>0</v>
      </c>
      <c r="AD73" s="473">
        <v>2</v>
      </c>
      <c r="AE73" s="617"/>
      <c r="AF73" s="599">
        <v>0</v>
      </c>
      <c r="AG73" s="325">
        <v>0</v>
      </c>
      <c r="AH73" s="630">
        <f t="shared" si="45"/>
        <v>0.352112676056338</v>
      </c>
      <c r="AI73" s="574">
        <f t="shared" si="46"/>
        <v>249.99999999999997</v>
      </c>
      <c r="AJ73" s="605">
        <f t="shared" si="47"/>
        <v>0.352112676056338</v>
      </c>
      <c r="AK73" s="574">
        <f t="shared" si="48"/>
        <v>249.99999999999997</v>
      </c>
      <c r="AL73" s="605">
        <f t="shared" si="49"/>
        <v>0.352112676056338</v>
      </c>
      <c r="AM73" s="574">
        <f t="shared" si="50"/>
        <v>249.99999999999997</v>
      </c>
      <c r="AN73" s="605" t="str">
        <f t="shared" si="51"/>
        <v>30-45%</v>
      </c>
      <c r="AO73" s="605">
        <f t="shared" si="52"/>
        <v>0</v>
      </c>
      <c r="AP73" s="574">
        <f t="shared" si="53"/>
        <v>0</v>
      </c>
      <c r="AQ73" s="574" t="str">
        <f t="shared" si="54"/>
        <v>yes</v>
      </c>
      <c r="AR73" s="574">
        <f t="shared" si="55"/>
        <v>1.8399999999999999</v>
      </c>
      <c r="AS73" s="574">
        <f t="shared" si="56"/>
        <v>0</v>
      </c>
      <c r="AT73" s="574">
        <f t="shared" si="57"/>
        <v>0</v>
      </c>
      <c r="AU73" s="330">
        <v>0.9</v>
      </c>
      <c r="AV73" s="635">
        <f t="shared" si="58"/>
        <v>639</v>
      </c>
      <c r="AW73" s="1155" t="s">
        <v>884</v>
      </c>
      <c r="AX73" s="740">
        <v>0</v>
      </c>
      <c r="AY73" s="428">
        <v>0</v>
      </c>
      <c r="AZ73" s="428">
        <v>42</v>
      </c>
      <c r="BA73" s="473" t="s">
        <v>963</v>
      </c>
      <c r="BB73" s="548">
        <f t="shared" si="59"/>
        <v>0</v>
      </c>
      <c r="BC73" s="606">
        <f t="shared" si="60"/>
        <v>0</v>
      </c>
      <c r="BD73" s="548">
        <f t="shared" si="61"/>
        <v>0</v>
      </c>
      <c r="BE73" s="606">
        <f t="shared" si="62"/>
        <v>0</v>
      </c>
      <c r="BF73" s="549">
        <f t="shared" si="63"/>
        <v>0</v>
      </c>
      <c r="BG73" s="606">
        <f t="shared" si="64"/>
        <v>0</v>
      </c>
      <c r="BH73" s="600" t="s">
        <v>475</v>
      </c>
      <c r="BI73" s="600" t="s">
        <v>475</v>
      </c>
      <c r="BJ73" s="606">
        <f t="shared" si="65"/>
        <v>0</v>
      </c>
      <c r="BK73" s="606" t="str">
        <f t="shared" si="66"/>
        <v>n/a</v>
      </c>
      <c r="BL73" s="428" t="s">
        <v>475</v>
      </c>
      <c r="BM73" s="548" t="str">
        <f t="shared" si="67"/>
        <v>n/a</v>
      </c>
      <c r="BN73" s="606" t="str">
        <f t="shared" si="68"/>
        <v>n/a</v>
      </c>
      <c r="BO73" s="606" t="str">
        <f t="shared" si="69"/>
        <v>n/a</v>
      </c>
      <c r="BP73" s="428" t="s">
        <v>475</v>
      </c>
      <c r="BQ73" s="606" t="s">
        <v>475</v>
      </c>
      <c r="BR73" s="428" t="s">
        <v>475</v>
      </c>
      <c r="BS73" s="548" t="str">
        <f t="shared" si="70"/>
        <v>n/a</v>
      </c>
      <c r="BT73" s="607" t="str">
        <f t="shared" si="71"/>
        <v>n/a</v>
      </c>
      <c r="BU73" s="325">
        <v>0.7</v>
      </c>
      <c r="BV73" s="650" t="str">
        <f t="shared" si="72"/>
        <v>n/a</v>
      </c>
      <c r="BW73" s="1165" t="s">
        <v>891</v>
      </c>
      <c r="BX73" s="602" t="s">
        <v>475</v>
      </c>
      <c r="BY73" s="1189"/>
      <c r="BZ73" s="1189"/>
      <c r="CA73" s="608" t="str">
        <f t="shared" si="73"/>
        <v>n/a</v>
      </c>
      <c r="CB73" s="428">
        <v>0</v>
      </c>
      <c r="CC73" s="428">
        <v>0</v>
      </c>
      <c r="CD73" s="609" t="str">
        <f t="shared" si="74"/>
        <v>n/a</v>
      </c>
      <c r="CE73" s="610" t="str">
        <f t="shared" si="75"/>
        <v>n/a</v>
      </c>
      <c r="CF73" s="609" t="str">
        <f t="shared" si="76"/>
        <v>n/a</v>
      </c>
      <c r="CG73" s="658" t="str">
        <f t="shared" si="77"/>
        <v>n/a</v>
      </c>
      <c r="CH73" s="743" t="s">
        <v>893</v>
      </c>
      <c r="CI73" s="330">
        <v>0</v>
      </c>
      <c r="CJ73" s="664">
        <f t="shared" si="78"/>
        <v>0</v>
      </c>
      <c r="CK73" s="328">
        <v>0</v>
      </c>
      <c r="CL73" s="611" t="s">
        <v>671</v>
      </c>
      <c r="CM73" s="428" t="s">
        <v>475</v>
      </c>
      <c r="CN73" s="428" t="s">
        <v>475</v>
      </c>
      <c r="CO73" s="428" t="s">
        <v>38</v>
      </c>
      <c r="CP73" s="570" t="s">
        <v>170</v>
      </c>
      <c r="CQ73" s="1167" t="s">
        <v>894</v>
      </c>
      <c r="CS73" s="1069">
        <f t="shared" si="79"/>
        <v>0.70422535211267601</v>
      </c>
      <c r="CT73" s="1069">
        <f t="shared" si="80"/>
        <v>0.352112676056338</v>
      </c>
      <c r="CU73" s="1066">
        <f t="shared" si="81"/>
        <v>0.70422535211267601</v>
      </c>
      <c r="CV73" s="1066">
        <f t="shared" si="82"/>
        <v>0.352112676056338</v>
      </c>
      <c r="CW73" s="1082">
        <f t="shared" si="83"/>
        <v>0.77499999999999991</v>
      </c>
      <c r="CX73" s="1082">
        <f t="shared" si="84"/>
        <v>1.8399999999999999</v>
      </c>
    </row>
    <row r="74" spans="1:102" s="322" customFormat="1" ht="21" customHeight="1">
      <c r="A74" s="358"/>
      <c r="B74" s="402" t="s">
        <v>70</v>
      </c>
      <c r="C74" s="603"/>
      <c r="D74" s="603"/>
      <c r="E74" s="1052">
        <v>198645</v>
      </c>
      <c r="F74" s="402" t="s">
        <v>487</v>
      </c>
      <c r="G74" s="556">
        <v>93.699799999999996</v>
      </c>
      <c r="H74" s="556">
        <v>19.184200000000001</v>
      </c>
      <c r="I74" s="560" t="s">
        <v>33</v>
      </c>
      <c r="J74" s="560" t="s">
        <v>45</v>
      </c>
      <c r="K74" s="603" t="s">
        <v>508</v>
      </c>
      <c r="L74" s="428">
        <v>0</v>
      </c>
      <c r="M74" s="428">
        <v>0</v>
      </c>
      <c r="N74" s="570">
        <v>312</v>
      </c>
      <c r="O74" s="328" t="s">
        <v>983</v>
      </c>
      <c r="P74" s="718" t="str">
        <f t="shared" si="43"/>
        <v>1. Small</v>
      </c>
      <c r="Q74" s="965" t="s">
        <v>153</v>
      </c>
      <c r="R74" s="623"/>
      <c r="S74" s="620" t="s">
        <v>71</v>
      </c>
      <c r="T74" s="323" t="str">
        <f t="shared" si="44"/>
        <v>Covered</v>
      </c>
      <c r="U74" s="561">
        <v>42338</v>
      </c>
      <c r="V74" s="562"/>
      <c r="W74" s="558" t="s">
        <v>152</v>
      </c>
      <c r="X74" s="328">
        <v>0</v>
      </c>
      <c r="Y74" s="428">
        <v>0</v>
      </c>
      <c r="Z74" s="570" t="s">
        <v>43</v>
      </c>
      <c r="AA74" s="328">
        <v>2</v>
      </c>
      <c r="AB74" s="428">
        <v>0</v>
      </c>
      <c r="AC74" s="428">
        <v>0</v>
      </c>
      <c r="AD74" s="428">
        <v>5</v>
      </c>
      <c r="AE74" s="570"/>
      <c r="AF74" s="329">
        <v>0</v>
      </c>
      <c r="AG74" s="330">
        <v>0</v>
      </c>
      <c r="AH74" s="630">
        <f t="shared" si="45"/>
        <v>1</v>
      </c>
      <c r="AI74" s="574">
        <f t="shared" si="46"/>
        <v>312</v>
      </c>
      <c r="AJ74" s="605">
        <f t="shared" si="47"/>
        <v>1</v>
      </c>
      <c r="AK74" s="574">
        <f t="shared" si="48"/>
        <v>312</v>
      </c>
      <c r="AL74" s="605">
        <f t="shared" si="49"/>
        <v>1</v>
      </c>
      <c r="AM74" s="574">
        <f t="shared" si="50"/>
        <v>312</v>
      </c>
      <c r="AN74" s="605" t="str">
        <f t="shared" si="51"/>
        <v>80-100%</v>
      </c>
      <c r="AO74" s="605">
        <f t="shared" si="52"/>
        <v>0</v>
      </c>
      <c r="AP74" s="574">
        <f t="shared" si="53"/>
        <v>0</v>
      </c>
      <c r="AQ74" s="574" t="str">
        <f t="shared" si="54"/>
        <v>yes</v>
      </c>
      <c r="AR74" s="574">
        <f t="shared" si="55"/>
        <v>0</v>
      </c>
      <c r="AS74" s="574">
        <f t="shared" si="56"/>
        <v>0</v>
      </c>
      <c r="AT74" s="574">
        <f t="shared" si="57"/>
        <v>0</v>
      </c>
      <c r="AU74" s="589">
        <v>1</v>
      </c>
      <c r="AV74" s="635">
        <f t="shared" si="58"/>
        <v>312</v>
      </c>
      <c r="AW74" s="636"/>
      <c r="AX74" s="740">
        <v>0</v>
      </c>
      <c r="AY74" s="428">
        <v>37</v>
      </c>
      <c r="AZ74" s="428">
        <v>6</v>
      </c>
      <c r="BA74" s="473" t="s">
        <v>963</v>
      </c>
      <c r="BB74" s="548">
        <f t="shared" si="59"/>
        <v>0.71153846153846156</v>
      </c>
      <c r="BC74" s="606">
        <f t="shared" si="60"/>
        <v>222</v>
      </c>
      <c r="BD74" s="548">
        <f t="shared" si="61"/>
        <v>0.71153846153846156</v>
      </c>
      <c r="BE74" s="606">
        <f t="shared" si="62"/>
        <v>222</v>
      </c>
      <c r="BF74" s="549">
        <f t="shared" si="63"/>
        <v>0</v>
      </c>
      <c r="BG74" s="606">
        <f t="shared" si="64"/>
        <v>0</v>
      </c>
      <c r="BH74" s="428" t="s">
        <v>475</v>
      </c>
      <c r="BI74" s="429">
        <v>1</v>
      </c>
      <c r="BJ74" s="606">
        <f t="shared" ref="BJ74:BJ108" si="85">BI74*N74</f>
        <v>312</v>
      </c>
      <c r="BK74" s="606" t="str">
        <f t="shared" si="66"/>
        <v>n/a</v>
      </c>
      <c r="BL74" s="428" t="s">
        <v>475</v>
      </c>
      <c r="BM74" s="548" t="str">
        <f t="shared" si="67"/>
        <v>n/a</v>
      </c>
      <c r="BN74" s="606" t="str">
        <f t="shared" si="68"/>
        <v>n/a</v>
      </c>
      <c r="BO74" s="606" t="str">
        <f t="shared" si="69"/>
        <v>n/a</v>
      </c>
      <c r="BP74" s="578" t="s">
        <v>475</v>
      </c>
      <c r="BQ74" s="606" t="s">
        <v>475</v>
      </c>
      <c r="BR74" s="519" t="s">
        <v>475</v>
      </c>
      <c r="BS74" s="548" t="str">
        <f t="shared" si="70"/>
        <v>n/a</v>
      </c>
      <c r="BT74" s="607" t="str">
        <f t="shared" si="71"/>
        <v>n/a</v>
      </c>
      <c r="BU74" s="651" t="s">
        <v>475</v>
      </c>
      <c r="BV74" s="650" t="str">
        <f t="shared" si="72"/>
        <v>n/a</v>
      </c>
      <c r="BW74" s="325" t="s">
        <v>512</v>
      </c>
      <c r="BX74" s="430" t="s">
        <v>475</v>
      </c>
      <c r="BY74" s="1190"/>
      <c r="BZ74" s="1190"/>
      <c r="CA74" s="608" t="str">
        <f t="shared" si="73"/>
        <v>n/a</v>
      </c>
      <c r="CB74" s="428"/>
      <c r="CC74" s="428"/>
      <c r="CD74" s="609" t="str">
        <f t="shared" si="74"/>
        <v>n/a</v>
      </c>
      <c r="CE74" s="610" t="str">
        <f t="shared" si="75"/>
        <v>n/a</v>
      </c>
      <c r="CF74" s="609" t="str">
        <f t="shared" si="76"/>
        <v>n/a</v>
      </c>
      <c r="CG74" s="658" t="str">
        <f t="shared" si="77"/>
        <v>n/a</v>
      </c>
      <c r="CH74" s="328"/>
      <c r="CI74" s="330">
        <v>0</v>
      </c>
      <c r="CJ74" s="664">
        <f t="shared" si="78"/>
        <v>0</v>
      </c>
      <c r="CK74" s="328">
        <v>2</v>
      </c>
      <c r="CL74" s="611" t="str">
        <f t="shared" ref="CL74:CL86" si="86">IF(CK74=0,"No coverage",IF(N74/CK74&gt;1000,"Low coverage",IF(N74/CK74&gt;750,"Average coverage",IF(N74/CK74&gt;500,"Good coverage","Excellent coverage"))))</f>
        <v>Excellent coverage</v>
      </c>
      <c r="CM74" s="428" t="s">
        <v>38</v>
      </c>
      <c r="CN74" s="428" t="s">
        <v>475</v>
      </c>
      <c r="CO74" s="428" t="s">
        <v>41</v>
      </c>
      <c r="CP74" s="570" t="s">
        <v>41</v>
      </c>
      <c r="CQ74" s="666" t="s">
        <v>745</v>
      </c>
      <c r="CS74" s="1069">
        <f t="shared" si="79"/>
        <v>1</v>
      </c>
      <c r="CT74" s="1069">
        <f t="shared" si="80"/>
        <v>1</v>
      </c>
      <c r="CU74" s="1066">
        <f t="shared" si="81"/>
        <v>1</v>
      </c>
      <c r="CV74" s="1066">
        <f t="shared" si="82"/>
        <v>1</v>
      </c>
      <c r="CW74" s="1082">
        <f t="shared" si="83"/>
        <v>0</v>
      </c>
      <c r="CX74" s="1082">
        <f t="shared" si="84"/>
        <v>0</v>
      </c>
    </row>
    <row r="75" spans="1:102" s="322" customFormat="1" ht="21" customHeight="1">
      <c r="A75" s="358"/>
      <c r="B75" s="402" t="s">
        <v>70</v>
      </c>
      <c r="C75" s="603"/>
      <c r="D75" s="603"/>
      <c r="E75" s="1052">
        <v>198647</v>
      </c>
      <c r="F75" s="402" t="s">
        <v>707</v>
      </c>
      <c r="G75" s="556">
        <v>93.733699999999999</v>
      </c>
      <c r="H75" s="556">
        <v>19.189399999999999</v>
      </c>
      <c r="I75" s="560" t="s">
        <v>33</v>
      </c>
      <c r="J75" s="560" t="s">
        <v>45</v>
      </c>
      <c r="K75" s="604" t="s">
        <v>508</v>
      </c>
      <c r="L75" s="428">
        <v>0</v>
      </c>
      <c r="M75" s="428">
        <v>0</v>
      </c>
      <c r="N75" s="570">
        <v>689</v>
      </c>
      <c r="O75" s="328" t="s">
        <v>983</v>
      </c>
      <c r="P75" s="718" t="str">
        <f t="shared" si="43"/>
        <v>2. Medium</v>
      </c>
      <c r="Q75" s="965" t="s">
        <v>153</v>
      </c>
      <c r="R75" s="623"/>
      <c r="S75" s="620" t="s">
        <v>71</v>
      </c>
      <c r="T75" s="323" t="str">
        <f t="shared" si="44"/>
        <v>Covered</v>
      </c>
      <c r="U75" s="561">
        <v>42338</v>
      </c>
      <c r="V75" s="562"/>
      <c r="W75" s="558" t="s">
        <v>152</v>
      </c>
      <c r="X75" s="328">
        <v>0</v>
      </c>
      <c r="Y75" s="428">
        <v>0</v>
      </c>
      <c r="Z75" s="570" t="s">
        <v>43</v>
      </c>
      <c r="AA75" s="328">
        <v>3</v>
      </c>
      <c r="AB75" s="428">
        <v>0</v>
      </c>
      <c r="AC75" s="428">
        <v>0</v>
      </c>
      <c r="AD75" s="428">
        <v>1</v>
      </c>
      <c r="AE75" s="570"/>
      <c r="AF75" s="329">
        <v>0</v>
      </c>
      <c r="AG75" s="330">
        <v>0</v>
      </c>
      <c r="AH75" s="630">
        <f t="shared" si="45"/>
        <v>1</v>
      </c>
      <c r="AI75" s="574">
        <f t="shared" si="46"/>
        <v>689</v>
      </c>
      <c r="AJ75" s="605">
        <f t="shared" si="47"/>
        <v>1</v>
      </c>
      <c r="AK75" s="574">
        <f t="shared" si="48"/>
        <v>689</v>
      </c>
      <c r="AL75" s="605">
        <f t="shared" si="49"/>
        <v>1</v>
      </c>
      <c r="AM75" s="574">
        <f t="shared" si="50"/>
        <v>689</v>
      </c>
      <c r="AN75" s="605" t="str">
        <f t="shared" si="51"/>
        <v>80-100%</v>
      </c>
      <c r="AO75" s="605">
        <f t="shared" si="52"/>
        <v>0</v>
      </c>
      <c r="AP75" s="574">
        <f t="shared" si="53"/>
        <v>0</v>
      </c>
      <c r="AQ75" s="574" t="str">
        <f t="shared" si="54"/>
        <v>yes</v>
      </c>
      <c r="AR75" s="574">
        <f t="shared" si="55"/>
        <v>0</v>
      </c>
      <c r="AS75" s="574">
        <f t="shared" si="56"/>
        <v>0</v>
      </c>
      <c r="AT75" s="574">
        <f t="shared" si="57"/>
        <v>0</v>
      </c>
      <c r="AU75" s="589">
        <v>1</v>
      </c>
      <c r="AV75" s="635">
        <f t="shared" si="58"/>
        <v>689</v>
      </c>
      <c r="AW75" s="636"/>
      <c r="AX75" s="740">
        <v>0</v>
      </c>
      <c r="AY75" s="428">
        <v>16</v>
      </c>
      <c r="AZ75" s="428">
        <v>6</v>
      </c>
      <c r="BA75" s="473" t="s">
        <v>963</v>
      </c>
      <c r="BB75" s="548">
        <f t="shared" si="59"/>
        <v>0.13933236574746008</v>
      </c>
      <c r="BC75" s="606">
        <f t="shared" si="60"/>
        <v>96</v>
      </c>
      <c r="BD75" s="548">
        <f t="shared" si="61"/>
        <v>0.13933236574746008</v>
      </c>
      <c r="BE75" s="606">
        <f t="shared" si="62"/>
        <v>96</v>
      </c>
      <c r="BF75" s="549">
        <f t="shared" si="63"/>
        <v>0</v>
      </c>
      <c r="BG75" s="606">
        <f t="shared" si="64"/>
        <v>0</v>
      </c>
      <c r="BH75" s="428" t="s">
        <v>475</v>
      </c>
      <c r="BI75" s="429">
        <v>1</v>
      </c>
      <c r="BJ75" s="606">
        <f t="shared" si="85"/>
        <v>689</v>
      </c>
      <c r="BK75" s="606" t="str">
        <f t="shared" si="66"/>
        <v>n/a</v>
      </c>
      <c r="BL75" s="428" t="s">
        <v>475</v>
      </c>
      <c r="BM75" s="548" t="str">
        <f t="shared" si="67"/>
        <v>n/a</v>
      </c>
      <c r="BN75" s="606" t="str">
        <f t="shared" si="68"/>
        <v>n/a</v>
      </c>
      <c r="BO75" s="606" t="str">
        <f t="shared" si="69"/>
        <v>n/a</v>
      </c>
      <c r="BP75" s="578" t="s">
        <v>475</v>
      </c>
      <c r="BQ75" s="606" t="s">
        <v>475</v>
      </c>
      <c r="BR75" s="519" t="s">
        <v>475</v>
      </c>
      <c r="BS75" s="548" t="str">
        <f t="shared" si="70"/>
        <v>n/a</v>
      </c>
      <c r="BT75" s="607" t="str">
        <f t="shared" si="71"/>
        <v>n/a</v>
      </c>
      <c r="BU75" s="651" t="s">
        <v>475</v>
      </c>
      <c r="BV75" s="650" t="str">
        <f t="shared" si="72"/>
        <v>n/a</v>
      </c>
      <c r="BW75" s="325" t="s">
        <v>742</v>
      </c>
      <c r="BX75" s="430" t="s">
        <v>475</v>
      </c>
      <c r="BY75" s="1190"/>
      <c r="BZ75" s="1190"/>
      <c r="CA75" s="608" t="str">
        <f t="shared" si="73"/>
        <v>n/a</v>
      </c>
      <c r="CB75" s="428"/>
      <c r="CC75" s="428"/>
      <c r="CD75" s="609" t="str">
        <f t="shared" si="74"/>
        <v>n/a</v>
      </c>
      <c r="CE75" s="610" t="str">
        <f t="shared" si="75"/>
        <v>n/a</v>
      </c>
      <c r="CF75" s="609" t="str">
        <f t="shared" si="76"/>
        <v>n/a</v>
      </c>
      <c r="CG75" s="658" t="str">
        <f t="shared" si="77"/>
        <v>n/a</v>
      </c>
      <c r="CH75" s="328"/>
      <c r="CI75" s="330">
        <v>0</v>
      </c>
      <c r="CJ75" s="664">
        <f t="shared" si="78"/>
        <v>0</v>
      </c>
      <c r="CK75" s="328">
        <v>2</v>
      </c>
      <c r="CL75" s="611" t="str">
        <f t="shared" si="86"/>
        <v>Excellent coverage</v>
      </c>
      <c r="CM75" s="428" t="s">
        <v>38</v>
      </c>
      <c r="CN75" s="428" t="s">
        <v>475</v>
      </c>
      <c r="CO75" s="428" t="s">
        <v>41</v>
      </c>
      <c r="CP75" s="570" t="s">
        <v>41</v>
      </c>
      <c r="CQ75" s="666" t="s">
        <v>745</v>
      </c>
      <c r="CS75" s="1069">
        <f t="shared" si="79"/>
        <v>1</v>
      </c>
      <c r="CT75" s="1069">
        <f t="shared" si="80"/>
        <v>1</v>
      </c>
      <c r="CU75" s="1066">
        <f t="shared" si="81"/>
        <v>1</v>
      </c>
      <c r="CV75" s="1066">
        <f t="shared" si="82"/>
        <v>1</v>
      </c>
      <c r="CW75" s="1082">
        <f t="shared" si="83"/>
        <v>0</v>
      </c>
      <c r="CX75" s="1082">
        <f t="shared" si="84"/>
        <v>0</v>
      </c>
    </row>
    <row r="76" spans="1:102" s="322" customFormat="1" ht="21" customHeight="1">
      <c r="A76" s="358"/>
      <c r="B76" s="402" t="s">
        <v>70</v>
      </c>
      <c r="C76" s="603"/>
      <c r="D76" s="603"/>
      <c r="E76" s="1052" t="s">
        <v>382</v>
      </c>
      <c r="F76" s="402" t="s">
        <v>509</v>
      </c>
      <c r="G76" s="556">
        <v>93.552452000000002</v>
      </c>
      <c r="H76" s="556">
        <v>19.421102000000001</v>
      </c>
      <c r="I76" s="560" t="s">
        <v>44</v>
      </c>
      <c r="J76" s="560" t="s">
        <v>45</v>
      </c>
      <c r="K76" s="604" t="s">
        <v>640</v>
      </c>
      <c r="L76" s="428">
        <v>65</v>
      </c>
      <c r="M76" s="428">
        <v>327</v>
      </c>
      <c r="N76" s="570">
        <v>327</v>
      </c>
      <c r="O76" s="328" t="s">
        <v>983</v>
      </c>
      <c r="P76" s="718" t="str">
        <f t="shared" si="43"/>
        <v>2. Medium</v>
      </c>
      <c r="Q76" s="965" t="s">
        <v>153</v>
      </c>
      <c r="R76" s="623" t="s">
        <v>301</v>
      </c>
      <c r="S76" s="620" t="s">
        <v>71</v>
      </c>
      <c r="T76" s="323" t="str">
        <f t="shared" si="44"/>
        <v>Covered</v>
      </c>
      <c r="U76" s="561">
        <v>42338</v>
      </c>
      <c r="V76" s="562"/>
      <c r="W76" s="558" t="s">
        <v>152</v>
      </c>
      <c r="X76" s="328">
        <v>0</v>
      </c>
      <c r="Y76" s="428">
        <v>0</v>
      </c>
      <c r="Z76" s="570" t="s">
        <v>43</v>
      </c>
      <c r="AA76" s="328">
        <v>3</v>
      </c>
      <c r="AB76" s="428">
        <v>0</v>
      </c>
      <c r="AC76" s="428">
        <v>2</v>
      </c>
      <c r="AD76" s="428">
        <v>0</v>
      </c>
      <c r="AE76" s="570"/>
      <c r="AF76" s="329">
        <v>1</v>
      </c>
      <c r="AG76" s="330">
        <v>0</v>
      </c>
      <c r="AH76" s="630">
        <f t="shared" si="45"/>
        <v>1</v>
      </c>
      <c r="AI76" s="574">
        <f t="shared" si="46"/>
        <v>327</v>
      </c>
      <c r="AJ76" s="605">
        <f t="shared" si="47"/>
        <v>1</v>
      </c>
      <c r="AK76" s="574">
        <f t="shared" si="48"/>
        <v>327</v>
      </c>
      <c r="AL76" s="605">
        <f t="shared" si="49"/>
        <v>1</v>
      </c>
      <c r="AM76" s="574">
        <f t="shared" si="50"/>
        <v>327</v>
      </c>
      <c r="AN76" s="605" t="str">
        <f t="shared" si="51"/>
        <v>80-100%</v>
      </c>
      <c r="AO76" s="605">
        <f t="shared" si="52"/>
        <v>0</v>
      </c>
      <c r="AP76" s="574">
        <f t="shared" si="53"/>
        <v>0</v>
      </c>
      <c r="AQ76" s="574" t="str">
        <f t="shared" si="54"/>
        <v>no</v>
      </c>
      <c r="AR76" s="574">
        <f t="shared" si="55"/>
        <v>0</v>
      </c>
      <c r="AS76" s="574">
        <f t="shared" si="56"/>
        <v>0</v>
      </c>
      <c r="AT76" s="574">
        <f t="shared" si="57"/>
        <v>327</v>
      </c>
      <c r="AU76" s="589">
        <v>1</v>
      </c>
      <c r="AV76" s="635">
        <f t="shared" si="58"/>
        <v>327</v>
      </c>
      <c r="AW76" s="636" t="s">
        <v>410</v>
      </c>
      <c r="AX76" s="740">
        <v>0</v>
      </c>
      <c r="AY76" s="428">
        <v>8</v>
      </c>
      <c r="AZ76" s="428">
        <v>20</v>
      </c>
      <c r="BA76" s="473" t="s">
        <v>960</v>
      </c>
      <c r="BB76" s="548">
        <f t="shared" si="59"/>
        <v>0.4892966360856269</v>
      </c>
      <c r="BC76" s="606">
        <f t="shared" si="60"/>
        <v>160</v>
      </c>
      <c r="BD76" s="548">
        <f t="shared" si="61"/>
        <v>0.4892966360856269</v>
      </c>
      <c r="BE76" s="606">
        <f t="shared" si="62"/>
        <v>160</v>
      </c>
      <c r="BF76" s="549">
        <f t="shared" si="63"/>
        <v>0</v>
      </c>
      <c r="BG76" s="606">
        <f t="shared" si="64"/>
        <v>0</v>
      </c>
      <c r="BH76" s="428" t="s">
        <v>475</v>
      </c>
      <c r="BI76" s="429">
        <v>1</v>
      </c>
      <c r="BJ76" s="606">
        <f t="shared" si="85"/>
        <v>327</v>
      </c>
      <c r="BK76" s="606">
        <f t="shared" si="66"/>
        <v>8.3500000000000014</v>
      </c>
      <c r="BL76" s="428">
        <v>1</v>
      </c>
      <c r="BM76" s="548">
        <f t="shared" si="67"/>
        <v>1.7125382262996942E-2</v>
      </c>
      <c r="BN76" s="606">
        <f t="shared" si="68"/>
        <v>5.6</v>
      </c>
      <c r="BO76" s="606">
        <f t="shared" si="69"/>
        <v>57.392857142857146</v>
      </c>
      <c r="BP76" s="578">
        <v>1</v>
      </c>
      <c r="BQ76" s="606">
        <v>318</v>
      </c>
      <c r="BR76" s="519">
        <v>12</v>
      </c>
      <c r="BS76" s="548">
        <f t="shared" si="70"/>
        <v>1</v>
      </c>
      <c r="BT76" s="607">
        <f t="shared" si="71"/>
        <v>0</v>
      </c>
      <c r="BU76" s="651">
        <v>1</v>
      </c>
      <c r="BV76" s="650">
        <f t="shared" si="72"/>
        <v>327</v>
      </c>
      <c r="BW76" s="325" t="s">
        <v>741</v>
      </c>
      <c r="BX76" s="430">
        <v>42029</v>
      </c>
      <c r="BY76" s="1190"/>
      <c r="BZ76" s="1190"/>
      <c r="CA76" s="608">
        <f t="shared" si="73"/>
        <v>42394</v>
      </c>
      <c r="CB76" s="428">
        <v>65</v>
      </c>
      <c r="CC76" s="428">
        <v>1</v>
      </c>
      <c r="CD76" s="609">
        <f t="shared" si="74"/>
        <v>0</v>
      </c>
      <c r="CE76" s="610">
        <f t="shared" si="75"/>
        <v>1</v>
      </c>
      <c r="CF76" s="609">
        <f t="shared" si="76"/>
        <v>327</v>
      </c>
      <c r="CG76" s="658">
        <f t="shared" si="77"/>
        <v>7</v>
      </c>
      <c r="CH76" s="328" t="s">
        <v>743</v>
      </c>
      <c r="CI76" s="330">
        <v>0.75</v>
      </c>
      <c r="CJ76" s="664">
        <f t="shared" si="78"/>
        <v>245.25</v>
      </c>
      <c r="CK76" s="328">
        <v>11</v>
      </c>
      <c r="CL76" s="611" t="str">
        <f t="shared" si="86"/>
        <v>Excellent coverage</v>
      </c>
      <c r="CM76" s="428" t="s">
        <v>41</v>
      </c>
      <c r="CN76" s="428" t="s">
        <v>43</v>
      </c>
      <c r="CO76" s="428" t="s">
        <v>41</v>
      </c>
      <c r="CP76" s="570" t="s">
        <v>41</v>
      </c>
      <c r="CQ76" s="666" t="s">
        <v>744</v>
      </c>
      <c r="CS76" s="1069">
        <f t="shared" si="79"/>
        <v>1</v>
      </c>
      <c r="CT76" s="1069">
        <f t="shared" si="80"/>
        <v>1</v>
      </c>
      <c r="CU76" s="1066">
        <f t="shared" si="81"/>
        <v>1</v>
      </c>
      <c r="CV76" s="1066">
        <f t="shared" si="82"/>
        <v>1</v>
      </c>
      <c r="CW76" s="1082">
        <f t="shared" si="83"/>
        <v>0</v>
      </c>
      <c r="CX76" s="1082">
        <f t="shared" si="84"/>
        <v>0</v>
      </c>
    </row>
    <row r="77" spans="1:102" s="322" customFormat="1" ht="21" customHeight="1">
      <c r="A77" s="358"/>
      <c r="B77" s="402" t="s">
        <v>70</v>
      </c>
      <c r="C77" s="603"/>
      <c r="D77" s="603"/>
      <c r="E77" s="1052">
        <v>198611</v>
      </c>
      <c r="F77" s="402" t="s">
        <v>708</v>
      </c>
      <c r="G77" s="556">
        <v>93.596400000000003</v>
      </c>
      <c r="H77" s="556">
        <v>19.175699999999999</v>
      </c>
      <c r="I77" s="560" t="s">
        <v>33</v>
      </c>
      <c r="J77" s="560" t="s">
        <v>45</v>
      </c>
      <c r="K77" s="604" t="s">
        <v>508</v>
      </c>
      <c r="L77" s="428">
        <v>0</v>
      </c>
      <c r="M77" s="428">
        <v>0</v>
      </c>
      <c r="N77" s="570">
        <v>497</v>
      </c>
      <c r="O77" s="328" t="s">
        <v>983</v>
      </c>
      <c r="P77" s="718" t="str">
        <f t="shared" si="43"/>
        <v>1. Small</v>
      </c>
      <c r="Q77" s="965" t="s">
        <v>153</v>
      </c>
      <c r="R77" s="623"/>
      <c r="S77" s="620" t="s">
        <v>71</v>
      </c>
      <c r="T77" s="323" t="str">
        <f t="shared" si="44"/>
        <v>Covered</v>
      </c>
      <c r="U77" s="561">
        <v>42338</v>
      </c>
      <c r="V77" s="562"/>
      <c r="W77" s="558" t="s">
        <v>152</v>
      </c>
      <c r="X77" s="328">
        <v>0</v>
      </c>
      <c r="Y77" s="428">
        <v>0</v>
      </c>
      <c r="Z77" s="570" t="s">
        <v>43</v>
      </c>
      <c r="AA77" s="328">
        <v>7</v>
      </c>
      <c r="AB77" s="428">
        <v>0</v>
      </c>
      <c r="AC77" s="428">
        <v>0</v>
      </c>
      <c r="AD77" s="428">
        <v>1</v>
      </c>
      <c r="AE77" s="570"/>
      <c r="AF77" s="329">
        <v>0</v>
      </c>
      <c r="AG77" s="330">
        <v>0</v>
      </c>
      <c r="AH77" s="630">
        <f t="shared" si="45"/>
        <v>1</v>
      </c>
      <c r="AI77" s="574">
        <f t="shared" si="46"/>
        <v>497</v>
      </c>
      <c r="AJ77" s="605">
        <f t="shared" si="47"/>
        <v>1</v>
      </c>
      <c r="AK77" s="574">
        <f t="shared" si="48"/>
        <v>497</v>
      </c>
      <c r="AL77" s="605">
        <f t="shared" si="49"/>
        <v>1</v>
      </c>
      <c r="AM77" s="574">
        <f t="shared" si="50"/>
        <v>497</v>
      </c>
      <c r="AN77" s="605" t="str">
        <f t="shared" si="51"/>
        <v>80-100%</v>
      </c>
      <c r="AO77" s="605">
        <f t="shared" si="52"/>
        <v>0</v>
      </c>
      <c r="AP77" s="574">
        <f t="shared" si="53"/>
        <v>0</v>
      </c>
      <c r="AQ77" s="574" t="str">
        <f t="shared" si="54"/>
        <v>yes</v>
      </c>
      <c r="AR77" s="574">
        <f t="shared" si="55"/>
        <v>0</v>
      </c>
      <c r="AS77" s="574">
        <f t="shared" si="56"/>
        <v>0</v>
      </c>
      <c r="AT77" s="574">
        <f t="shared" si="57"/>
        <v>0</v>
      </c>
      <c r="AU77" s="589">
        <v>1</v>
      </c>
      <c r="AV77" s="635">
        <f t="shared" si="58"/>
        <v>497</v>
      </c>
      <c r="AW77" s="636"/>
      <c r="AX77" s="740">
        <v>0</v>
      </c>
      <c r="AY77" s="428">
        <v>25</v>
      </c>
      <c r="AZ77" s="428">
        <v>6</v>
      </c>
      <c r="BA77" s="473" t="s">
        <v>963</v>
      </c>
      <c r="BB77" s="548">
        <f t="shared" si="59"/>
        <v>0.30181086519114686</v>
      </c>
      <c r="BC77" s="606">
        <f t="shared" si="60"/>
        <v>150</v>
      </c>
      <c r="BD77" s="548">
        <f t="shared" si="61"/>
        <v>0.30181086519114686</v>
      </c>
      <c r="BE77" s="606">
        <f t="shared" si="62"/>
        <v>150</v>
      </c>
      <c r="BF77" s="549">
        <f t="shared" si="63"/>
        <v>0</v>
      </c>
      <c r="BG77" s="606">
        <f t="shared" si="64"/>
        <v>0</v>
      </c>
      <c r="BH77" s="428" t="s">
        <v>475</v>
      </c>
      <c r="BI77" s="429">
        <v>1</v>
      </c>
      <c r="BJ77" s="606">
        <f t="shared" si="85"/>
        <v>497</v>
      </c>
      <c r="BK77" s="606" t="str">
        <f t="shared" si="66"/>
        <v>n/a</v>
      </c>
      <c r="BL77" s="428" t="s">
        <v>475</v>
      </c>
      <c r="BM77" s="548" t="str">
        <f t="shared" si="67"/>
        <v>n/a</v>
      </c>
      <c r="BN77" s="606" t="str">
        <f t="shared" si="68"/>
        <v>n/a</v>
      </c>
      <c r="BO77" s="606" t="str">
        <f t="shared" si="69"/>
        <v>n/a</v>
      </c>
      <c r="BP77" s="578" t="s">
        <v>475</v>
      </c>
      <c r="BQ77" s="606" t="s">
        <v>475</v>
      </c>
      <c r="BR77" s="519" t="s">
        <v>475</v>
      </c>
      <c r="BS77" s="548" t="str">
        <f t="shared" si="70"/>
        <v>n/a</v>
      </c>
      <c r="BT77" s="607" t="str">
        <f t="shared" si="71"/>
        <v>n/a</v>
      </c>
      <c r="BU77" s="651" t="s">
        <v>475</v>
      </c>
      <c r="BV77" s="650" t="str">
        <f t="shared" si="72"/>
        <v>n/a</v>
      </c>
      <c r="BW77" s="325" t="s">
        <v>742</v>
      </c>
      <c r="BX77" s="430" t="s">
        <v>475</v>
      </c>
      <c r="BY77" s="1190"/>
      <c r="BZ77" s="1190"/>
      <c r="CA77" s="608" t="str">
        <f t="shared" si="73"/>
        <v>n/a</v>
      </c>
      <c r="CB77" s="428"/>
      <c r="CC77" s="428"/>
      <c r="CD77" s="609" t="str">
        <f t="shared" si="74"/>
        <v>n/a</v>
      </c>
      <c r="CE77" s="610" t="str">
        <f t="shared" si="75"/>
        <v>n/a</v>
      </c>
      <c r="CF77" s="609" t="str">
        <f t="shared" si="76"/>
        <v>n/a</v>
      </c>
      <c r="CG77" s="658" t="str">
        <f t="shared" si="77"/>
        <v>n/a</v>
      </c>
      <c r="CH77" s="328"/>
      <c r="CI77" s="330">
        <v>0</v>
      </c>
      <c r="CJ77" s="664">
        <f t="shared" si="78"/>
        <v>0</v>
      </c>
      <c r="CK77" s="328">
        <v>2</v>
      </c>
      <c r="CL77" s="611" t="str">
        <f t="shared" si="86"/>
        <v>Excellent coverage</v>
      </c>
      <c r="CM77" s="428" t="s">
        <v>38</v>
      </c>
      <c r="CN77" s="428" t="s">
        <v>475</v>
      </c>
      <c r="CO77" s="428" t="s">
        <v>41</v>
      </c>
      <c r="CP77" s="570" t="s">
        <v>41</v>
      </c>
      <c r="CQ77" s="666" t="s">
        <v>745</v>
      </c>
      <c r="CS77" s="1069">
        <f t="shared" si="79"/>
        <v>1</v>
      </c>
      <c r="CT77" s="1069">
        <f t="shared" si="80"/>
        <v>1</v>
      </c>
      <c r="CU77" s="1066">
        <f t="shared" si="81"/>
        <v>1</v>
      </c>
      <c r="CV77" s="1066">
        <f t="shared" si="82"/>
        <v>1</v>
      </c>
      <c r="CW77" s="1082">
        <f t="shared" si="83"/>
        <v>0</v>
      </c>
      <c r="CX77" s="1082">
        <f t="shared" si="84"/>
        <v>0</v>
      </c>
    </row>
    <row r="78" spans="1:102" s="322" customFormat="1" ht="21" customHeight="1">
      <c r="A78" s="358"/>
      <c r="B78" s="402" t="s">
        <v>70</v>
      </c>
      <c r="C78" s="603"/>
      <c r="D78" s="603"/>
      <c r="E78" s="1052" t="s">
        <v>380</v>
      </c>
      <c r="F78" s="402" t="s">
        <v>381</v>
      </c>
      <c r="G78" s="556">
        <v>93.512326000000002</v>
      </c>
      <c r="H78" s="556">
        <v>19.424576999999999</v>
      </c>
      <c r="I78" s="560" t="s">
        <v>44</v>
      </c>
      <c r="J78" s="560" t="s">
        <v>34</v>
      </c>
      <c r="K78" s="604" t="s">
        <v>640</v>
      </c>
      <c r="L78" s="428">
        <v>427</v>
      </c>
      <c r="M78" s="428">
        <v>1274</v>
      </c>
      <c r="N78" s="570">
        <v>1274</v>
      </c>
      <c r="O78" s="328" t="s">
        <v>983</v>
      </c>
      <c r="P78" s="718" t="str">
        <f t="shared" si="43"/>
        <v>3. Large</v>
      </c>
      <c r="Q78" s="965" t="s">
        <v>153</v>
      </c>
      <c r="R78" s="623" t="s">
        <v>301</v>
      </c>
      <c r="S78" s="620" t="s">
        <v>71</v>
      </c>
      <c r="T78" s="323" t="str">
        <f t="shared" si="44"/>
        <v>Covered</v>
      </c>
      <c r="U78" s="561">
        <v>42338</v>
      </c>
      <c r="V78" s="562"/>
      <c r="W78" s="558" t="s">
        <v>152</v>
      </c>
      <c r="X78" s="328">
        <v>0</v>
      </c>
      <c r="Y78" s="428">
        <v>0</v>
      </c>
      <c r="Z78" s="570" t="s">
        <v>43</v>
      </c>
      <c r="AA78" s="328">
        <v>8</v>
      </c>
      <c r="AB78" s="428">
        <v>1</v>
      </c>
      <c r="AC78" s="428">
        <v>21</v>
      </c>
      <c r="AD78" s="428">
        <v>0</v>
      </c>
      <c r="AE78" s="570"/>
      <c r="AF78" s="329">
        <v>1</v>
      </c>
      <c r="AG78" s="330">
        <v>0</v>
      </c>
      <c r="AH78" s="630">
        <f t="shared" si="45"/>
        <v>1</v>
      </c>
      <c r="AI78" s="574">
        <f t="shared" si="46"/>
        <v>1274</v>
      </c>
      <c r="AJ78" s="605">
        <f t="shared" si="47"/>
        <v>1</v>
      </c>
      <c r="AK78" s="574">
        <f t="shared" si="48"/>
        <v>1274</v>
      </c>
      <c r="AL78" s="605">
        <f t="shared" si="49"/>
        <v>1</v>
      </c>
      <c r="AM78" s="574">
        <f t="shared" si="50"/>
        <v>1274</v>
      </c>
      <c r="AN78" s="605" t="str">
        <f t="shared" si="51"/>
        <v>80-100%</v>
      </c>
      <c r="AO78" s="605">
        <f t="shared" si="52"/>
        <v>0</v>
      </c>
      <c r="AP78" s="574">
        <f t="shared" si="53"/>
        <v>0</v>
      </c>
      <c r="AQ78" s="574" t="str">
        <f t="shared" si="54"/>
        <v>no</v>
      </c>
      <c r="AR78" s="574">
        <f t="shared" si="55"/>
        <v>0</v>
      </c>
      <c r="AS78" s="574">
        <f t="shared" si="56"/>
        <v>0</v>
      </c>
      <c r="AT78" s="574">
        <f t="shared" si="57"/>
        <v>1274</v>
      </c>
      <c r="AU78" s="589">
        <v>1</v>
      </c>
      <c r="AV78" s="635">
        <f t="shared" si="58"/>
        <v>1274</v>
      </c>
      <c r="AW78" s="636" t="s">
        <v>144</v>
      </c>
      <c r="AX78" s="740">
        <v>0</v>
      </c>
      <c r="AY78" s="428">
        <v>86</v>
      </c>
      <c r="AZ78" s="428">
        <v>20</v>
      </c>
      <c r="BA78" s="473" t="s">
        <v>973</v>
      </c>
      <c r="BB78" s="548">
        <f t="shared" si="59"/>
        <v>1</v>
      </c>
      <c r="BC78" s="606">
        <f t="shared" si="60"/>
        <v>1274</v>
      </c>
      <c r="BD78" s="548">
        <f t="shared" si="61"/>
        <v>1</v>
      </c>
      <c r="BE78" s="606">
        <f t="shared" si="62"/>
        <v>1274</v>
      </c>
      <c r="BF78" s="549">
        <f t="shared" si="63"/>
        <v>0</v>
      </c>
      <c r="BG78" s="606">
        <f t="shared" si="64"/>
        <v>0</v>
      </c>
      <c r="BH78" s="428" t="s">
        <v>494</v>
      </c>
      <c r="BI78" s="429">
        <v>1</v>
      </c>
      <c r="BJ78" s="606">
        <f t="shared" si="85"/>
        <v>1274</v>
      </c>
      <c r="BK78" s="606">
        <f t="shared" si="66"/>
        <v>0</v>
      </c>
      <c r="BL78" s="428">
        <v>3</v>
      </c>
      <c r="BM78" s="548">
        <f t="shared" si="67"/>
        <v>1.3186813186813185E-2</v>
      </c>
      <c r="BN78" s="606">
        <f t="shared" si="68"/>
        <v>16.799999999999997</v>
      </c>
      <c r="BO78" s="606">
        <f t="shared" si="69"/>
        <v>224.50000000000003</v>
      </c>
      <c r="BP78" s="578">
        <v>1</v>
      </c>
      <c r="BQ78" s="606">
        <v>1371</v>
      </c>
      <c r="BR78" s="519">
        <v>20</v>
      </c>
      <c r="BS78" s="548">
        <f t="shared" si="70"/>
        <v>1</v>
      </c>
      <c r="BT78" s="607">
        <f t="shared" si="71"/>
        <v>0</v>
      </c>
      <c r="BU78" s="651">
        <v>1</v>
      </c>
      <c r="BV78" s="650">
        <f t="shared" si="72"/>
        <v>1274</v>
      </c>
      <c r="BW78" s="325" t="s">
        <v>511</v>
      </c>
      <c r="BX78" s="430">
        <v>41774</v>
      </c>
      <c r="BY78" s="1190"/>
      <c r="BZ78" s="1190"/>
      <c r="CA78" s="608" t="str">
        <f t="shared" si="73"/>
        <v>To be done</v>
      </c>
      <c r="CB78" s="428">
        <v>427</v>
      </c>
      <c r="CC78" s="428">
        <v>1</v>
      </c>
      <c r="CD78" s="609">
        <f t="shared" si="74"/>
        <v>427</v>
      </c>
      <c r="CE78" s="610">
        <f t="shared" si="75"/>
        <v>0</v>
      </c>
      <c r="CF78" s="609">
        <f t="shared" si="76"/>
        <v>0</v>
      </c>
      <c r="CG78" s="658">
        <f t="shared" si="77"/>
        <v>16</v>
      </c>
      <c r="CH78" s="328" t="s">
        <v>743</v>
      </c>
      <c r="CI78" s="330">
        <v>0.75</v>
      </c>
      <c r="CJ78" s="664">
        <f t="shared" si="78"/>
        <v>955.5</v>
      </c>
      <c r="CK78" s="328">
        <v>6</v>
      </c>
      <c r="CL78" s="611" t="str">
        <f t="shared" si="86"/>
        <v>Excellent coverage</v>
      </c>
      <c r="CM78" s="428" t="s">
        <v>41</v>
      </c>
      <c r="CN78" s="428" t="s">
        <v>43</v>
      </c>
      <c r="CO78" s="428" t="s">
        <v>41</v>
      </c>
      <c r="CP78" s="570" t="s">
        <v>41</v>
      </c>
      <c r="CQ78" s="666"/>
      <c r="CS78" s="1069">
        <f t="shared" si="79"/>
        <v>1</v>
      </c>
      <c r="CT78" s="1069">
        <f t="shared" si="80"/>
        <v>1</v>
      </c>
      <c r="CU78" s="1066">
        <f t="shared" si="81"/>
        <v>1</v>
      </c>
      <c r="CV78" s="1066">
        <f t="shared" si="82"/>
        <v>1</v>
      </c>
      <c r="CW78" s="1082">
        <f t="shared" si="83"/>
        <v>0</v>
      </c>
      <c r="CX78" s="1082">
        <f t="shared" si="84"/>
        <v>0</v>
      </c>
    </row>
    <row r="79" spans="1:102" s="322" customFormat="1" ht="21" customHeight="1">
      <c r="A79" s="358"/>
      <c r="B79" s="402" t="s">
        <v>70</v>
      </c>
      <c r="C79" s="603"/>
      <c r="D79" s="603"/>
      <c r="E79" s="1053">
        <v>198612</v>
      </c>
      <c r="F79" s="402" t="s">
        <v>709</v>
      </c>
      <c r="G79" s="556">
        <v>93.585700000000003</v>
      </c>
      <c r="H79" s="556">
        <v>19.195399999999999</v>
      </c>
      <c r="I79" s="560" t="s">
        <v>33</v>
      </c>
      <c r="J79" s="560" t="s">
        <v>45</v>
      </c>
      <c r="K79" s="604" t="s">
        <v>508</v>
      </c>
      <c r="L79" s="428">
        <v>0</v>
      </c>
      <c r="M79" s="428">
        <v>0</v>
      </c>
      <c r="N79" s="570">
        <v>598</v>
      </c>
      <c r="O79" s="328" t="s">
        <v>983</v>
      </c>
      <c r="P79" s="718" t="str">
        <f t="shared" si="43"/>
        <v>2. Medium</v>
      </c>
      <c r="Q79" s="965" t="s">
        <v>153</v>
      </c>
      <c r="R79" s="623"/>
      <c r="S79" s="620" t="s">
        <v>71</v>
      </c>
      <c r="T79" s="323" t="str">
        <f t="shared" si="44"/>
        <v>Covered</v>
      </c>
      <c r="U79" s="561">
        <v>42338</v>
      </c>
      <c r="V79" s="562"/>
      <c r="W79" s="558" t="s">
        <v>152</v>
      </c>
      <c r="X79" s="328">
        <v>0</v>
      </c>
      <c r="Y79" s="428">
        <v>0</v>
      </c>
      <c r="Z79" s="570" t="s">
        <v>43</v>
      </c>
      <c r="AA79" s="328">
        <v>15</v>
      </c>
      <c r="AB79" s="428">
        <v>0</v>
      </c>
      <c r="AC79" s="428">
        <v>0</v>
      </c>
      <c r="AD79" s="428"/>
      <c r="AE79" s="570"/>
      <c r="AF79" s="329">
        <v>0</v>
      </c>
      <c r="AG79" s="330">
        <v>0</v>
      </c>
      <c r="AH79" s="630">
        <f t="shared" si="45"/>
        <v>1</v>
      </c>
      <c r="AI79" s="574">
        <f t="shared" si="46"/>
        <v>598</v>
      </c>
      <c r="AJ79" s="605">
        <f t="shared" si="47"/>
        <v>1</v>
      </c>
      <c r="AK79" s="574">
        <f t="shared" si="48"/>
        <v>598</v>
      </c>
      <c r="AL79" s="605">
        <f t="shared" si="49"/>
        <v>1</v>
      </c>
      <c r="AM79" s="574">
        <f t="shared" si="50"/>
        <v>598</v>
      </c>
      <c r="AN79" s="605" t="str">
        <f t="shared" si="51"/>
        <v>80-100%</v>
      </c>
      <c r="AO79" s="605">
        <f t="shared" si="52"/>
        <v>0</v>
      </c>
      <c r="AP79" s="574">
        <f t="shared" si="53"/>
        <v>0</v>
      </c>
      <c r="AQ79" s="574" t="str">
        <f t="shared" si="54"/>
        <v>no</v>
      </c>
      <c r="AR79" s="574">
        <f t="shared" si="55"/>
        <v>0</v>
      </c>
      <c r="AS79" s="574">
        <f t="shared" si="56"/>
        <v>0</v>
      </c>
      <c r="AT79" s="574">
        <f t="shared" si="57"/>
        <v>0</v>
      </c>
      <c r="AU79" s="589">
        <v>1</v>
      </c>
      <c r="AV79" s="635">
        <f t="shared" si="58"/>
        <v>598</v>
      </c>
      <c r="AW79" s="636"/>
      <c r="AX79" s="740">
        <v>0</v>
      </c>
      <c r="AY79" s="428">
        <v>29</v>
      </c>
      <c r="AZ79" s="428">
        <v>6</v>
      </c>
      <c r="BA79" s="473" t="s">
        <v>963</v>
      </c>
      <c r="BB79" s="548">
        <f t="shared" si="59"/>
        <v>0.29096989966555181</v>
      </c>
      <c r="BC79" s="606">
        <f t="shared" si="60"/>
        <v>173.99999999999997</v>
      </c>
      <c r="BD79" s="548">
        <f t="shared" si="61"/>
        <v>0.29096989966555181</v>
      </c>
      <c r="BE79" s="606">
        <f t="shared" si="62"/>
        <v>173.99999999999997</v>
      </c>
      <c r="BF79" s="549">
        <f t="shared" si="63"/>
        <v>0</v>
      </c>
      <c r="BG79" s="606">
        <f t="shared" si="64"/>
        <v>0</v>
      </c>
      <c r="BH79" s="428" t="s">
        <v>475</v>
      </c>
      <c r="BI79" s="429">
        <v>1</v>
      </c>
      <c r="BJ79" s="606">
        <f t="shared" si="85"/>
        <v>598</v>
      </c>
      <c r="BK79" s="606" t="str">
        <f t="shared" si="66"/>
        <v>n/a</v>
      </c>
      <c r="BL79" s="428" t="s">
        <v>475</v>
      </c>
      <c r="BM79" s="548" t="str">
        <f t="shared" si="67"/>
        <v>n/a</v>
      </c>
      <c r="BN79" s="606" t="str">
        <f t="shared" si="68"/>
        <v>n/a</v>
      </c>
      <c r="BO79" s="606" t="str">
        <f t="shared" si="69"/>
        <v>n/a</v>
      </c>
      <c r="BP79" s="578" t="s">
        <v>475</v>
      </c>
      <c r="BQ79" s="606" t="s">
        <v>475</v>
      </c>
      <c r="BR79" s="519" t="s">
        <v>475</v>
      </c>
      <c r="BS79" s="548" t="str">
        <f t="shared" si="70"/>
        <v>n/a</v>
      </c>
      <c r="BT79" s="607" t="str">
        <f t="shared" si="71"/>
        <v>n/a</v>
      </c>
      <c r="BU79" s="651" t="s">
        <v>475</v>
      </c>
      <c r="BV79" s="650" t="str">
        <f t="shared" si="72"/>
        <v>n/a</v>
      </c>
      <c r="BW79" s="325" t="s">
        <v>742</v>
      </c>
      <c r="BX79" s="430" t="s">
        <v>475</v>
      </c>
      <c r="BY79" s="1190"/>
      <c r="BZ79" s="1190"/>
      <c r="CA79" s="608" t="str">
        <f t="shared" si="73"/>
        <v>n/a</v>
      </c>
      <c r="CB79" s="428"/>
      <c r="CC79" s="428"/>
      <c r="CD79" s="609" t="str">
        <f t="shared" si="74"/>
        <v>n/a</v>
      </c>
      <c r="CE79" s="610" t="str">
        <f t="shared" si="75"/>
        <v>n/a</v>
      </c>
      <c r="CF79" s="609" t="str">
        <f t="shared" si="76"/>
        <v>n/a</v>
      </c>
      <c r="CG79" s="658" t="str">
        <f t="shared" si="77"/>
        <v>n/a</v>
      </c>
      <c r="CH79" s="328"/>
      <c r="CI79" s="330">
        <v>0</v>
      </c>
      <c r="CJ79" s="664">
        <f t="shared" si="78"/>
        <v>0</v>
      </c>
      <c r="CK79" s="328">
        <v>2</v>
      </c>
      <c r="CL79" s="611" t="str">
        <f t="shared" si="86"/>
        <v>Excellent coverage</v>
      </c>
      <c r="CM79" s="428" t="s">
        <v>38</v>
      </c>
      <c r="CN79" s="428" t="s">
        <v>475</v>
      </c>
      <c r="CO79" s="428" t="s">
        <v>41</v>
      </c>
      <c r="CP79" s="570" t="s">
        <v>41</v>
      </c>
      <c r="CQ79" s="666" t="s">
        <v>745</v>
      </c>
      <c r="CS79" s="1069">
        <f t="shared" si="79"/>
        <v>1</v>
      </c>
      <c r="CT79" s="1069">
        <f t="shared" si="80"/>
        <v>1</v>
      </c>
      <c r="CU79" s="1066">
        <f t="shared" si="81"/>
        <v>1</v>
      </c>
      <c r="CV79" s="1066">
        <f t="shared" si="82"/>
        <v>1</v>
      </c>
      <c r="CW79" s="1082">
        <f t="shared" si="83"/>
        <v>0</v>
      </c>
      <c r="CX79" s="1082">
        <f t="shared" si="84"/>
        <v>0</v>
      </c>
    </row>
    <row r="80" spans="1:102" s="322" customFormat="1" ht="21" customHeight="1">
      <c r="A80" s="358"/>
      <c r="B80" s="402" t="s">
        <v>70</v>
      </c>
      <c r="C80" s="603"/>
      <c r="D80" s="603"/>
      <c r="E80" s="1053">
        <v>198516</v>
      </c>
      <c r="F80" s="402" t="s">
        <v>710</v>
      </c>
      <c r="G80" s="556">
        <v>93.551000000000002</v>
      </c>
      <c r="H80" s="556">
        <v>19.2498</v>
      </c>
      <c r="I80" s="560" t="s">
        <v>33</v>
      </c>
      <c r="J80" s="560" t="s">
        <v>45</v>
      </c>
      <c r="K80" s="604" t="s">
        <v>508</v>
      </c>
      <c r="L80" s="428">
        <v>0</v>
      </c>
      <c r="M80" s="428">
        <v>0</v>
      </c>
      <c r="N80" s="570">
        <v>156</v>
      </c>
      <c r="O80" s="328" t="s">
        <v>983</v>
      </c>
      <c r="P80" s="718" t="str">
        <f t="shared" si="43"/>
        <v>1. Small</v>
      </c>
      <c r="Q80" s="965" t="s">
        <v>153</v>
      </c>
      <c r="R80" s="623"/>
      <c r="S80" s="620" t="s">
        <v>71</v>
      </c>
      <c r="T80" s="323" t="str">
        <f t="shared" si="44"/>
        <v>Covered</v>
      </c>
      <c r="U80" s="561">
        <v>42338</v>
      </c>
      <c r="V80" s="562"/>
      <c r="W80" s="558" t="s">
        <v>152</v>
      </c>
      <c r="X80" s="328">
        <v>0</v>
      </c>
      <c r="Y80" s="428">
        <v>0</v>
      </c>
      <c r="Z80" s="570" t="s">
        <v>43</v>
      </c>
      <c r="AA80" s="328">
        <v>7</v>
      </c>
      <c r="AB80" s="428">
        <v>0</v>
      </c>
      <c r="AC80" s="428">
        <v>0</v>
      </c>
      <c r="AD80" s="428">
        <v>2</v>
      </c>
      <c r="AE80" s="570"/>
      <c r="AF80" s="329">
        <v>0</v>
      </c>
      <c r="AG80" s="330">
        <v>0</v>
      </c>
      <c r="AH80" s="630">
        <f t="shared" si="45"/>
        <v>1</v>
      </c>
      <c r="AI80" s="574">
        <f t="shared" si="46"/>
        <v>156</v>
      </c>
      <c r="AJ80" s="605">
        <f t="shared" si="47"/>
        <v>1</v>
      </c>
      <c r="AK80" s="574">
        <f t="shared" si="48"/>
        <v>156</v>
      </c>
      <c r="AL80" s="605">
        <f t="shared" si="49"/>
        <v>1</v>
      </c>
      <c r="AM80" s="574">
        <f t="shared" si="50"/>
        <v>156</v>
      </c>
      <c r="AN80" s="605" t="str">
        <f t="shared" si="51"/>
        <v>80-100%</v>
      </c>
      <c r="AO80" s="605">
        <f t="shared" si="52"/>
        <v>0</v>
      </c>
      <c r="AP80" s="574">
        <f t="shared" si="53"/>
        <v>0</v>
      </c>
      <c r="AQ80" s="574" t="str">
        <f t="shared" si="54"/>
        <v>yes</v>
      </c>
      <c r="AR80" s="574">
        <f t="shared" si="55"/>
        <v>0</v>
      </c>
      <c r="AS80" s="574">
        <f t="shared" si="56"/>
        <v>0</v>
      </c>
      <c r="AT80" s="574">
        <f t="shared" si="57"/>
        <v>0</v>
      </c>
      <c r="AU80" s="589">
        <v>1</v>
      </c>
      <c r="AV80" s="635">
        <f t="shared" si="58"/>
        <v>156</v>
      </c>
      <c r="AW80" s="636"/>
      <c r="AX80" s="740">
        <v>0</v>
      </c>
      <c r="AY80" s="428">
        <v>9</v>
      </c>
      <c r="AZ80" s="428">
        <v>6</v>
      </c>
      <c r="BA80" s="473" t="s">
        <v>963</v>
      </c>
      <c r="BB80" s="548">
        <f t="shared" si="59"/>
        <v>0.34615384615384615</v>
      </c>
      <c r="BC80" s="606">
        <f t="shared" si="60"/>
        <v>54</v>
      </c>
      <c r="BD80" s="548">
        <f t="shared" si="61"/>
        <v>0.34615384615384615</v>
      </c>
      <c r="BE80" s="606">
        <f t="shared" si="62"/>
        <v>54</v>
      </c>
      <c r="BF80" s="549">
        <f t="shared" si="63"/>
        <v>0</v>
      </c>
      <c r="BG80" s="606">
        <f t="shared" si="64"/>
        <v>0</v>
      </c>
      <c r="BH80" s="428" t="s">
        <v>475</v>
      </c>
      <c r="BI80" s="429">
        <v>1</v>
      </c>
      <c r="BJ80" s="606">
        <f t="shared" si="85"/>
        <v>156</v>
      </c>
      <c r="BK80" s="606" t="str">
        <f t="shared" si="66"/>
        <v>n/a</v>
      </c>
      <c r="BL80" s="428" t="s">
        <v>475</v>
      </c>
      <c r="BM80" s="548" t="str">
        <f t="shared" si="67"/>
        <v>n/a</v>
      </c>
      <c r="BN80" s="606" t="str">
        <f t="shared" si="68"/>
        <v>n/a</v>
      </c>
      <c r="BO80" s="606" t="str">
        <f t="shared" si="69"/>
        <v>n/a</v>
      </c>
      <c r="BP80" s="578" t="s">
        <v>475</v>
      </c>
      <c r="BQ80" s="606" t="s">
        <v>475</v>
      </c>
      <c r="BR80" s="519" t="s">
        <v>475</v>
      </c>
      <c r="BS80" s="548" t="str">
        <f t="shared" si="70"/>
        <v>n/a</v>
      </c>
      <c r="BT80" s="607" t="str">
        <f t="shared" si="71"/>
        <v>n/a</v>
      </c>
      <c r="BU80" s="651" t="s">
        <v>475</v>
      </c>
      <c r="BV80" s="650" t="str">
        <f t="shared" si="72"/>
        <v>n/a</v>
      </c>
      <c r="BW80" s="325" t="s">
        <v>742</v>
      </c>
      <c r="BX80" s="430" t="s">
        <v>475</v>
      </c>
      <c r="BY80" s="1190"/>
      <c r="BZ80" s="1190"/>
      <c r="CA80" s="608" t="str">
        <f t="shared" si="73"/>
        <v>n/a</v>
      </c>
      <c r="CB80" s="428"/>
      <c r="CC80" s="428"/>
      <c r="CD80" s="609" t="str">
        <f t="shared" si="74"/>
        <v>n/a</v>
      </c>
      <c r="CE80" s="610" t="str">
        <f t="shared" si="75"/>
        <v>n/a</v>
      </c>
      <c r="CF80" s="609" t="str">
        <f t="shared" si="76"/>
        <v>n/a</v>
      </c>
      <c r="CG80" s="658" t="str">
        <f t="shared" si="77"/>
        <v>n/a</v>
      </c>
      <c r="CH80" s="328"/>
      <c r="CI80" s="330">
        <v>0</v>
      </c>
      <c r="CJ80" s="664">
        <f t="shared" si="78"/>
        <v>0</v>
      </c>
      <c r="CK80" s="328">
        <v>2</v>
      </c>
      <c r="CL80" s="611" t="str">
        <f t="shared" si="86"/>
        <v>Excellent coverage</v>
      </c>
      <c r="CM80" s="428" t="s">
        <v>38</v>
      </c>
      <c r="CN80" s="428" t="s">
        <v>475</v>
      </c>
      <c r="CO80" s="428" t="s">
        <v>41</v>
      </c>
      <c r="CP80" s="570" t="s">
        <v>41</v>
      </c>
      <c r="CQ80" s="666" t="s">
        <v>745</v>
      </c>
      <c r="CS80" s="1069">
        <f t="shared" si="79"/>
        <v>1</v>
      </c>
      <c r="CT80" s="1069">
        <f t="shared" si="80"/>
        <v>1</v>
      </c>
      <c r="CU80" s="1066">
        <f t="shared" si="81"/>
        <v>1</v>
      </c>
      <c r="CV80" s="1066">
        <f t="shared" si="82"/>
        <v>1</v>
      </c>
      <c r="CW80" s="1082">
        <f t="shared" si="83"/>
        <v>0</v>
      </c>
      <c r="CX80" s="1082">
        <f t="shared" si="84"/>
        <v>0</v>
      </c>
    </row>
    <row r="81" spans="1:102" s="322" customFormat="1" ht="21" customHeight="1">
      <c r="A81" s="358"/>
      <c r="B81" s="402" t="s">
        <v>70</v>
      </c>
      <c r="C81" s="603"/>
      <c r="D81" s="603"/>
      <c r="E81" s="1053">
        <v>198643</v>
      </c>
      <c r="F81" s="402" t="s">
        <v>488</v>
      </c>
      <c r="G81" s="556">
        <v>93.720699999999994</v>
      </c>
      <c r="H81" s="556">
        <v>19.188700000000001</v>
      </c>
      <c r="I81" s="560" t="s">
        <v>33</v>
      </c>
      <c r="J81" s="560" t="s">
        <v>45</v>
      </c>
      <c r="K81" s="604" t="s">
        <v>508</v>
      </c>
      <c r="L81" s="428">
        <v>0</v>
      </c>
      <c r="M81" s="428">
        <v>0</v>
      </c>
      <c r="N81" s="570">
        <v>314</v>
      </c>
      <c r="O81" s="328" t="s">
        <v>983</v>
      </c>
      <c r="P81" s="718" t="str">
        <f t="shared" si="43"/>
        <v>1. Small</v>
      </c>
      <c r="Q81" s="965" t="s">
        <v>153</v>
      </c>
      <c r="R81" s="623"/>
      <c r="S81" s="620" t="s">
        <v>71</v>
      </c>
      <c r="T81" s="323" t="str">
        <f t="shared" si="44"/>
        <v>Covered</v>
      </c>
      <c r="U81" s="561">
        <v>42338</v>
      </c>
      <c r="V81" s="562"/>
      <c r="W81" s="558" t="s">
        <v>152</v>
      </c>
      <c r="X81" s="328">
        <v>0</v>
      </c>
      <c r="Y81" s="428">
        <v>0</v>
      </c>
      <c r="Z81" s="570" t="s">
        <v>43</v>
      </c>
      <c r="AA81" s="328">
        <v>7</v>
      </c>
      <c r="AB81" s="428">
        <v>0</v>
      </c>
      <c r="AC81" s="428">
        <v>0</v>
      </c>
      <c r="AD81" s="428">
        <v>2</v>
      </c>
      <c r="AE81" s="570"/>
      <c r="AF81" s="329">
        <v>0</v>
      </c>
      <c r="AG81" s="330">
        <v>0</v>
      </c>
      <c r="AH81" s="630">
        <f t="shared" si="45"/>
        <v>1</v>
      </c>
      <c r="AI81" s="574">
        <f t="shared" si="46"/>
        <v>314</v>
      </c>
      <c r="AJ81" s="605">
        <f t="shared" si="47"/>
        <v>1</v>
      </c>
      <c r="AK81" s="574">
        <f t="shared" si="48"/>
        <v>314</v>
      </c>
      <c r="AL81" s="605">
        <f t="shared" si="49"/>
        <v>1</v>
      </c>
      <c r="AM81" s="574">
        <f t="shared" si="50"/>
        <v>314</v>
      </c>
      <c r="AN81" s="605" t="str">
        <f t="shared" si="51"/>
        <v>80-100%</v>
      </c>
      <c r="AO81" s="605">
        <f t="shared" si="52"/>
        <v>0</v>
      </c>
      <c r="AP81" s="574">
        <f t="shared" si="53"/>
        <v>0</v>
      </c>
      <c r="AQ81" s="574" t="str">
        <f t="shared" si="54"/>
        <v>yes</v>
      </c>
      <c r="AR81" s="574">
        <f t="shared" si="55"/>
        <v>0</v>
      </c>
      <c r="AS81" s="574">
        <f t="shared" si="56"/>
        <v>0</v>
      </c>
      <c r="AT81" s="574">
        <f t="shared" si="57"/>
        <v>0</v>
      </c>
      <c r="AU81" s="589">
        <v>1</v>
      </c>
      <c r="AV81" s="635">
        <f t="shared" si="58"/>
        <v>314</v>
      </c>
      <c r="AW81" s="636"/>
      <c r="AX81" s="740">
        <v>0</v>
      </c>
      <c r="AY81" s="428">
        <v>27</v>
      </c>
      <c r="AZ81" s="428">
        <v>6</v>
      </c>
      <c r="BA81" s="473" t="s">
        <v>963</v>
      </c>
      <c r="BB81" s="548">
        <f t="shared" si="59"/>
        <v>0.51592356687898089</v>
      </c>
      <c r="BC81" s="606">
        <f t="shared" si="60"/>
        <v>162</v>
      </c>
      <c r="BD81" s="548">
        <f t="shared" si="61"/>
        <v>0.51592356687898089</v>
      </c>
      <c r="BE81" s="606">
        <f t="shared" si="62"/>
        <v>162</v>
      </c>
      <c r="BF81" s="549">
        <f t="shared" si="63"/>
        <v>0</v>
      </c>
      <c r="BG81" s="606">
        <f t="shared" si="64"/>
        <v>0</v>
      </c>
      <c r="BH81" s="428" t="s">
        <v>475</v>
      </c>
      <c r="BI81" s="429">
        <v>0.6</v>
      </c>
      <c r="BJ81" s="606">
        <f t="shared" si="85"/>
        <v>188.4</v>
      </c>
      <c r="BK81" s="606" t="str">
        <f t="shared" si="66"/>
        <v>n/a</v>
      </c>
      <c r="BL81" s="428" t="s">
        <v>475</v>
      </c>
      <c r="BM81" s="548" t="str">
        <f t="shared" si="67"/>
        <v>n/a</v>
      </c>
      <c r="BN81" s="606" t="str">
        <f t="shared" si="68"/>
        <v>n/a</v>
      </c>
      <c r="BO81" s="606" t="str">
        <f t="shared" si="69"/>
        <v>n/a</v>
      </c>
      <c r="BP81" s="578" t="s">
        <v>475</v>
      </c>
      <c r="BQ81" s="606" t="s">
        <v>475</v>
      </c>
      <c r="BR81" s="519" t="s">
        <v>475</v>
      </c>
      <c r="BS81" s="548" t="str">
        <f t="shared" si="70"/>
        <v>n/a</v>
      </c>
      <c r="BT81" s="607" t="str">
        <f t="shared" si="71"/>
        <v>n/a</v>
      </c>
      <c r="BU81" s="651" t="s">
        <v>475</v>
      </c>
      <c r="BV81" s="650" t="str">
        <f t="shared" si="72"/>
        <v>n/a</v>
      </c>
      <c r="BW81" s="325" t="s">
        <v>742</v>
      </c>
      <c r="BX81" s="430" t="s">
        <v>475</v>
      </c>
      <c r="BY81" s="1190"/>
      <c r="BZ81" s="1190"/>
      <c r="CA81" s="608" t="str">
        <f t="shared" si="73"/>
        <v>n/a</v>
      </c>
      <c r="CB81" s="428"/>
      <c r="CC81" s="428"/>
      <c r="CD81" s="609" t="str">
        <f t="shared" si="74"/>
        <v>n/a</v>
      </c>
      <c r="CE81" s="610" t="str">
        <f t="shared" si="75"/>
        <v>n/a</v>
      </c>
      <c r="CF81" s="609" t="str">
        <f t="shared" si="76"/>
        <v>n/a</v>
      </c>
      <c r="CG81" s="658" t="str">
        <f t="shared" si="77"/>
        <v>n/a</v>
      </c>
      <c r="CH81" s="328"/>
      <c r="CI81" s="330">
        <v>0</v>
      </c>
      <c r="CJ81" s="664">
        <f t="shared" si="78"/>
        <v>0</v>
      </c>
      <c r="CK81" s="328">
        <v>2</v>
      </c>
      <c r="CL81" s="611" t="str">
        <f t="shared" si="86"/>
        <v>Excellent coverage</v>
      </c>
      <c r="CM81" s="428" t="s">
        <v>38</v>
      </c>
      <c r="CN81" s="428" t="s">
        <v>475</v>
      </c>
      <c r="CO81" s="428" t="s">
        <v>41</v>
      </c>
      <c r="CP81" s="570" t="s">
        <v>41</v>
      </c>
      <c r="CQ81" s="666" t="s">
        <v>745</v>
      </c>
      <c r="CS81" s="1069">
        <f t="shared" si="79"/>
        <v>1</v>
      </c>
      <c r="CT81" s="1069">
        <f t="shared" si="80"/>
        <v>1</v>
      </c>
      <c r="CU81" s="1066">
        <f t="shared" si="81"/>
        <v>1</v>
      </c>
      <c r="CV81" s="1066">
        <f t="shared" si="82"/>
        <v>1</v>
      </c>
      <c r="CW81" s="1082">
        <f t="shared" si="83"/>
        <v>0</v>
      </c>
      <c r="CX81" s="1082">
        <f t="shared" si="84"/>
        <v>0</v>
      </c>
    </row>
    <row r="82" spans="1:102" s="322" customFormat="1" ht="21" customHeight="1">
      <c r="A82" s="358"/>
      <c r="B82" s="402" t="s">
        <v>70</v>
      </c>
      <c r="C82" s="603"/>
      <c r="D82" s="603"/>
      <c r="E82" s="1053">
        <v>198514</v>
      </c>
      <c r="F82" s="402" t="s">
        <v>711</v>
      </c>
      <c r="G82" s="556">
        <v>93.571299999999994</v>
      </c>
      <c r="H82" s="556">
        <v>19.221900000000002</v>
      </c>
      <c r="I82" s="560" t="s">
        <v>33</v>
      </c>
      <c r="J82" s="560" t="s">
        <v>45</v>
      </c>
      <c r="K82" s="604" t="s">
        <v>508</v>
      </c>
      <c r="L82" s="428">
        <v>0</v>
      </c>
      <c r="M82" s="428">
        <v>0</v>
      </c>
      <c r="N82" s="570">
        <v>809</v>
      </c>
      <c r="O82" s="328" t="s">
        <v>983</v>
      </c>
      <c r="P82" s="718" t="str">
        <f t="shared" si="43"/>
        <v>2. Medium</v>
      </c>
      <c r="Q82" s="965" t="s">
        <v>153</v>
      </c>
      <c r="R82" s="623"/>
      <c r="S82" s="620" t="s">
        <v>71</v>
      </c>
      <c r="T82" s="323" t="str">
        <f t="shared" si="44"/>
        <v>Covered</v>
      </c>
      <c r="U82" s="561">
        <v>42338</v>
      </c>
      <c r="V82" s="562"/>
      <c r="W82" s="558" t="s">
        <v>152</v>
      </c>
      <c r="X82" s="328">
        <v>0</v>
      </c>
      <c r="Y82" s="428">
        <v>0</v>
      </c>
      <c r="Z82" s="570" t="s">
        <v>43</v>
      </c>
      <c r="AA82" s="328">
        <v>3</v>
      </c>
      <c r="AB82" s="428">
        <v>0</v>
      </c>
      <c r="AC82" s="428">
        <v>0</v>
      </c>
      <c r="AD82" s="428">
        <v>4</v>
      </c>
      <c r="AE82" s="570"/>
      <c r="AF82" s="329">
        <v>0.03</v>
      </c>
      <c r="AG82" s="330">
        <v>0</v>
      </c>
      <c r="AH82" s="630">
        <f t="shared" si="45"/>
        <v>0.92707045735475901</v>
      </c>
      <c r="AI82" s="574">
        <f t="shared" si="46"/>
        <v>750</v>
      </c>
      <c r="AJ82" s="605">
        <f t="shared" si="47"/>
        <v>0.92707045735475901</v>
      </c>
      <c r="AK82" s="574">
        <f t="shared" si="48"/>
        <v>750</v>
      </c>
      <c r="AL82" s="605">
        <f t="shared" si="49"/>
        <v>0.92707045735475901</v>
      </c>
      <c r="AM82" s="574">
        <f t="shared" si="50"/>
        <v>750</v>
      </c>
      <c r="AN82" s="605" t="str">
        <f t="shared" si="51"/>
        <v>80-100%</v>
      </c>
      <c r="AO82" s="605">
        <f t="shared" si="52"/>
        <v>0</v>
      </c>
      <c r="AP82" s="574">
        <f t="shared" si="53"/>
        <v>0</v>
      </c>
      <c r="AQ82" s="574" t="str">
        <f t="shared" si="54"/>
        <v>yes</v>
      </c>
      <c r="AR82" s="574">
        <f t="shared" si="55"/>
        <v>0.23600000000000021</v>
      </c>
      <c r="AS82" s="574">
        <f t="shared" si="56"/>
        <v>0</v>
      </c>
      <c r="AT82" s="574">
        <f t="shared" si="57"/>
        <v>24.27</v>
      </c>
      <c r="AU82" s="589">
        <v>1</v>
      </c>
      <c r="AV82" s="635">
        <f t="shared" si="58"/>
        <v>809</v>
      </c>
      <c r="AW82" s="636"/>
      <c r="AX82" s="740">
        <v>0</v>
      </c>
      <c r="AY82" s="428">
        <v>37</v>
      </c>
      <c r="AZ82" s="428">
        <v>6</v>
      </c>
      <c r="BA82" s="473" t="s">
        <v>963</v>
      </c>
      <c r="BB82" s="548">
        <f t="shared" si="59"/>
        <v>0.27441285537700866</v>
      </c>
      <c r="BC82" s="606">
        <f t="shared" si="60"/>
        <v>222</v>
      </c>
      <c r="BD82" s="548">
        <f t="shared" si="61"/>
        <v>0.27441285537700866</v>
      </c>
      <c r="BE82" s="606">
        <f t="shared" si="62"/>
        <v>222</v>
      </c>
      <c r="BF82" s="549">
        <f t="shared" si="63"/>
        <v>0</v>
      </c>
      <c r="BG82" s="606">
        <f t="shared" si="64"/>
        <v>0</v>
      </c>
      <c r="BH82" s="428" t="s">
        <v>475</v>
      </c>
      <c r="BI82" s="429">
        <v>0.3</v>
      </c>
      <c r="BJ82" s="606">
        <f t="shared" si="85"/>
        <v>242.7</v>
      </c>
      <c r="BK82" s="606" t="str">
        <f t="shared" si="66"/>
        <v>n/a</v>
      </c>
      <c r="BL82" s="428" t="s">
        <v>475</v>
      </c>
      <c r="BM82" s="548" t="str">
        <f t="shared" si="67"/>
        <v>n/a</v>
      </c>
      <c r="BN82" s="606" t="str">
        <f t="shared" si="68"/>
        <v>n/a</v>
      </c>
      <c r="BO82" s="606" t="str">
        <f t="shared" si="69"/>
        <v>n/a</v>
      </c>
      <c r="BP82" s="578" t="s">
        <v>475</v>
      </c>
      <c r="BQ82" s="606" t="s">
        <v>475</v>
      </c>
      <c r="BR82" s="519" t="s">
        <v>475</v>
      </c>
      <c r="BS82" s="548" t="str">
        <f t="shared" si="70"/>
        <v>n/a</v>
      </c>
      <c r="BT82" s="607" t="str">
        <f t="shared" si="71"/>
        <v>n/a</v>
      </c>
      <c r="BU82" s="651" t="s">
        <v>475</v>
      </c>
      <c r="BV82" s="650" t="str">
        <f t="shared" si="72"/>
        <v>n/a</v>
      </c>
      <c r="BW82" s="325" t="s">
        <v>742</v>
      </c>
      <c r="BX82" s="430" t="s">
        <v>475</v>
      </c>
      <c r="BY82" s="1190"/>
      <c r="BZ82" s="1190"/>
      <c r="CA82" s="608" t="str">
        <f t="shared" si="73"/>
        <v>n/a</v>
      </c>
      <c r="CB82" s="428"/>
      <c r="CC82" s="428"/>
      <c r="CD82" s="609" t="str">
        <f t="shared" si="74"/>
        <v>n/a</v>
      </c>
      <c r="CE82" s="610" t="str">
        <f t="shared" si="75"/>
        <v>n/a</v>
      </c>
      <c r="CF82" s="609" t="str">
        <f t="shared" si="76"/>
        <v>n/a</v>
      </c>
      <c r="CG82" s="658" t="str">
        <f t="shared" si="77"/>
        <v>n/a</v>
      </c>
      <c r="CH82" s="328"/>
      <c r="CI82" s="330">
        <v>0</v>
      </c>
      <c r="CJ82" s="664">
        <f t="shared" si="78"/>
        <v>0</v>
      </c>
      <c r="CK82" s="328">
        <v>2</v>
      </c>
      <c r="CL82" s="611" t="str">
        <f t="shared" si="86"/>
        <v>Excellent coverage</v>
      </c>
      <c r="CM82" s="428" t="s">
        <v>38</v>
      </c>
      <c r="CN82" s="428" t="s">
        <v>475</v>
      </c>
      <c r="CO82" s="428" t="s">
        <v>41</v>
      </c>
      <c r="CP82" s="570" t="s">
        <v>41</v>
      </c>
      <c r="CQ82" s="666" t="s">
        <v>745</v>
      </c>
      <c r="CS82" s="1069">
        <f t="shared" si="79"/>
        <v>1</v>
      </c>
      <c r="CT82" s="1069">
        <f t="shared" si="80"/>
        <v>0.92707045735475901</v>
      </c>
      <c r="CU82" s="1066">
        <f t="shared" si="81"/>
        <v>1</v>
      </c>
      <c r="CV82" s="1066">
        <f t="shared" si="82"/>
        <v>0.92707045735475901</v>
      </c>
      <c r="CW82" s="1082">
        <f t="shared" si="83"/>
        <v>0</v>
      </c>
      <c r="CX82" s="1082">
        <f t="shared" si="84"/>
        <v>0.23600000000000021</v>
      </c>
    </row>
    <row r="83" spans="1:102" s="322" customFormat="1" ht="21" customHeight="1">
      <c r="A83" s="358"/>
      <c r="B83" s="402" t="s">
        <v>70</v>
      </c>
      <c r="C83" s="603"/>
      <c r="D83" s="603"/>
      <c r="E83" s="1053">
        <v>198512</v>
      </c>
      <c r="F83" s="402" t="s">
        <v>712</v>
      </c>
      <c r="G83" s="556">
        <v>93.548599999999993</v>
      </c>
      <c r="H83" s="556">
        <v>19.254300000000001</v>
      </c>
      <c r="I83" s="560" t="s">
        <v>33</v>
      </c>
      <c r="J83" s="560" t="s">
        <v>45</v>
      </c>
      <c r="K83" s="604" t="s">
        <v>508</v>
      </c>
      <c r="L83" s="428">
        <v>0</v>
      </c>
      <c r="M83" s="428">
        <v>0</v>
      </c>
      <c r="N83" s="570">
        <v>634</v>
      </c>
      <c r="O83" s="328" t="s">
        <v>983</v>
      </c>
      <c r="P83" s="718" t="str">
        <f t="shared" si="43"/>
        <v>2. Medium</v>
      </c>
      <c r="Q83" s="965" t="s">
        <v>153</v>
      </c>
      <c r="R83" s="623"/>
      <c r="S83" s="620" t="s">
        <v>71</v>
      </c>
      <c r="T83" s="323" t="str">
        <f t="shared" si="44"/>
        <v>Covered</v>
      </c>
      <c r="U83" s="561">
        <v>42338</v>
      </c>
      <c r="V83" s="562"/>
      <c r="W83" s="558" t="s">
        <v>152</v>
      </c>
      <c r="X83" s="328">
        <v>0</v>
      </c>
      <c r="Y83" s="428">
        <v>0</v>
      </c>
      <c r="Z83" s="570" t="s">
        <v>43</v>
      </c>
      <c r="AA83" s="328">
        <v>6</v>
      </c>
      <c r="AB83" s="428">
        <v>0</v>
      </c>
      <c r="AC83" s="428">
        <v>0</v>
      </c>
      <c r="AD83" s="428">
        <v>1</v>
      </c>
      <c r="AE83" s="570"/>
      <c r="AF83" s="329">
        <v>0</v>
      </c>
      <c r="AG83" s="330">
        <v>0</v>
      </c>
      <c r="AH83" s="630">
        <f t="shared" si="45"/>
        <v>1</v>
      </c>
      <c r="AI83" s="574">
        <f t="shared" si="46"/>
        <v>634</v>
      </c>
      <c r="AJ83" s="605">
        <f t="shared" si="47"/>
        <v>1</v>
      </c>
      <c r="AK83" s="574">
        <f t="shared" si="48"/>
        <v>634</v>
      </c>
      <c r="AL83" s="605">
        <f t="shared" si="49"/>
        <v>1</v>
      </c>
      <c r="AM83" s="574">
        <f t="shared" si="50"/>
        <v>634</v>
      </c>
      <c r="AN83" s="605" t="str">
        <f t="shared" si="51"/>
        <v>80-100%</v>
      </c>
      <c r="AO83" s="605">
        <f t="shared" si="52"/>
        <v>0</v>
      </c>
      <c r="AP83" s="574">
        <f t="shared" si="53"/>
        <v>0</v>
      </c>
      <c r="AQ83" s="574" t="str">
        <f t="shared" si="54"/>
        <v>yes</v>
      </c>
      <c r="AR83" s="574">
        <f t="shared" si="55"/>
        <v>0</v>
      </c>
      <c r="AS83" s="574">
        <f t="shared" si="56"/>
        <v>0</v>
      </c>
      <c r="AT83" s="574">
        <f t="shared" si="57"/>
        <v>0</v>
      </c>
      <c r="AU83" s="589">
        <v>1</v>
      </c>
      <c r="AV83" s="635">
        <f t="shared" si="58"/>
        <v>634</v>
      </c>
      <c r="AW83" s="636"/>
      <c r="AX83" s="740">
        <v>0</v>
      </c>
      <c r="AY83" s="428">
        <v>22</v>
      </c>
      <c r="AZ83" s="428">
        <v>6</v>
      </c>
      <c r="BA83" s="473" t="s">
        <v>963</v>
      </c>
      <c r="BB83" s="548">
        <f t="shared" si="59"/>
        <v>0.20820189274447951</v>
      </c>
      <c r="BC83" s="606">
        <f t="shared" si="60"/>
        <v>132</v>
      </c>
      <c r="BD83" s="548">
        <f t="shared" si="61"/>
        <v>0.20820189274447951</v>
      </c>
      <c r="BE83" s="606">
        <f t="shared" si="62"/>
        <v>132</v>
      </c>
      <c r="BF83" s="549">
        <f t="shared" si="63"/>
        <v>0</v>
      </c>
      <c r="BG83" s="606">
        <f t="shared" si="64"/>
        <v>0</v>
      </c>
      <c r="BH83" s="428" t="s">
        <v>475</v>
      </c>
      <c r="BI83" s="429">
        <v>0.3</v>
      </c>
      <c r="BJ83" s="606">
        <f t="shared" si="85"/>
        <v>190.2</v>
      </c>
      <c r="BK83" s="606" t="str">
        <f t="shared" si="66"/>
        <v>n/a</v>
      </c>
      <c r="BL83" s="428" t="s">
        <v>475</v>
      </c>
      <c r="BM83" s="548" t="str">
        <f t="shared" si="67"/>
        <v>n/a</v>
      </c>
      <c r="BN83" s="606" t="str">
        <f t="shared" si="68"/>
        <v>n/a</v>
      </c>
      <c r="BO83" s="606" t="str">
        <f t="shared" si="69"/>
        <v>n/a</v>
      </c>
      <c r="BP83" s="578" t="s">
        <v>475</v>
      </c>
      <c r="BQ83" s="606" t="s">
        <v>475</v>
      </c>
      <c r="BR83" s="519" t="s">
        <v>475</v>
      </c>
      <c r="BS83" s="548" t="str">
        <f t="shared" si="70"/>
        <v>n/a</v>
      </c>
      <c r="BT83" s="607" t="str">
        <f t="shared" si="71"/>
        <v>n/a</v>
      </c>
      <c r="BU83" s="651" t="s">
        <v>475</v>
      </c>
      <c r="BV83" s="650" t="str">
        <f t="shared" si="72"/>
        <v>n/a</v>
      </c>
      <c r="BW83" s="325" t="s">
        <v>742</v>
      </c>
      <c r="BX83" s="430" t="s">
        <v>475</v>
      </c>
      <c r="BY83" s="1190"/>
      <c r="BZ83" s="1190"/>
      <c r="CA83" s="608" t="str">
        <f t="shared" si="73"/>
        <v>n/a</v>
      </c>
      <c r="CB83" s="428"/>
      <c r="CC83" s="428"/>
      <c r="CD83" s="609" t="str">
        <f t="shared" si="74"/>
        <v>n/a</v>
      </c>
      <c r="CE83" s="610" t="str">
        <f t="shared" si="75"/>
        <v>n/a</v>
      </c>
      <c r="CF83" s="609" t="str">
        <f t="shared" si="76"/>
        <v>n/a</v>
      </c>
      <c r="CG83" s="658" t="str">
        <f t="shared" si="77"/>
        <v>n/a</v>
      </c>
      <c r="CH83" s="328"/>
      <c r="CI83" s="330">
        <v>0</v>
      </c>
      <c r="CJ83" s="664">
        <f t="shared" si="78"/>
        <v>0</v>
      </c>
      <c r="CK83" s="328">
        <v>2</v>
      </c>
      <c r="CL83" s="611" t="str">
        <f t="shared" si="86"/>
        <v>Excellent coverage</v>
      </c>
      <c r="CM83" s="428" t="s">
        <v>38</v>
      </c>
      <c r="CN83" s="428" t="s">
        <v>475</v>
      </c>
      <c r="CO83" s="428" t="s">
        <v>41</v>
      </c>
      <c r="CP83" s="570" t="s">
        <v>41</v>
      </c>
      <c r="CQ83" s="666" t="s">
        <v>745</v>
      </c>
      <c r="CS83" s="1069">
        <f t="shared" si="79"/>
        <v>1</v>
      </c>
      <c r="CT83" s="1069">
        <f t="shared" si="80"/>
        <v>1</v>
      </c>
      <c r="CU83" s="1066">
        <f t="shared" si="81"/>
        <v>1</v>
      </c>
      <c r="CV83" s="1066">
        <f t="shared" si="82"/>
        <v>1</v>
      </c>
      <c r="CW83" s="1082">
        <f t="shared" si="83"/>
        <v>0</v>
      </c>
      <c r="CX83" s="1082">
        <f t="shared" si="84"/>
        <v>0</v>
      </c>
    </row>
    <row r="84" spans="1:102" s="322" customFormat="1" ht="21" customHeight="1">
      <c r="A84" s="358"/>
      <c r="B84" s="402" t="s">
        <v>70</v>
      </c>
      <c r="C84" s="603"/>
      <c r="D84" s="603"/>
      <c r="E84" s="1053">
        <v>198657</v>
      </c>
      <c r="F84" s="402" t="s">
        <v>713</v>
      </c>
      <c r="G84" s="556">
        <v>92.340199999999996</v>
      </c>
      <c r="H84" s="556">
        <v>21.057600000000001</v>
      </c>
      <c r="I84" s="560" t="s">
        <v>33</v>
      </c>
      <c r="J84" s="560" t="s">
        <v>45</v>
      </c>
      <c r="K84" s="604" t="s">
        <v>508</v>
      </c>
      <c r="L84" s="428">
        <v>0</v>
      </c>
      <c r="M84" s="428">
        <v>0</v>
      </c>
      <c r="N84" s="570">
        <v>158</v>
      </c>
      <c r="O84" s="328" t="s">
        <v>983</v>
      </c>
      <c r="P84" s="718" t="str">
        <f t="shared" si="43"/>
        <v>1. Small</v>
      </c>
      <c r="Q84" s="965" t="s">
        <v>153</v>
      </c>
      <c r="R84" s="623"/>
      <c r="S84" s="620" t="s">
        <v>71</v>
      </c>
      <c r="T84" s="323" t="str">
        <f t="shared" si="44"/>
        <v>Covered</v>
      </c>
      <c r="U84" s="561">
        <v>42338</v>
      </c>
      <c r="V84" s="562"/>
      <c r="W84" s="558" t="s">
        <v>152</v>
      </c>
      <c r="X84" s="328">
        <v>0</v>
      </c>
      <c r="Y84" s="428">
        <v>0</v>
      </c>
      <c r="Z84" s="570" t="s">
        <v>43</v>
      </c>
      <c r="AA84" s="328">
        <v>1</v>
      </c>
      <c r="AB84" s="428">
        <v>0</v>
      </c>
      <c r="AC84" s="428">
        <v>0</v>
      </c>
      <c r="AD84" s="428">
        <v>2</v>
      </c>
      <c r="AE84" s="570"/>
      <c r="AF84" s="329">
        <v>0</v>
      </c>
      <c r="AG84" s="330">
        <v>0</v>
      </c>
      <c r="AH84" s="630">
        <f t="shared" si="45"/>
        <v>1</v>
      </c>
      <c r="AI84" s="574">
        <f t="shared" si="46"/>
        <v>158</v>
      </c>
      <c r="AJ84" s="605">
        <f t="shared" si="47"/>
        <v>1</v>
      </c>
      <c r="AK84" s="574">
        <f t="shared" si="48"/>
        <v>158</v>
      </c>
      <c r="AL84" s="605">
        <f t="shared" si="49"/>
        <v>1</v>
      </c>
      <c r="AM84" s="574">
        <f t="shared" si="50"/>
        <v>158</v>
      </c>
      <c r="AN84" s="605" t="str">
        <f t="shared" si="51"/>
        <v>80-100%</v>
      </c>
      <c r="AO84" s="605">
        <f t="shared" si="52"/>
        <v>0</v>
      </c>
      <c r="AP84" s="574">
        <f t="shared" si="53"/>
        <v>0</v>
      </c>
      <c r="AQ84" s="574" t="str">
        <f t="shared" si="54"/>
        <v>yes</v>
      </c>
      <c r="AR84" s="574">
        <f t="shared" si="55"/>
        <v>0</v>
      </c>
      <c r="AS84" s="574">
        <f t="shared" si="56"/>
        <v>0</v>
      </c>
      <c r="AT84" s="574">
        <f t="shared" si="57"/>
        <v>0</v>
      </c>
      <c r="AU84" s="589">
        <v>1</v>
      </c>
      <c r="AV84" s="635">
        <f t="shared" si="58"/>
        <v>158</v>
      </c>
      <c r="AW84" s="636" t="s">
        <v>510</v>
      </c>
      <c r="AX84" s="740">
        <v>0</v>
      </c>
      <c r="AY84" s="428">
        <v>7</v>
      </c>
      <c r="AZ84" s="428">
        <v>6</v>
      </c>
      <c r="BA84" s="473" t="s">
        <v>963</v>
      </c>
      <c r="BB84" s="548">
        <f t="shared" si="59"/>
        <v>0.26582278481012656</v>
      </c>
      <c r="BC84" s="606">
        <f t="shared" si="60"/>
        <v>41.999999999999993</v>
      </c>
      <c r="BD84" s="548">
        <f t="shared" si="61"/>
        <v>0.26582278481012656</v>
      </c>
      <c r="BE84" s="606">
        <f t="shared" si="62"/>
        <v>41.999999999999993</v>
      </c>
      <c r="BF84" s="549">
        <f t="shared" si="63"/>
        <v>0</v>
      </c>
      <c r="BG84" s="606">
        <f t="shared" si="64"/>
        <v>0</v>
      </c>
      <c r="BH84" s="428" t="s">
        <v>475</v>
      </c>
      <c r="BI84" s="429"/>
      <c r="BJ84" s="606">
        <f t="shared" si="85"/>
        <v>0</v>
      </c>
      <c r="BK84" s="606" t="str">
        <f t="shared" si="66"/>
        <v>n/a</v>
      </c>
      <c r="BL84" s="428" t="s">
        <v>475</v>
      </c>
      <c r="BM84" s="548" t="str">
        <f t="shared" si="67"/>
        <v>n/a</v>
      </c>
      <c r="BN84" s="606" t="str">
        <f t="shared" si="68"/>
        <v>n/a</v>
      </c>
      <c r="BO84" s="606" t="str">
        <f t="shared" si="69"/>
        <v>n/a</v>
      </c>
      <c r="BP84" s="578" t="s">
        <v>475</v>
      </c>
      <c r="BQ84" s="606" t="s">
        <v>475</v>
      </c>
      <c r="BR84" s="519" t="s">
        <v>475</v>
      </c>
      <c r="BS84" s="548" t="str">
        <f t="shared" si="70"/>
        <v>n/a</v>
      </c>
      <c r="BT84" s="607" t="str">
        <f t="shared" si="71"/>
        <v>n/a</v>
      </c>
      <c r="BU84" s="651" t="s">
        <v>475</v>
      </c>
      <c r="BV84" s="650" t="str">
        <f t="shared" si="72"/>
        <v>n/a</v>
      </c>
      <c r="BW84" s="325" t="s">
        <v>742</v>
      </c>
      <c r="BX84" s="430" t="s">
        <v>475</v>
      </c>
      <c r="BY84" s="1190"/>
      <c r="BZ84" s="1190"/>
      <c r="CA84" s="608" t="str">
        <f t="shared" si="73"/>
        <v>n/a</v>
      </c>
      <c r="CB84" s="428"/>
      <c r="CC84" s="428"/>
      <c r="CD84" s="609" t="str">
        <f t="shared" si="74"/>
        <v>n/a</v>
      </c>
      <c r="CE84" s="610" t="str">
        <f t="shared" si="75"/>
        <v>n/a</v>
      </c>
      <c r="CF84" s="609" t="str">
        <f t="shared" si="76"/>
        <v>n/a</v>
      </c>
      <c r="CG84" s="658" t="str">
        <f t="shared" si="77"/>
        <v>n/a</v>
      </c>
      <c r="CH84" s="328"/>
      <c r="CI84" s="330">
        <v>0</v>
      </c>
      <c r="CJ84" s="664">
        <f t="shared" si="78"/>
        <v>0</v>
      </c>
      <c r="CK84" s="328">
        <v>2</v>
      </c>
      <c r="CL84" s="611" t="str">
        <f t="shared" si="86"/>
        <v>Excellent coverage</v>
      </c>
      <c r="CM84" s="428" t="s">
        <v>38</v>
      </c>
      <c r="CN84" s="428" t="s">
        <v>475</v>
      </c>
      <c r="CO84" s="428" t="s">
        <v>41</v>
      </c>
      <c r="CP84" s="570" t="s">
        <v>41</v>
      </c>
      <c r="CQ84" s="666" t="s">
        <v>745</v>
      </c>
      <c r="CS84" s="1069">
        <f t="shared" si="79"/>
        <v>1</v>
      </c>
      <c r="CT84" s="1069">
        <f t="shared" si="80"/>
        <v>1</v>
      </c>
      <c r="CU84" s="1066">
        <f t="shared" si="81"/>
        <v>1</v>
      </c>
      <c r="CV84" s="1066">
        <f t="shared" si="82"/>
        <v>1</v>
      </c>
      <c r="CW84" s="1082">
        <f t="shared" si="83"/>
        <v>0</v>
      </c>
      <c r="CX84" s="1082">
        <f t="shared" si="84"/>
        <v>0</v>
      </c>
    </row>
    <row r="85" spans="1:102" s="322" customFormat="1" ht="21" customHeight="1">
      <c r="A85" s="358"/>
      <c r="B85" s="402" t="s">
        <v>415</v>
      </c>
      <c r="C85" s="603"/>
      <c r="D85" s="603"/>
      <c r="E85" s="1052" t="s">
        <v>635</v>
      </c>
      <c r="F85" s="402" t="s">
        <v>633</v>
      </c>
      <c r="G85" s="556">
        <v>93.002700000000004</v>
      </c>
      <c r="H85" s="556">
        <v>20.921199999999999</v>
      </c>
      <c r="I85" s="560" t="s">
        <v>33</v>
      </c>
      <c r="J85" s="560" t="s">
        <v>34</v>
      </c>
      <c r="K85" s="603" t="s">
        <v>642</v>
      </c>
      <c r="L85" s="428">
        <v>23</v>
      </c>
      <c r="M85" s="428">
        <v>140</v>
      </c>
      <c r="N85" s="570">
        <v>480</v>
      </c>
      <c r="O85" s="328" t="s">
        <v>984</v>
      </c>
      <c r="P85" s="718" t="str">
        <f t="shared" si="43"/>
        <v>1. Small</v>
      </c>
      <c r="Q85" s="965" t="s">
        <v>139</v>
      </c>
      <c r="R85" s="623" t="s">
        <v>301</v>
      </c>
      <c r="S85" s="620" t="s">
        <v>139</v>
      </c>
      <c r="T85" s="323" t="str">
        <f t="shared" si="44"/>
        <v>Not Covered</v>
      </c>
      <c r="U85" s="561"/>
      <c r="V85" s="562"/>
      <c r="W85" s="558" t="s">
        <v>154</v>
      </c>
      <c r="X85" s="328">
        <v>0</v>
      </c>
      <c r="Y85" s="428">
        <v>0</v>
      </c>
      <c r="Z85" s="570" t="s">
        <v>43</v>
      </c>
      <c r="AA85" s="328">
        <v>0</v>
      </c>
      <c r="AB85" s="428">
        <v>0</v>
      </c>
      <c r="AC85" s="428">
        <v>0</v>
      </c>
      <c r="AD85" s="428">
        <v>2</v>
      </c>
      <c r="AE85" s="570"/>
      <c r="AF85" s="329">
        <v>0</v>
      </c>
      <c r="AG85" s="330">
        <v>0</v>
      </c>
      <c r="AH85" s="630">
        <f t="shared" si="45"/>
        <v>0</v>
      </c>
      <c r="AI85" s="574">
        <f t="shared" si="46"/>
        <v>0</v>
      </c>
      <c r="AJ85" s="605">
        <f t="shared" si="47"/>
        <v>0</v>
      </c>
      <c r="AK85" s="574">
        <f t="shared" si="48"/>
        <v>0</v>
      </c>
      <c r="AL85" s="605">
        <f t="shared" si="49"/>
        <v>0</v>
      </c>
      <c r="AM85" s="574">
        <f t="shared" si="50"/>
        <v>0</v>
      </c>
      <c r="AN85" s="605" t="str">
        <f t="shared" si="51"/>
        <v>0-10%</v>
      </c>
      <c r="AO85" s="605">
        <f t="shared" si="52"/>
        <v>0</v>
      </c>
      <c r="AP85" s="574">
        <f t="shared" si="53"/>
        <v>0</v>
      </c>
      <c r="AQ85" s="574" t="str">
        <f t="shared" si="54"/>
        <v>yes</v>
      </c>
      <c r="AR85" s="574">
        <f t="shared" si="55"/>
        <v>1.92</v>
      </c>
      <c r="AS85" s="574">
        <f t="shared" si="56"/>
        <v>0</v>
      </c>
      <c r="AT85" s="574">
        <f t="shared" si="57"/>
        <v>0</v>
      </c>
      <c r="AU85" s="589">
        <v>0</v>
      </c>
      <c r="AV85" s="635">
        <f t="shared" si="58"/>
        <v>0</v>
      </c>
      <c r="AW85" s="636"/>
      <c r="AX85" s="1080">
        <v>4</v>
      </c>
      <c r="AY85" s="428">
        <v>0</v>
      </c>
      <c r="AZ85" s="428">
        <v>6</v>
      </c>
      <c r="BA85" s="473" t="s">
        <v>965</v>
      </c>
      <c r="BB85" s="548">
        <f t="shared" si="59"/>
        <v>0</v>
      </c>
      <c r="BC85" s="606">
        <f t="shared" si="60"/>
        <v>0</v>
      </c>
      <c r="BD85" s="548">
        <f t="shared" si="61"/>
        <v>0</v>
      </c>
      <c r="BE85" s="606">
        <f t="shared" si="62"/>
        <v>0</v>
      </c>
      <c r="BF85" s="549">
        <f t="shared" si="63"/>
        <v>0</v>
      </c>
      <c r="BG85" s="606">
        <f t="shared" si="64"/>
        <v>0</v>
      </c>
      <c r="BH85" s="428" t="s">
        <v>475</v>
      </c>
      <c r="BI85" s="429">
        <v>0</v>
      </c>
      <c r="BJ85" s="606">
        <f t="shared" si="85"/>
        <v>0</v>
      </c>
      <c r="BK85" s="606" t="str">
        <f t="shared" si="66"/>
        <v>n/a</v>
      </c>
      <c r="BL85" s="428" t="s">
        <v>475</v>
      </c>
      <c r="BM85" s="548" t="str">
        <f t="shared" si="67"/>
        <v>n/a</v>
      </c>
      <c r="BN85" s="606" t="str">
        <f t="shared" si="68"/>
        <v>n/a</v>
      </c>
      <c r="BO85" s="606" t="str">
        <f t="shared" si="69"/>
        <v>n/a</v>
      </c>
      <c r="BP85" s="578" t="s">
        <v>475</v>
      </c>
      <c r="BQ85" s="606" t="s">
        <v>475</v>
      </c>
      <c r="BR85" s="519" t="s">
        <v>475</v>
      </c>
      <c r="BS85" s="548" t="str">
        <f t="shared" si="70"/>
        <v>n/a</v>
      </c>
      <c r="BT85" s="607" t="str">
        <f t="shared" si="71"/>
        <v>n/a</v>
      </c>
      <c r="BU85" s="651" t="s">
        <v>475</v>
      </c>
      <c r="BV85" s="650" t="str">
        <f t="shared" si="72"/>
        <v>n/a</v>
      </c>
      <c r="BW85" s="325" t="s">
        <v>512</v>
      </c>
      <c r="BX85" s="430" t="s">
        <v>475</v>
      </c>
      <c r="BY85" s="1190"/>
      <c r="BZ85" s="1190"/>
      <c r="CA85" s="608" t="str">
        <f t="shared" si="73"/>
        <v>n/a</v>
      </c>
      <c r="CB85" s="428"/>
      <c r="CC85" s="428"/>
      <c r="CD85" s="609" t="str">
        <f t="shared" si="74"/>
        <v>n/a</v>
      </c>
      <c r="CE85" s="610" t="str">
        <f t="shared" si="75"/>
        <v>n/a</v>
      </c>
      <c r="CF85" s="609" t="str">
        <f t="shared" si="76"/>
        <v>n/a</v>
      </c>
      <c r="CG85" s="658" t="str">
        <f t="shared" si="77"/>
        <v>n/a</v>
      </c>
      <c r="CH85" s="328"/>
      <c r="CI85" s="330"/>
      <c r="CJ85" s="664">
        <f t="shared" si="78"/>
        <v>0</v>
      </c>
      <c r="CK85" s="328"/>
      <c r="CL85" s="611" t="str">
        <f t="shared" si="86"/>
        <v>No coverage</v>
      </c>
      <c r="CM85" s="428"/>
      <c r="CN85" s="428"/>
      <c r="CO85" s="428"/>
      <c r="CP85" s="570"/>
      <c r="CQ85" s="666"/>
      <c r="CS85" s="1069">
        <f t="shared" si="79"/>
        <v>0</v>
      </c>
      <c r="CT85" s="1069">
        <f t="shared" si="80"/>
        <v>0</v>
      </c>
      <c r="CU85" s="1066">
        <f t="shared" si="81"/>
        <v>0</v>
      </c>
      <c r="CV85" s="1066">
        <f t="shared" si="82"/>
        <v>0</v>
      </c>
      <c r="CW85" s="1082">
        <f t="shared" si="83"/>
        <v>1.2</v>
      </c>
      <c r="CX85" s="1082">
        <f t="shared" si="84"/>
        <v>1.92</v>
      </c>
    </row>
    <row r="86" spans="1:102" s="322" customFormat="1" ht="21" customHeight="1">
      <c r="A86" s="358"/>
      <c r="B86" s="402" t="s">
        <v>415</v>
      </c>
      <c r="C86" s="603"/>
      <c r="D86" s="603"/>
      <c r="E86" s="1052" t="s">
        <v>213</v>
      </c>
      <c r="F86" s="402" t="s">
        <v>634</v>
      </c>
      <c r="G86" s="556">
        <v>93.016300000000001</v>
      </c>
      <c r="H86" s="556">
        <v>20.911000000000001</v>
      </c>
      <c r="I86" s="560" t="s">
        <v>33</v>
      </c>
      <c r="J86" s="560" t="s">
        <v>34</v>
      </c>
      <c r="K86" s="603" t="s">
        <v>642</v>
      </c>
      <c r="L86" s="428">
        <v>14</v>
      </c>
      <c r="M86" s="428">
        <v>84</v>
      </c>
      <c r="N86" s="570">
        <v>3109</v>
      </c>
      <c r="O86" s="328" t="s">
        <v>984</v>
      </c>
      <c r="P86" s="718" t="str">
        <f t="shared" si="43"/>
        <v>3. Large</v>
      </c>
      <c r="Q86" s="965" t="s">
        <v>139</v>
      </c>
      <c r="R86" s="623" t="s">
        <v>301</v>
      </c>
      <c r="S86" s="620" t="s">
        <v>139</v>
      </c>
      <c r="T86" s="323" t="str">
        <f t="shared" si="44"/>
        <v>Not Covered</v>
      </c>
      <c r="U86" s="561"/>
      <c r="V86" s="562"/>
      <c r="W86" s="558" t="s">
        <v>154</v>
      </c>
      <c r="X86" s="328">
        <v>0</v>
      </c>
      <c r="Y86" s="428">
        <v>0</v>
      </c>
      <c r="Z86" s="570" t="s">
        <v>43</v>
      </c>
      <c r="AA86" s="328">
        <v>0</v>
      </c>
      <c r="AB86" s="428">
        <v>0</v>
      </c>
      <c r="AC86" s="428">
        <v>0</v>
      </c>
      <c r="AD86" s="428">
        <v>2</v>
      </c>
      <c r="AE86" s="570"/>
      <c r="AF86" s="329">
        <v>0</v>
      </c>
      <c r="AG86" s="330">
        <v>0</v>
      </c>
      <c r="AH86" s="630">
        <f t="shared" si="45"/>
        <v>0</v>
      </c>
      <c r="AI86" s="574">
        <f t="shared" si="46"/>
        <v>0</v>
      </c>
      <c r="AJ86" s="605">
        <f t="shared" si="47"/>
        <v>0</v>
      </c>
      <c r="AK86" s="574">
        <f t="shared" si="48"/>
        <v>0</v>
      </c>
      <c r="AL86" s="605">
        <f t="shared" si="49"/>
        <v>0</v>
      </c>
      <c r="AM86" s="574">
        <f t="shared" si="50"/>
        <v>0</v>
      </c>
      <c r="AN86" s="605" t="str">
        <f t="shared" si="51"/>
        <v>0-10%</v>
      </c>
      <c r="AO86" s="605">
        <f t="shared" si="52"/>
        <v>0</v>
      </c>
      <c r="AP86" s="574">
        <f t="shared" si="53"/>
        <v>0</v>
      </c>
      <c r="AQ86" s="574" t="str">
        <f t="shared" si="54"/>
        <v>yes</v>
      </c>
      <c r="AR86" s="574">
        <f t="shared" si="55"/>
        <v>12.436</v>
      </c>
      <c r="AS86" s="574">
        <f t="shared" si="56"/>
        <v>0</v>
      </c>
      <c r="AT86" s="574">
        <f t="shared" si="57"/>
        <v>0</v>
      </c>
      <c r="AU86" s="589">
        <v>0</v>
      </c>
      <c r="AV86" s="635">
        <f t="shared" si="58"/>
        <v>0</v>
      </c>
      <c r="AW86" s="636"/>
      <c r="AX86" s="740">
        <v>0</v>
      </c>
      <c r="AY86" s="428">
        <v>4</v>
      </c>
      <c r="AZ86" s="428">
        <v>6</v>
      </c>
      <c r="BA86" s="473" t="s">
        <v>965</v>
      </c>
      <c r="BB86" s="548">
        <f t="shared" si="59"/>
        <v>7.7195239626889674E-3</v>
      </c>
      <c r="BC86" s="606">
        <f t="shared" si="60"/>
        <v>24</v>
      </c>
      <c r="BD86" s="548">
        <f t="shared" si="61"/>
        <v>7.7195239626889674E-3</v>
      </c>
      <c r="BE86" s="606">
        <f t="shared" si="62"/>
        <v>24</v>
      </c>
      <c r="BF86" s="549">
        <f t="shared" si="63"/>
        <v>0</v>
      </c>
      <c r="BG86" s="606">
        <f t="shared" si="64"/>
        <v>0</v>
      </c>
      <c r="BH86" s="428" t="s">
        <v>475</v>
      </c>
      <c r="BI86" s="429">
        <v>0.01</v>
      </c>
      <c r="BJ86" s="606">
        <f t="shared" si="85"/>
        <v>31.09</v>
      </c>
      <c r="BK86" s="606" t="str">
        <f t="shared" si="66"/>
        <v>n/a</v>
      </c>
      <c r="BL86" s="428" t="s">
        <v>475</v>
      </c>
      <c r="BM86" s="548" t="str">
        <f t="shared" si="67"/>
        <v>n/a</v>
      </c>
      <c r="BN86" s="606" t="str">
        <f t="shared" si="68"/>
        <v>n/a</v>
      </c>
      <c r="BO86" s="606" t="str">
        <f t="shared" si="69"/>
        <v>n/a</v>
      </c>
      <c r="BP86" s="578" t="s">
        <v>475</v>
      </c>
      <c r="BQ86" s="606" t="s">
        <v>475</v>
      </c>
      <c r="BR86" s="519" t="s">
        <v>475</v>
      </c>
      <c r="BS86" s="548" t="str">
        <f t="shared" si="70"/>
        <v>n/a</v>
      </c>
      <c r="BT86" s="607" t="str">
        <f t="shared" si="71"/>
        <v>n/a</v>
      </c>
      <c r="BU86" s="651" t="s">
        <v>475</v>
      </c>
      <c r="BV86" s="650" t="str">
        <f t="shared" si="72"/>
        <v>n/a</v>
      </c>
      <c r="BW86" s="325" t="s">
        <v>512</v>
      </c>
      <c r="BX86" s="430" t="s">
        <v>475</v>
      </c>
      <c r="BY86" s="1190"/>
      <c r="BZ86" s="1190"/>
      <c r="CA86" s="608" t="str">
        <f t="shared" si="73"/>
        <v>n/a</v>
      </c>
      <c r="CB86" s="428"/>
      <c r="CC86" s="428"/>
      <c r="CD86" s="609" t="str">
        <f t="shared" si="74"/>
        <v>n/a</v>
      </c>
      <c r="CE86" s="610" t="str">
        <f t="shared" si="75"/>
        <v>n/a</v>
      </c>
      <c r="CF86" s="609" t="str">
        <f t="shared" si="76"/>
        <v>n/a</v>
      </c>
      <c r="CG86" s="658" t="str">
        <f t="shared" si="77"/>
        <v>n/a</v>
      </c>
      <c r="CH86" s="328"/>
      <c r="CI86" s="330"/>
      <c r="CJ86" s="664">
        <f t="shared" si="78"/>
        <v>0</v>
      </c>
      <c r="CK86" s="328"/>
      <c r="CL86" s="611" t="str">
        <f t="shared" si="86"/>
        <v>No coverage</v>
      </c>
      <c r="CM86" s="428"/>
      <c r="CN86" s="428"/>
      <c r="CO86" s="428"/>
      <c r="CP86" s="570"/>
      <c r="CQ86" s="666"/>
      <c r="CS86" s="1069">
        <f t="shared" si="79"/>
        <v>0</v>
      </c>
      <c r="CT86" s="1069">
        <f t="shared" si="80"/>
        <v>0</v>
      </c>
      <c r="CU86" s="1066">
        <f t="shared" si="81"/>
        <v>0</v>
      </c>
      <c r="CV86" s="1066">
        <f t="shared" si="82"/>
        <v>0</v>
      </c>
      <c r="CW86" s="1082">
        <f t="shared" si="83"/>
        <v>7.7725</v>
      </c>
      <c r="CX86" s="1082">
        <f t="shared" si="84"/>
        <v>12.436</v>
      </c>
    </row>
    <row r="87" spans="1:102" s="322" customFormat="1" ht="21" customHeight="1">
      <c r="A87" s="358"/>
      <c r="B87" s="402" t="s">
        <v>415</v>
      </c>
      <c r="C87" s="603"/>
      <c r="D87" s="603"/>
      <c r="E87" s="1052">
        <v>196946</v>
      </c>
      <c r="F87" s="402" t="s">
        <v>59</v>
      </c>
      <c r="G87" s="556">
        <v>92.961841000000007</v>
      </c>
      <c r="H87" s="556">
        <v>20.720213000000001</v>
      </c>
      <c r="I87" s="560" t="s">
        <v>33</v>
      </c>
      <c r="J87" s="560" t="s">
        <v>45</v>
      </c>
      <c r="K87" s="604" t="s">
        <v>642</v>
      </c>
      <c r="L87" s="428">
        <v>92</v>
      </c>
      <c r="M87" s="428">
        <v>559</v>
      </c>
      <c r="N87" s="570">
        <v>559</v>
      </c>
      <c r="O87" s="328"/>
      <c r="P87" s="718" t="str">
        <f t="shared" si="43"/>
        <v>2. Medium</v>
      </c>
      <c r="Q87" s="965" t="s">
        <v>452</v>
      </c>
      <c r="R87" s="623"/>
      <c r="S87" s="620" t="s">
        <v>71</v>
      </c>
      <c r="T87" s="323" t="str">
        <f t="shared" si="44"/>
        <v>Covered</v>
      </c>
      <c r="U87" s="561">
        <v>42428</v>
      </c>
      <c r="V87" s="562"/>
      <c r="W87" s="558" t="s">
        <v>152</v>
      </c>
      <c r="X87" s="328">
        <v>0</v>
      </c>
      <c r="Y87" s="428">
        <v>0</v>
      </c>
      <c r="Z87" s="570" t="s">
        <v>43</v>
      </c>
      <c r="AA87" s="328">
        <v>0</v>
      </c>
      <c r="AB87" s="428">
        <v>0</v>
      </c>
      <c r="AC87" s="428">
        <v>0</v>
      </c>
      <c r="AD87" s="428">
        <v>1</v>
      </c>
      <c r="AE87" s="570"/>
      <c r="AF87" s="329">
        <v>0</v>
      </c>
      <c r="AG87" s="330">
        <v>0</v>
      </c>
      <c r="AH87" s="630">
        <f t="shared" si="45"/>
        <v>0</v>
      </c>
      <c r="AI87" s="574">
        <f t="shared" si="46"/>
        <v>0</v>
      </c>
      <c r="AJ87" s="605">
        <f t="shared" si="47"/>
        <v>0</v>
      </c>
      <c r="AK87" s="574">
        <f t="shared" si="48"/>
        <v>0</v>
      </c>
      <c r="AL87" s="605">
        <f t="shared" si="49"/>
        <v>0</v>
      </c>
      <c r="AM87" s="574">
        <f t="shared" si="50"/>
        <v>0</v>
      </c>
      <c r="AN87" s="605" t="str">
        <f t="shared" si="51"/>
        <v>0-10%</v>
      </c>
      <c r="AO87" s="605">
        <f t="shared" si="52"/>
        <v>0</v>
      </c>
      <c r="AP87" s="574">
        <f t="shared" si="53"/>
        <v>0</v>
      </c>
      <c r="AQ87" s="574" t="str">
        <f t="shared" si="54"/>
        <v>yes</v>
      </c>
      <c r="AR87" s="574">
        <f t="shared" si="55"/>
        <v>2.2360000000000002</v>
      </c>
      <c r="AS87" s="574">
        <f t="shared" si="56"/>
        <v>0</v>
      </c>
      <c r="AT87" s="574">
        <f t="shared" si="57"/>
        <v>0</v>
      </c>
      <c r="AU87" s="589">
        <v>0</v>
      </c>
      <c r="AV87" s="635">
        <f t="shared" si="58"/>
        <v>0</v>
      </c>
      <c r="AW87" s="636"/>
      <c r="AX87" s="740">
        <v>0</v>
      </c>
      <c r="AY87" s="428">
        <v>20</v>
      </c>
      <c r="AZ87" s="428">
        <v>6</v>
      </c>
      <c r="BA87" s="473" t="s">
        <v>526</v>
      </c>
      <c r="BB87" s="548">
        <f t="shared" si="59"/>
        <v>0.21466905187835419</v>
      </c>
      <c r="BC87" s="606">
        <f t="shared" si="60"/>
        <v>120</v>
      </c>
      <c r="BD87" s="548">
        <f t="shared" si="61"/>
        <v>0.21466905187835419</v>
      </c>
      <c r="BE87" s="606">
        <f t="shared" si="62"/>
        <v>120</v>
      </c>
      <c r="BF87" s="549">
        <f t="shared" si="63"/>
        <v>0</v>
      </c>
      <c r="BG87" s="606">
        <f t="shared" si="64"/>
        <v>0</v>
      </c>
      <c r="BH87" s="429" t="s">
        <v>492</v>
      </c>
      <c r="BI87" s="429">
        <v>0.8</v>
      </c>
      <c r="BJ87" s="606">
        <f t="shared" si="85"/>
        <v>447.20000000000005</v>
      </c>
      <c r="BK87" s="606" t="str">
        <f t="shared" si="66"/>
        <v>n/a</v>
      </c>
      <c r="BL87" s="428" t="s">
        <v>475</v>
      </c>
      <c r="BM87" s="548" t="str">
        <f t="shared" si="67"/>
        <v>n/a</v>
      </c>
      <c r="BN87" s="606" t="str">
        <f t="shared" si="68"/>
        <v>n/a</v>
      </c>
      <c r="BO87" s="606" t="str">
        <f t="shared" si="69"/>
        <v>n/a</v>
      </c>
      <c r="BP87" s="578" t="s">
        <v>475</v>
      </c>
      <c r="BQ87" s="606" t="s">
        <v>475</v>
      </c>
      <c r="BR87" s="519" t="s">
        <v>475</v>
      </c>
      <c r="BS87" s="548" t="str">
        <f t="shared" si="70"/>
        <v>n/a</v>
      </c>
      <c r="BT87" s="607" t="str">
        <f t="shared" si="71"/>
        <v>n/a</v>
      </c>
      <c r="BU87" s="651" t="s">
        <v>475</v>
      </c>
      <c r="BV87" s="650" t="str">
        <f t="shared" si="72"/>
        <v>n/a</v>
      </c>
      <c r="BW87" s="325" t="s">
        <v>672</v>
      </c>
      <c r="BX87" s="430" t="s">
        <v>475</v>
      </c>
      <c r="BY87" s="1190"/>
      <c r="BZ87" s="1190"/>
      <c r="CA87" s="608" t="str">
        <f t="shared" si="73"/>
        <v>n/a</v>
      </c>
      <c r="CB87" s="428">
        <v>97</v>
      </c>
      <c r="CC87" s="428">
        <v>3</v>
      </c>
      <c r="CD87" s="609" t="str">
        <f t="shared" si="74"/>
        <v>n/a</v>
      </c>
      <c r="CE87" s="610" t="str">
        <f t="shared" si="75"/>
        <v>n/a</v>
      </c>
      <c r="CF87" s="609" t="str">
        <f t="shared" si="76"/>
        <v>n/a</v>
      </c>
      <c r="CG87" s="658" t="str">
        <f t="shared" si="77"/>
        <v>n/a</v>
      </c>
      <c r="CH87" s="328"/>
      <c r="CI87" s="330">
        <v>0</v>
      </c>
      <c r="CJ87" s="664">
        <f t="shared" si="78"/>
        <v>0</v>
      </c>
      <c r="CK87" s="328">
        <v>2</v>
      </c>
      <c r="CL87" s="611" t="s">
        <v>670</v>
      </c>
      <c r="CM87" s="428" t="s">
        <v>169</v>
      </c>
      <c r="CN87" s="428" t="s">
        <v>475</v>
      </c>
      <c r="CO87" s="428" t="s">
        <v>169</v>
      </c>
      <c r="CP87" s="570" t="s">
        <v>169</v>
      </c>
      <c r="CQ87" s="666"/>
      <c r="CS87" s="1069">
        <f t="shared" si="79"/>
        <v>0</v>
      </c>
      <c r="CT87" s="1069">
        <f t="shared" si="80"/>
        <v>0</v>
      </c>
      <c r="CU87" s="1066">
        <f t="shared" si="81"/>
        <v>0</v>
      </c>
      <c r="CV87" s="1066">
        <f t="shared" si="82"/>
        <v>0</v>
      </c>
      <c r="CW87" s="1082">
        <f t="shared" si="83"/>
        <v>1.3975</v>
      </c>
      <c r="CX87" s="1082">
        <f t="shared" si="84"/>
        <v>2.2360000000000002</v>
      </c>
    </row>
    <row r="88" spans="1:102" s="322" customFormat="1" ht="21" customHeight="1">
      <c r="A88" s="358"/>
      <c r="B88" s="402" t="s">
        <v>415</v>
      </c>
      <c r="C88" s="603"/>
      <c r="D88" s="603"/>
      <c r="E88" s="1052" t="s">
        <v>636</v>
      </c>
      <c r="F88" s="402" t="s">
        <v>59</v>
      </c>
      <c r="G88" s="556">
        <v>93.014349999999993</v>
      </c>
      <c r="H88" s="556">
        <v>20.896740000000001</v>
      </c>
      <c r="I88" s="560" t="s">
        <v>33</v>
      </c>
      <c r="J88" s="560" t="s">
        <v>34</v>
      </c>
      <c r="K88" s="603" t="s">
        <v>642</v>
      </c>
      <c r="L88" s="428">
        <v>153</v>
      </c>
      <c r="M88" s="428">
        <v>836</v>
      </c>
      <c r="N88" s="570">
        <v>836</v>
      </c>
      <c r="O88" s="328"/>
      <c r="P88" s="718" t="str">
        <f t="shared" si="43"/>
        <v>2. Medium</v>
      </c>
      <c r="Q88" s="965" t="s">
        <v>452</v>
      </c>
      <c r="R88" s="623" t="s">
        <v>301</v>
      </c>
      <c r="S88" s="620" t="s">
        <v>71</v>
      </c>
      <c r="T88" s="323" t="str">
        <f t="shared" si="44"/>
        <v>Covered</v>
      </c>
      <c r="U88" s="561">
        <v>42428</v>
      </c>
      <c r="V88" s="562"/>
      <c r="W88" s="558" t="s">
        <v>152</v>
      </c>
      <c r="X88" s="328">
        <v>0</v>
      </c>
      <c r="Y88" s="428">
        <v>0</v>
      </c>
      <c r="Z88" s="570" t="s">
        <v>43</v>
      </c>
      <c r="AA88" s="328">
        <v>0</v>
      </c>
      <c r="AB88" s="428">
        <v>0</v>
      </c>
      <c r="AC88" s="428">
        <v>0</v>
      </c>
      <c r="AD88" s="428">
        <v>2</v>
      </c>
      <c r="AE88" s="570"/>
      <c r="AF88" s="329">
        <v>0</v>
      </c>
      <c r="AG88" s="330">
        <v>0</v>
      </c>
      <c r="AH88" s="630">
        <f t="shared" si="45"/>
        <v>0</v>
      </c>
      <c r="AI88" s="574">
        <f t="shared" si="46"/>
        <v>0</v>
      </c>
      <c r="AJ88" s="605">
        <f t="shared" si="47"/>
        <v>0</v>
      </c>
      <c r="AK88" s="574">
        <f t="shared" si="48"/>
        <v>0</v>
      </c>
      <c r="AL88" s="605">
        <f t="shared" si="49"/>
        <v>0</v>
      </c>
      <c r="AM88" s="574">
        <f t="shared" si="50"/>
        <v>0</v>
      </c>
      <c r="AN88" s="605" t="str">
        <f t="shared" si="51"/>
        <v>0-10%</v>
      </c>
      <c r="AO88" s="605">
        <f t="shared" si="52"/>
        <v>0</v>
      </c>
      <c r="AP88" s="574">
        <f t="shared" si="53"/>
        <v>0</v>
      </c>
      <c r="AQ88" s="574" t="str">
        <f t="shared" si="54"/>
        <v>yes</v>
      </c>
      <c r="AR88" s="574">
        <f t="shared" si="55"/>
        <v>3.3439999999999999</v>
      </c>
      <c r="AS88" s="574">
        <f t="shared" si="56"/>
        <v>0</v>
      </c>
      <c r="AT88" s="574">
        <f t="shared" si="57"/>
        <v>0</v>
      </c>
      <c r="AU88" s="589">
        <v>0</v>
      </c>
      <c r="AV88" s="635">
        <f t="shared" si="58"/>
        <v>0</v>
      </c>
      <c r="AW88" s="636"/>
      <c r="AX88" s="740">
        <v>0</v>
      </c>
      <c r="AY88" s="428">
        <v>20</v>
      </c>
      <c r="AZ88" s="428">
        <v>6</v>
      </c>
      <c r="BA88" s="473" t="s">
        <v>526</v>
      </c>
      <c r="BB88" s="548">
        <f t="shared" si="59"/>
        <v>0.14354066985645933</v>
      </c>
      <c r="BC88" s="606">
        <f t="shared" si="60"/>
        <v>120</v>
      </c>
      <c r="BD88" s="548">
        <f t="shared" si="61"/>
        <v>0.14354066985645933</v>
      </c>
      <c r="BE88" s="606">
        <f t="shared" si="62"/>
        <v>120</v>
      </c>
      <c r="BF88" s="549">
        <f t="shared" si="63"/>
        <v>0</v>
      </c>
      <c r="BG88" s="606">
        <f t="shared" si="64"/>
        <v>0</v>
      </c>
      <c r="BH88" s="578" t="s">
        <v>492</v>
      </c>
      <c r="BI88" s="429">
        <v>0.8</v>
      </c>
      <c r="BJ88" s="606">
        <f t="shared" si="85"/>
        <v>668.80000000000007</v>
      </c>
      <c r="BK88" s="606" t="str">
        <f t="shared" si="66"/>
        <v>n/a</v>
      </c>
      <c r="BL88" s="428" t="s">
        <v>475</v>
      </c>
      <c r="BM88" s="548" t="str">
        <f t="shared" si="67"/>
        <v>n/a</v>
      </c>
      <c r="BN88" s="606" t="str">
        <f t="shared" si="68"/>
        <v>n/a</v>
      </c>
      <c r="BO88" s="606" t="str">
        <f t="shared" si="69"/>
        <v>n/a</v>
      </c>
      <c r="BP88" s="578" t="s">
        <v>475</v>
      </c>
      <c r="BQ88" s="606" t="s">
        <v>475</v>
      </c>
      <c r="BR88" s="519" t="s">
        <v>475</v>
      </c>
      <c r="BS88" s="548" t="str">
        <f t="shared" si="70"/>
        <v>n/a</v>
      </c>
      <c r="BT88" s="607" t="str">
        <f t="shared" si="71"/>
        <v>n/a</v>
      </c>
      <c r="BU88" s="651" t="s">
        <v>475</v>
      </c>
      <c r="BV88" s="650" t="str">
        <f t="shared" si="72"/>
        <v>n/a</v>
      </c>
      <c r="BW88" s="325" t="s">
        <v>672</v>
      </c>
      <c r="BX88" s="430" t="s">
        <v>475</v>
      </c>
      <c r="BY88" s="1190"/>
      <c r="BZ88" s="1190"/>
      <c r="CA88" s="608" t="str">
        <f t="shared" si="73"/>
        <v>n/a</v>
      </c>
      <c r="CB88" s="428"/>
      <c r="CC88" s="428"/>
      <c r="CD88" s="609" t="str">
        <f t="shared" si="74"/>
        <v>n/a</v>
      </c>
      <c r="CE88" s="610" t="str">
        <f t="shared" si="75"/>
        <v>n/a</v>
      </c>
      <c r="CF88" s="609" t="str">
        <f t="shared" si="76"/>
        <v>n/a</v>
      </c>
      <c r="CG88" s="658" t="str">
        <f t="shared" si="77"/>
        <v>n/a</v>
      </c>
      <c r="CH88" s="328"/>
      <c r="CI88" s="330">
        <v>0</v>
      </c>
      <c r="CJ88" s="664">
        <f t="shared" si="78"/>
        <v>0</v>
      </c>
      <c r="CK88" s="328">
        <v>2</v>
      </c>
      <c r="CL88" s="611" t="s">
        <v>670</v>
      </c>
      <c r="CM88" s="428" t="s">
        <v>170</v>
      </c>
      <c r="CN88" s="428" t="s">
        <v>475</v>
      </c>
      <c r="CO88" s="428" t="s">
        <v>169</v>
      </c>
      <c r="CP88" s="570" t="s">
        <v>169</v>
      </c>
      <c r="CQ88" s="666"/>
      <c r="CS88" s="1069">
        <f t="shared" si="79"/>
        <v>0</v>
      </c>
      <c r="CT88" s="1069">
        <f t="shared" si="80"/>
        <v>0</v>
      </c>
      <c r="CU88" s="1066">
        <f t="shared" si="81"/>
        <v>0</v>
      </c>
      <c r="CV88" s="1066">
        <f t="shared" si="82"/>
        <v>0</v>
      </c>
      <c r="CW88" s="1082">
        <f t="shared" si="83"/>
        <v>2.09</v>
      </c>
      <c r="CX88" s="1082">
        <f t="shared" si="84"/>
        <v>3.3439999999999999</v>
      </c>
    </row>
    <row r="89" spans="1:102" s="322" customFormat="1" ht="21" customHeight="1">
      <c r="A89" s="358"/>
      <c r="B89" s="402" t="s">
        <v>415</v>
      </c>
      <c r="C89" s="603"/>
      <c r="D89" s="603"/>
      <c r="E89" s="1052">
        <v>196943</v>
      </c>
      <c r="F89" s="402" t="s">
        <v>517</v>
      </c>
      <c r="G89" s="556">
        <v>93.001900000000006</v>
      </c>
      <c r="H89" s="556">
        <v>20.7059</v>
      </c>
      <c r="I89" s="560" t="s">
        <v>33</v>
      </c>
      <c r="J89" s="560" t="s">
        <v>45</v>
      </c>
      <c r="K89" s="604" t="s">
        <v>508</v>
      </c>
      <c r="L89" s="428">
        <v>0</v>
      </c>
      <c r="M89" s="428">
        <v>0</v>
      </c>
      <c r="N89" s="570">
        <v>1539</v>
      </c>
      <c r="O89" s="328"/>
      <c r="P89" s="718" t="str">
        <f t="shared" si="43"/>
        <v>3. Large</v>
      </c>
      <c r="Q89" s="965" t="s">
        <v>452</v>
      </c>
      <c r="R89" s="623"/>
      <c r="S89" s="620" t="s">
        <v>71</v>
      </c>
      <c r="T89" s="323" t="str">
        <f t="shared" si="44"/>
        <v>Covered</v>
      </c>
      <c r="U89" s="561">
        <v>42428</v>
      </c>
      <c r="V89" s="562"/>
      <c r="W89" s="558" t="s">
        <v>152</v>
      </c>
      <c r="X89" s="328">
        <v>0</v>
      </c>
      <c r="Y89" s="428">
        <v>0</v>
      </c>
      <c r="Z89" s="570" t="s">
        <v>43</v>
      </c>
      <c r="AA89" s="328">
        <v>0</v>
      </c>
      <c r="AB89" s="428">
        <v>0</v>
      </c>
      <c r="AC89" s="428">
        <v>0</v>
      </c>
      <c r="AD89" s="428">
        <v>1</v>
      </c>
      <c r="AE89" s="570"/>
      <c r="AF89" s="329">
        <v>0</v>
      </c>
      <c r="AG89" s="330">
        <v>0</v>
      </c>
      <c r="AH89" s="630">
        <f t="shared" si="45"/>
        <v>0</v>
      </c>
      <c r="AI89" s="574">
        <f t="shared" si="46"/>
        <v>0</v>
      </c>
      <c r="AJ89" s="605">
        <f t="shared" si="47"/>
        <v>0</v>
      </c>
      <c r="AK89" s="574">
        <f t="shared" si="48"/>
        <v>0</v>
      </c>
      <c r="AL89" s="605">
        <f t="shared" si="49"/>
        <v>0</v>
      </c>
      <c r="AM89" s="574">
        <f t="shared" si="50"/>
        <v>0</v>
      </c>
      <c r="AN89" s="605" t="str">
        <f t="shared" si="51"/>
        <v>0-10%</v>
      </c>
      <c r="AO89" s="605">
        <f t="shared" si="52"/>
        <v>0</v>
      </c>
      <c r="AP89" s="574">
        <f t="shared" si="53"/>
        <v>0</v>
      </c>
      <c r="AQ89" s="574" t="str">
        <f t="shared" si="54"/>
        <v>yes</v>
      </c>
      <c r="AR89" s="574">
        <f t="shared" si="55"/>
        <v>6.1559999999999997</v>
      </c>
      <c r="AS89" s="574">
        <f t="shared" si="56"/>
        <v>0</v>
      </c>
      <c r="AT89" s="574">
        <f t="shared" si="57"/>
        <v>0</v>
      </c>
      <c r="AU89" s="589">
        <v>0</v>
      </c>
      <c r="AV89" s="635">
        <f t="shared" si="58"/>
        <v>0</v>
      </c>
      <c r="AW89" s="636"/>
      <c r="AX89" s="740">
        <v>0</v>
      </c>
      <c r="AY89" s="428">
        <v>10</v>
      </c>
      <c r="AZ89" s="428">
        <v>6</v>
      </c>
      <c r="BA89" s="473" t="s">
        <v>526</v>
      </c>
      <c r="BB89" s="548">
        <f t="shared" si="59"/>
        <v>3.8986354775828458E-2</v>
      </c>
      <c r="BC89" s="606">
        <f t="shared" si="60"/>
        <v>60</v>
      </c>
      <c r="BD89" s="548">
        <f t="shared" si="61"/>
        <v>3.8986354775828458E-2</v>
      </c>
      <c r="BE89" s="606">
        <f t="shared" si="62"/>
        <v>60</v>
      </c>
      <c r="BF89" s="549">
        <f t="shared" si="63"/>
        <v>0</v>
      </c>
      <c r="BG89" s="606">
        <f t="shared" si="64"/>
        <v>0</v>
      </c>
      <c r="BH89" s="429" t="s">
        <v>475</v>
      </c>
      <c r="BI89" s="429">
        <v>0.04</v>
      </c>
      <c r="BJ89" s="606">
        <f t="shared" si="85"/>
        <v>61.56</v>
      </c>
      <c r="BK89" s="606" t="str">
        <f t="shared" si="66"/>
        <v>n/a</v>
      </c>
      <c r="BL89" s="428" t="s">
        <v>475</v>
      </c>
      <c r="BM89" s="548" t="str">
        <f t="shared" si="67"/>
        <v>n/a</v>
      </c>
      <c r="BN89" s="606" t="str">
        <f t="shared" si="68"/>
        <v>n/a</v>
      </c>
      <c r="BO89" s="606" t="str">
        <f t="shared" si="69"/>
        <v>n/a</v>
      </c>
      <c r="BP89" s="578" t="s">
        <v>475</v>
      </c>
      <c r="BQ89" s="606" t="s">
        <v>475</v>
      </c>
      <c r="BR89" s="519" t="s">
        <v>475</v>
      </c>
      <c r="BS89" s="548" t="str">
        <f t="shared" si="70"/>
        <v>n/a</v>
      </c>
      <c r="BT89" s="607" t="str">
        <f t="shared" si="71"/>
        <v>n/a</v>
      </c>
      <c r="BU89" s="651" t="s">
        <v>475</v>
      </c>
      <c r="BV89" s="650" t="str">
        <f t="shared" si="72"/>
        <v>n/a</v>
      </c>
      <c r="BW89" s="325" t="s">
        <v>672</v>
      </c>
      <c r="BX89" s="430" t="s">
        <v>475</v>
      </c>
      <c r="BY89" s="1190"/>
      <c r="BZ89" s="1190"/>
      <c r="CA89" s="608" t="str">
        <f t="shared" si="73"/>
        <v>n/a</v>
      </c>
      <c r="CB89" s="428"/>
      <c r="CC89" s="428"/>
      <c r="CD89" s="609" t="str">
        <f t="shared" si="74"/>
        <v>n/a</v>
      </c>
      <c r="CE89" s="610" t="str">
        <f t="shared" si="75"/>
        <v>n/a</v>
      </c>
      <c r="CF89" s="609" t="str">
        <f t="shared" si="76"/>
        <v>n/a</v>
      </c>
      <c r="CG89" s="658" t="str">
        <f t="shared" si="77"/>
        <v>n/a</v>
      </c>
      <c r="CH89" s="328"/>
      <c r="CI89" s="330"/>
      <c r="CJ89" s="664">
        <f t="shared" si="78"/>
        <v>0</v>
      </c>
      <c r="CK89" s="328">
        <v>2</v>
      </c>
      <c r="CL89" s="611" t="s">
        <v>670</v>
      </c>
      <c r="CM89" s="428" t="s">
        <v>169</v>
      </c>
      <c r="CN89" s="428" t="s">
        <v>475</v>
      </c>
      <c r="CO89" s="428" t="s">
        <v>169</v>
      </c>
      <c r="CP89" s="570" t="s">
        <v>169</v>
      </c>
      <c r="CQ89" s="665"/>
      <c r="CS89" s="1069">
        <f t="shared" si="79"/>
        <v>0</v>
      </c>
      <c r="CT89" s="1069">
        <f t="shared" si="80"/>
        <v>0</v>
      </c>
      <c r="CU89" s="1066">
        <f t="shared" si="81"/>
        <v>0</v>
      </c>
      <c r="CV89" s="1066">
        <f t="shared" si="82"/>
        <v>0</v>
      </c>
      <c r="CW89" s="1082">
        <f t="shared" si="83"/>
        <v>3.8475000000000001</v>
      </c>
      <c r="CX89" s="1082">
        <f t="shared" si="84"/>
        <v>6.1559999999999997</v>
      </c>
    </row>
    <row r="90" spans="1:102" s="322" customFormat="1" ht="21" customHeight="1">
      <c r="A90" s="358"/>
      <c r="B90" s="402" t="s">
        <v>415</v>
      </c>
      <c r="C90" s="603"/>
      <c r="D90" s="603"/>
      <c r="E90" s="1052">
        <v>196973</v>
      </c>
      <c r="F90" s="402" t="s">
        <v>518</v>
      </c>
      <c r="G90" s="556">
        <v>93.0154</v>
      </c>
      <c r="H90" s="556">
        <v>20.71</v>
      </c>
      <c r="I90" s="560" t="s">
        <v>33</v>
      </c>
      <c r="J90" s="560" t="s">
        <v>45</v>
      </c>
      <c r="K90" s="604" t="s">
        <v>642</v>
      </c>
      <c r="L90" s="428">
        <v>116</v>
      </c>
      <c r="M90" s="428">
        <v>799</v>
      </c>
      <c r="N90" s="570">
        <v>1569</v>
      </c>
      <c r="O90" s="328"/>
      <c r="P90" s="718" t="str">
        <f t="shared" si="43"/>
        <v>3. Large</v>
      </c>
      <c r="Q90" s="965" t="s">
        <v>452</v>
      </c>
      <c r="R90" s="623"/>
      <c r="S90" s="620" t="s">
        <v>71</v>
      </c>
      <c r="T90" s="323" t="str">
        <f t="shared" si="44"/>
        <v>Covered</v>
      </c>
      <c r="U90" s="561">
        <v>42428</v>
      </c>
      <c r="V90" s="562"/>
      <c r="W90" s="558" t="s">
        <v>152</v>
      </c>
      <c r="X90" s="328">
        <v>0</v>
      </c>
      <c r="Y90" s="428">
        <v>0</v>
      </c>
      <c r="Z90" s="570" t="s">
        <v>43</v>
      </c>
      <c r="AA90" s="328">
        <v>0</v>
      </c>
      <c r="AB90" s="428">
        <v>0</v>
      </c>
      <c r="AC90" s="428">
        <v>0</v>
      </c>
      <c r="AD90" s="428">
        <v>2</v>
      </c>
      <c r="AE90" s="570"/>
      <c r="AF90" s="329">
        <v>0</v>
      </c>
      <c r="AG90" s="330">
        <v>0</v>
      </c>
      <c r="AH90" s="630">
        <f t="shared" si="45"/>
        <v>0</v>
      </c>
      <c r="AI90" s="574">
        <f t="shared" si="46"/>
        <v>0</v>
      </c>
      <c r="AJ90" s="605">
        <f t="shared" si="47"/>
        <v>0</v>
      </c>
      <c r="AK90" s="574">
        <f t="shared" si="48"/>
        <v>0</v>
      </c>
      <c r="AL90" s="605">
        <f t="shared" si="49"/>
        <v>0</v>
      </c>
      <c r="AM90" s="574">
        <f t="shared" si="50"/>
        <v>0</v>
      </c>
      <c r="AN90" s="605" t="str">
        <f t="shared" si="51"/>
        <v>0-10%</v>
      </c>
      <c r="AO90" s="605">
        <f t="shared" si="52"/>
        <v>0</v>
      </c>
      <c r="AP90" s="574">
        <f t="shared" si="53"/>
        <v>0</v>
      </c>
      <c r="AQ90" s="574" t="str">
        <f t="shared" si="54"/>
        <v>yes</v>
      </c>
      <c r="AR90" s="574">
        <f t="shared" si="55"/>
        <v>6.2759999999999998</v>
      </c>
      <c r="AS90" s="574">
        <f t="shared" si="56"/>
        <v>0</v>
      </c>
      <c r="AT90" s="574">
        <f t="shared" si="57"/>
        <v>0</v>
      </c>
      <c r="AU90" s="589">
        <v>0</v>
      </c>
      <c r="AV90" s="635">
        <f t="shared" si="58"/>
        <v>0</v>
      </c>
      <c r="AW90" s="636"/>
      <c r="AX90" s="740">
        <v>0</v>
      </c>
      <c r="AY90" s="428">
        <v>10</v>
      </c>
      <c r="AZ90" s="428">
        <v>6</v>
      </c>
      <c r="BA90" s="473" t="s">
        <v>526</v>
      </c>
      <c r="BB90" s="548">
        <f t="shared" si="59"/>
        <v>3.8240917782026769E-2</v>
      </c>
      <c r="BC90" s="606">
        <f t="shared" si="60"/>
        <v>60</v>
      </c>
      <c r="BD90" s="548">
        <f t="shared" si="61"/>
        <v>3.8240917782026769E-2</v>
      </c>
      <c r="BE90" s="606">
        <f t="shared" si="62"/>
        <v>60</v>
      </c>
      <c r="BF90" s="549">
        <f t="shared" si="63"/>
        <v>0</v>
      </c>
      <c r="BG90" s="606">
        <f t="shared" si="64"/>
        <v>0</v>
      </c>
      <c r="BH90" s="578" t="s">
        <v>475</v>
      </c>
      <c r="BI90" s="429">
        <v>0.04</v>
      </c>
      <c r="BJ90" s="606">
        <f t="shared" si="85"/>
        <v>62.76</v>
      </c>
      <c r="BK90" s="606" t="str">
        <f t="shared" si="66"/>
        <v>n/a</v>
      </c>
      <c r="BL90" s="428" t="s">
        <v>475</v>
      </c>
      <c r="BM90" s="548" t="str">
        <f t="shared" si="67"/>
        <v>n/a</v>
      </c>
      <c r="BN90" s="606" t="str">
        <f t="shared" si="68"/>
        <v>n/a</v>
      </c>
      <c r="BO90" s="606" t="str">
        <f t="shared" si="69"/>
        <v>n/a</v>
      </c>
      <c r="BP90" s="578" t="s">
        <v>475</v>
      </c>
      <c r="BQ90" s="606" t="s">
        <v>475</v>
      </c>
      <c r="BR90" s="519" t="s">
        <v>475</v>
      </c>
      <c r="BS90" s="548" t="str">
        <f t="shared" si="70"/>
        <v>n/a</v>
      </c>
      <c r="BT90" s="607" t="str">
        <f t="shared" si="71"/>
        <v>n/a</v>
      </c>
      <c r="BU90" s="651" t="s">
        <v>475</v>
      </c>
      <c r="BV90" s="650" t="str">
        <f t="shared" si="72"/>
        <v>n/a</v>
      </c>
      <c r="BW90" s="325" t="s">
        <v>672</v>
      </c>
      <c r="BX90" s="430" t="s">
        <v>475</v>
      </c>
      <c r="BY90" s="1190"/>
      <c r="BZ90" s="1190"/>
      <c r="CA90" s="608" t="str">
        <f t="shared" si="73"/>
        <v>n/a</v>
      </c>
      <c r="CB90" s="428"/>
      <c r="CC90" s="428"/>
      <c r="CD90" s="609" t="str">
        <f t="shared" si="74"/>
        <v>n/a</v>
      </c>
      <c r="CE90" s="610" t="str">
        <f t="shared" si="75"/>
        <v>n/a</v>
      </c>
      <c r="CF90" s="609" t="str">
        <f t="shared" si="76"/>
        <v>n/a</v>
      </c>
      <c r="CG90" s="658" t="str">
        <f t="shared" si="77"/>
        <v>n/a</v>
      </c>
      <c r="CH90" s="328" t="s">
        <v>515</v>
      </c>
      <c r="CI90" s="330"/>
      <c r="CJ90" s="664">
        <f t="shared" si="78"/>
        <v>0</v>
      </c>
      <c r="CK90" s="328">
        <v>2</v>
      </c>
      <c r="CL90" s="611" t="s">
        <v>669</v>
      </c>
      <c r="CM90" s="428" t="s">
        <v>169</v>
      </c>
      <c r="CN90" s="428" t="s">
        <v>475</v>
      </c>
      <c r="CO90" s="428" t="s">
        <v>169</v>
      </c>
      <c r="CP90" s="570" t="s">
        <v>169</v>
      </c>
      <c r="CQ90" s="665"/>
      <c r="CS90" s="1069">
        <f t="shared" si="79"/>
        <v>0</v>
      </c>
      <c r="CT90" s="1069">
        <f t="shared" si="80"/>
        <v>0</v>
      </c>
      <c r="CU90" s="1066">
        <f t="shared" si="81"/>
        <v>0</v>
      </c>
      <c r="CV90" s="1066">
        <f t="shared" si="82"/>
        <v>0</v>
      </c>
      <c r="CW90" s="1082">
        <f t="shared" si="83"/>
        <v>3.9224999999999999</v>
      </c>
      <c r="CX90" s="1082">
        <f t="shared" si="84"/>
        <v>6.2759999999999998</v>
      </c>
    </row>
    <row r="91" spans="1:102" s="322" customFormat="1" ht="21" customHeight="1">
      <c r="A91" s="358"/>
      <c r="B91" s="402" t="s">
        <v>415</v>
      </c>
      <c r="C91" s="603"/>
      <c r="D91" s="603"/>
      <c r="E91" s="1052" t="s">
        <v>215</v>
      </c>
      <c r="F91" s="402" t="s">
        <v>518</v>
      </c>
      <c r="G91" s="556">
        <v>93.014089999999996</v>
      </c>
      <c r="H91" s="556">
        <v>20.713259999999998</v>
      </c>
      <c r="I91" s="560" t="s">
        <v>33</v>
      </c>
      <c r="J91" s="560" t="s">
        <v>34</v>
      </c>
      <c r="K91" s="603" t="s">
        <v>642</v>
      </c>
      <c r="L91" s="428">
        <v>116</v>
      </c>
      <c r="M91" s="428">
        <v>707</v>
      </c>
      <c r="N91" s="570">
        <v>707</v>
      </c>
      <c r="O91" s="328"/>
      <c r="P91" s="718" t="str">
        <f t="shared" si="43"/>
        <v>2. Medium</v>
      </c>
      <c r="Q91" s="965" t="s">
        <v>452</v>
      </c>
      <c r="R91" s="623" t="s">
        <v>301</v>
      </c>
      <c r="S91" s="620" t="s">
        <v>71</v>
      </c>
      <c r="T91" s="323" t="str">
        <f t="shared" si="44"/>
        <v>Covered</v>
      </c>
      <c r="U91" s="561">
        <v>42428</v>
      </c>
      <c r="V91" s="562"/>
      <c r="W91" s="558" t="s">
        <v>152</v>
      </c>
      <c r="X91" s="328">
        <v>0</v>
      </c>
      <c r="Y91" s="428">
        <v>0</v>
      </c>
      <c r="Z91" s="570" t="s">
        <v>43</v>
      </c>
      <c r="AA91" s="328">
        <v>0</v>
      </c>
      <c r="AB91" s="428">
        <v>0</v>
      </c>
      <c r="AC91" s="428">
        <v>0</v>
      </c>
      <c r="AD91" s="428">
        <v>2</v>
      </c>
      <c r="AE91" s="570"/>
      <c r="AF91" s="329">
        <v>0</v>
      </c>
      <c r="AG91" s="330">
        <v>0</v>
      </c>
      <c r="AH91" s="630">
        <f t="shared" si="45"/>
        <v>0</v>
      </c>
      <c r="AI91" s="574">
        <f t="shared" si="46"/>
        <v>0</v>
      </c>
      <c r="AJ91" s="605">
        <f t="shared" si="47"/>
        <v>0</v>
      </c>
      <c r="AK91" s="574">
        <f t="shared" si="48"/>
        <v>0</v>
      </c>
      <c r="AL91" s="605">
        <f t="shared" si="49"/>
        <v>0</v>
      </c>
      <c r="AM91" s="574">
        <f t="shared" si="50"/>
        <v>0</v>
      </c>
      <c r="AN91" s="605" t="str">
        <f t="shared" si="51"/>
        <v>0-10%</v>
      </c>
      <c r="AO91" s="605">
        <f t="shared" si="52"/>
        <v>0</v>
      </c>
      <c r="AP91" s="574">
        <f t="shared" si="53"/>
        <v>0</v>
      </c>
      <c r="AQ91" s="574" t="str">
        <f t="shared" si="54"/>
        <v>yes</v>
      </c>
      <c r="AR91" s="574">
        <f t="shared" si="55"/>
        <v>2.8279999999999998</v>
      </c>
      <c r="AS91" s="574">
        <f t="shared" si="56"/>
        <v>0</v>
      </c>
      <c r="AT91" s="574">
        <f t="shared" si="57"/>
        <v>0</v>
      </c>
      <c r="AU91" s="589">
        <v>0</v>
      </c>
      <c r="AV91" s="635">
        <f t="shared" si="58"/>
        <v>0</v>
      </c>
      <c r="AW91" s="636"/>
      <c r="AX91" s="740">
        <v>0</v>
      </c>
      <c r="AY91" s="428">
        <v>22</v>
      </c>
      <c r="AZ91" s="428">
        <v>6</v>
      </c>
      <c r="BA91" s="473" t="s">
        <v>526</v>
      </c>
      <c r="BB91" s="548">
        <f t="shared" si="59"/>
        <v>0.18670438472418671</v>
      </c>
      <c r="BC91" s="606">
        <f t="shared" si="60"/>
        <v>132</v>
      </c>
      <c r="BD91" s="548">
        <f t="shared" si="61"/>
        <v>0.18670438472418671</v>
      </c>
      <c r="BE91" s="606">
        <f t="shared" si="62"/>
        <v>132</v>
      </c>
      <c r="BF91" s="549">
        <f t="shared" si="63"/>
        <v>0</v>
      </c>
      <c r="BG91" s="606">
        <f t="shared" si="64"/>
        <v>0</v>
      </c>
      <c r="BH91" s="578" t="s">
        <v>492</v>
      </c>
      <c r="BI91" s="429">
        <v>0.8</v>
      </c>
      <c r="BJ91" s="606">
        <f t="shared" si="85"/>
        <v>565.6</v>
      </c>
      <c r="BK91" s="606" t="str">
        <f t="shared" si="66"/>
        <v>n/a</v>
      </c>
      <c r="BL91" s="428" t="s">
        <v>475</v>
      </c>
      <c r="BM91" s="548" t="str">
        <f t="shared" si="67"/>
        <v>n/a</v>
      </c>
      <c r="BN91" s="606" t="str">
        <f t="shared" si="68"/>
        <v>n/a</v>
      </c>
      <c r="BO91" s="606" t="str">
        <f t="shared" si="69"/>
        <v>n/a</v>
      </c>
      <c r="BP91" s="578" t="s">
        <v>475</v>
      </c>
      <c r="BQ91" s="606" t="s">
        <v>475</v>
      </c>
      <c r="BR91" s="519" t="s">
        <v>475</v>
      </c>
      <c r="BS91" s="548" t="str">
        <f t="shared" si="70"/>
        <v>n/a</v>
      </c>
      <c r="BT91" s="607" t="str">
        <f t="shared" si="71"/>
        <v>n/a</v>
      </c>
      <c r="BU91" s="651" t="s">
        <v>475</v>
      </c>
      <c r="BV91" s="650" t="str">
        <f t="shared" si="72"/>
        <v>n/a</v>
      </c>
      <c r="BW91" s="325" t="s">
        <v>672</v>
      </c>
      <c r="BX91" s="430">
        <v>41778</v>
      </c>
      <c r="BY91" s="1190"/>
      <c r="BZ91" s="1190"/>
      <c r="CA91" s="608" t="str">
        <f t="shared" si="73"/>
        <v>n/a</v>
      </c>
      <c r="CB91" s="428">
        <v>116</v>
      </c>
      <c r="CC91" s="428">
        <v>3</v>
      </c>
      <c r="CD91" s="609" t="str">
        <f t="shared" si="74"/>
        <v>n/a</v>
      </c>
      <c r="CE91" s="610" t="str">
        <f t="shared" si="75"/>
        <v>n/a</v>
      </c>
      <c r="CF91" s="609" t="str">
        <f t="shared" si="76"/>
        <v>n/a</v>
      </c>
      <c r="CG91" s="658" t="str">
        <f t="shared" si="77"/>
        <v>n/a</v>
      </c>
      <c r="CH91" s="328" t="s">
        <v>515</v>
      </c>
      <c r="CI91" s="330">
        <v>0</v>
      </c>
      <c r="CJ91" s="664">
        <f t="shared" si="78"/>
        <v>0</v>
      </c>
      <c r="CK91" s="328">
        <v>2</v>
      </c>
      <c r="CL91" s="611" t="s">
        <v>670</v>
      </c>
      <c r="CM91" s="428" t="s">
        <v>169</v>
      </c>
      <c r="CN91" s="428" t="s">
        <v>475</v>
      </c>
      <c r="CO91" s="428" t="s">
        <v>169</v>
      </c>
      <c r="CP91" s="570" t="s">
        <v>169</v>
      </c>
      <c r="CQ91" s="1182"/>
      <c r="CS91" s="1069">
        <f t="shared" si="79"/>
        <v>0</v>
      </c>
      <c r="CT91" s="1069">
        <f t="shared" si="80"/>
        <v>0</v>
      </c>
      <c r="CU91" s="1066">
        <f t="shared" si="81"/>
        <v>0</v>
      </c>
      <c r="CV91" s="1066">
        <f t="shared" si="82"/>
        <v>0</v>
      </c>
      <c r="CW91" s="1082">
        <f t="shared" si="83"/>
        <v>1.7675000000000001</v>
      </c>
      <c r="CX91" s="1082">
        <f t="shared" si="84"/>
        <v>2.8279999999999998</v>
      </c>
    </row>
    <row r="92" spans="1:102" s="322" customFormat="1" ht="21" customHeight="1">
      <c r="A92" s="358"/>
      <c r="B92" s="402" t="s">
        <v>415</v>
      </c>
      <c r="C92" s="603"/>
      <c r="D92" s="603"/>
      <c r="E92" s="1052">
        <v>196883</v>
      </c>
      <c r="F92" s="402" t="s">
        <v>519</v>
      </c>
      <c r="G92" s="556">
        <v>92.929500000000004</v>
      </c>
      <c r="H92" s="556">
        <v>20.8035</v>
      </c>
      <c r="I92" s="560" t="s">
        <v>33</v>
      </c>
      <c r="J92" s="560" t="s">
        <v>525</v>
      </c>
      <c r="K92" s="603" t="s">
        <v>508</v>
      </c>
      <c r="L92" s="428">
        <v>0</v>
      </c>
      <c r="M92" s="428">
        <v>0</v>
      </c>
      <c r="N92" s="570">
        <v>335</v>
      </c>
      <c r="O92" s="328"/>
      <c r="P92" s="718" t="str">
        <f t="shared" si="43"/>
        <v>1. Small</v>
      </c>
      <c r="Q92" s="965"/>
      <c r="R92" s="623"/>
      <c r="S92" s="620" t="s">
        <v>139</v>
      </c>
      <c r="T92" s="323" t="str">
        <f t="shared" si="44"/>
        <v>Not Covered</v>
      </c>
      <c r="U92" s="561"/>
      <c r="V92" s="562"/>
      <c r="W92" s="558" t="s">
        <v>152</v>
      </c>
      <c r="X92" s="328">
        <v>0</v>
      </c>
      <c r="Y92" s="428">
        <v>0</v>
      </c>
      <c r="Z92" s="570" t="s">
        <v>43</v>
      </c>
      <c r="AA92" s="328">
        <v>0</v>
      </c>
      <c r="AB92" s="428">
        <v>0</v>
      </c>
      <c r="AC92" s="428">
        <v>0</v>
      </c>
      <c r="AD92" s="428">
        <v>3</v>
      </c>
      <c r="AE92" s="570"/>
      <c r="AF92" s="329">
        <v>0</v>
      </c>
      <c r="AG92" s="330">
        <v>0</v>
      </c>
      <c r="AH92" s="630">
        <f t="shared" si="45"/>
        <v>0</v>
      </c>
      <c r="AI92" s="574">
        <f t="shared" si="46"/>
        <v>0</v>
      </c>
      <c r="AJ92" s="605">
        <f t="shared" si="47"/>
        <v>0</v>
      </c>
      <c r="AK92" s="574">
        <f t="shared" si="48"/>
        <v>0</v>
      </c>
      <c r="AL92" s="605">
        <f t="shared" si="49"/>
        <v>0</v>
      </c>
      <c r="AM92" s="574">
        <f t="shared" si="50"/>
        <v>0</v>
      </c>
      <c r="AN92" s="605" t="str">
        <f t="shared" si="51"/>
        <v>0-10%</v>
      </c>
      <c r="AO92" s="605">
        <f t="shared" si="52"/>
        <v>0</v>
      </c>
      <c r="AP92" s="574">
        <f t="shared" si="53"/>
        <v>0</v>
      </c>
      <c r="AQ92" s="574" t="str">
        <f t="shared" si="54"/>
        <v>yes</v>
      </c>
      <c r="AR92" s="574">
        <f t="shared" si="55"/>
        <v>1.34</v>
      </c>
      <c r="AS92" s="574">
        <f t="shared" si="56"/>
        <v>0</v>
      </c>
      <c r="AT92" s="574">
        <f t="shared" si="57"/>
        <v>0</v>
      </c>
      <c r="AU92" s="589">
        <v>0</v>
      </c>
      <c r="AV92" s="635">
        <f t="shared" si="58"/>
        <v>0</v>
      </c>
      <c r="AW92" s="636"/>
      <c r="AX92" s="740">
        <v>0</v>
      </c>
      <c r="AY92" s="428">
        <v>10</v>
      </c>
      <c r="AZ92" s="428">
        <v>6</v>
      </c>
      <c r="BA92" s="473" t="s">
        <v>526</v>
      </c>
      <c r="BB92" s="548">
        <f t="shared" si="59"/>
        <v>0.17910447761194029</v>
      </c>
      <c r="BC92" s="606">
        <f t="shared" si="60"/>
        <v>60</v>
      </c>
      <c r="BD92" s="548">
        <f t="shared" si="61"/>
        <v>0.17910447761194029</v>
      </c>
      <c r="BE92" s="606">
        <f t="shared" si="62"/>
        <v>60</v>
      </c>
      <c r="BF92" s="549">
        <f t="shared" si="63"/>
        <v>0</v>
      </c>
      <c r="BG92" s="606">
        <f t="shared" si="64"/>
        <v>0</v>
      </c>
      <c r="BH92" s="429" t="s">
        <v>492</v>
      </c>
      <c r="BI92" s="429">
        <v>0.18</v>
      </c>
      <c r="BJ92" s="606">
        <f t="shared" si="85"/>
        <v>60.3</v>
      </c>
      <c r="BK92" s="606" t="str">
        <f t="shared" si="66"/>
        <v>n/a</v>
      </c>
      <c r="BL92" s="428" t="s">
        <v>475</v>
      </c>
      <c r="BM92" s="548" t="str">
        <f t="shared" si="67"/>
        <v>n/a</v>
      </c>
      <c r="BN92" s="606" t="str">
        <f t="shared" si="68"/>
        <v>n/a</v>
      </c>
      <c r="BO92" s="606" t="str">
        <f t="shared" si="69"/>
        <v>n/a</v>
      </c>
      <c r="BP92" s="578" t="s">
        <v>475</v>
      </c>
      <c r="BQ92" s="606" t="s">
        <v>475</v>
      </c>
      <c r="BR92" s="519" t="s">
        <v>475</v>
      </c>
      <c r="BS92" s="548" t="str">
        <f t="shared" si="70"/>
        <v>n/a</v>
      </c>
      <c r="BT92" s="607" t="str">
        <f t="shared" si="71"/>
        <v>n/a</v>
      </c>
      <c r="BU92" s="651" t="s">
        <v>475</v>
      </c>
      <c r="BV92" s="650" t="str">
        <f t="shared" si="72"/>
        <v>n/a</v>
      </c>
      <c r="BW92" s="325" t="s">
        <v>672</v>
      </c>
      <c r="BX92" s="430" t="s">
        <v>475</v>
      </c>
      <c r="BY92" s="1190"/>
      <c r="BZ92" s="1190"/>
      <c r="CA92" s="608" t="str">
        <f t="shared" si="73"/>
        <v>n/a</v>
      </c>
      <c r="CB92" s="428"/>
      <c r="CC92" s="428"/>
      <c r="CD92" s="609" t="str">
        <f t="shared" si="74"/>
        <v>n/a</v>
      </c>
      <c r="CE92" s="610" t="str">
        <f t="shared" si="75"/>
        <v>n/a</v>
      </c>
      <c r="CF92" s="609" t="str">
        <f t="shared" si="76"/>
        <v>n/a</v>
      </c>
      <c r="CG92" s="658" t="str">
        <f t="shared" si="77"/>
        <v>n/a</v>
      </c>
      <c r="CH92" s="328"/>
      <c r="CI92" s="330"/>
      <c r="CJ92" s="664">
        <f t="shared" si="78"/>
        <v>0</v>
      </c>
      <c r="CK92" s="328">
        <v>2</v>
      </c>
      <c r="CL92" s="611" t="s">
        <v>670</v>
      </c>
      <c r="CM92" s="428" t="s">
        <v>169</v>
      </c>
      <c r="CN92" s="428" t="s">
        <v>475</v>
      </c>
      <c r="CO92" s="428" t="s">
        <v>169</v>
      </c>
      <c r="CP92" s="570" t="s">
        <v>169</v>
      </c>
      <c r="CQ92" s="1129" t="s">
        <v>1171</v>
      </c>
      <c r="CS92" s="1069">
        <f t="shared" si="79"/>
        <v>0</v>
      </c>
      <c r="CT92" s="1069">
        <f t="shared" si="80"/>
        <v>0</v>
      </c>
      <c r="CU92" s="1066">
        <f t="shared" si="81"/>
        <v>0</v>
      </c>
      <c r="CV92" s="1066">
        <f t="shared" si="82"/>
        <v>0</v>
      </c>
      <c r="CW92" s="1082">
        <f t="shared" si="83"/>
        <v>0.83750000000000002</v>
      </c>
      <c r="CX92" s="1082">
        <f t="shared" si="84"/>
        <v>1.34</v>
      </c>
    </row>
    <row r="93" spans="1:102" s="322" customFormat="1" ht="21" customHeight="1">
      <c r="A93" s="358"/>
      <c r="B93" s="402" t="s">
        <v>415</v>
      </c>
      <c r="C93" s="603"/>
      <c r="D93" s="603"/>
      <c r="E93" s="1052" t="s">
        <v>216</v>
      </c>
      <c r="F93" s="402" t="s">
        <v>60</v>
      </c>
      <c r="G93" s="556">
        <v>93.009900000000002</v>
      </c>
      <c r="H93" s="556">
        <v>20.696819999999999</v>
      </c>
      <c r="I93" s="560" t="s">
        <v>33</v>
      </c>
      <c r="J93" s="560" t="s">
        <v>34</v>
      </c>
      <c r="K93" s="603" t="s">
        <v>642</v>
      </c>
      <c r="L93" s="428">
        <v>236</v>
      </c>
      <c r="M93" s="428">
        <v>1524</v>
      </c>
      <c r="N93" s="570">
        <v>1524</v>
      </c>
      <c r="O93" s="328"/>
      <c r="P93" s="718" t="str">
        <f t="shared" si="43"/>
        <v>3. Large</v>
      </c>
      <c r="Q93" s="965" t="s">
        <v>452</v>
      </c>
      <c r="R93" s="623" t="s">
        <v>301</v>
      </c>
      <c r="S93" s="620" t="s">
        <v>71</v>
      </c>
      <c r="T93" s="323" t="str">
        <f t="shared" si="44"/>
        <v>Covered</v>
      </c>
      <c r="U93" s="561">
        <v>42428</v>
      </c>
      <c r="V93" s="562"/>
      <c r="W93" s="558" t="s">
        <v>152</v>
      </c>
      <c r="X93" s="328">
        <v>0</v>
      </c>
      <c r="Y93" s="428">
        <v>0</v>
      </c>
      <c r="Z93" s="570" t="s">
        <v>43</v>
      </c>
      <c r="AA93" s="328">
        <v>0</v>
      </c>
      <c r="AB93" s="428">
        <v>0</v>
      </c>
      <c r="AC93" s="428">
        <v>0</v>
      </c>
      <c r="AD93" s="428">
        <v>3</v>
      </c>
      <c r="AE93" s="570"/>
      <c r="AF93" s="329">
        <v>0</v>
      </c>
      <c r="AG93" s="330">
        <v>0</v>
      </c>
      <c r="AH93" s="630">
        <f t="shared" si="45"/>
        <v>0</v>
      </c>
      <c r="AI93" s="574">
        <f t="shared" si="46"/>
        <v>0</v>
      </c>
      <c r="AJ93" s="605">
        <f t="shared" si="47"/>
        <v>0</v>
      </c>
      <c r="AK93" s="574">
        <f t="shared" si="48"/>
        <v>0</v>
      </c>
      <c r="AL93" s="605">
        <f t="shared" si="49"/>
        <v>0</v>
      </c>
      <c r="AM93" s="574">
        <f t="shared" si="50"/>
        <v>0</v>
      </c>
      <c r="AN93" s="605" t="str">
        <f t="shared" si="51"/>
        <v>0-10%</v>
      </c>
      <c r="AO93" s="605">
        <f t="shared" si="52"/>
        <v>0</v>
      </c>
      <c r="AP93" s="574">
        <f t="shared" si="53"/>
        <v>0</v>
      </c>
      <c r="AQ93" s="574" t="str">
        <f t="shared" si="54"/>
        <v>yes</v>
      </c>
      <c r="AR93" s="574">
        <f t="shared" si="55"/>
        <v>6.0960000000000001</v>
      </c>
      <c r="AS93" s="574">
        <f t="shared" si="56"/>
        <v>0</v>
      </c>
      <c r="AT93" s="574">
        <f t="shared" si="57"/>
        <v>0</v>
      </c>
      <c r="AU93" s="589">
        <v>0</v>
      </c>
      <c r="AV93" s="635">
        <f t="shared" si="58"/>
        <v>0</v>
      </c>
      <c r="AW93" s="636"/>
      <c r="AX93" s="740">
        <v>0</v>
      </c>
      <c r="AY93" s="428">
        <v>37</v>
      </c>
      <c r="AZ93" s="428">
        <v>6</v>
      </c>
      <c r="BA93" s="473" t="s">
        <v>526</v>
      </c>
      <c r="BB93" s="548">
        <f t="shared" si="59"/>
        <v>0.14566929133858267</v>
      </c>
      <c r="BC93" s="606">
        <f t="shared" si="60"/>
        <v>222</v>
      </c>
      <c r="BD93" s="548">
        <f t="shared" si="61"/>
        <v>0.14566929133858267</v>
      </c>
      <c r="BE93" s="606">
        <f t="shared" si="62"/>
        <v>222</v>
      </c>
      <c r="BF93" s="549">
        <f t="shared" si="63"/>
        <v>0</v>
      </c>
      <c r="BG93" s="606">
        <f t="shared" si="64"/>
        <v>0</v>
      </c>
      <c r="BH93" s="578" t="s">
        <v>492</v>
      </c>
      <c r="BI93" s="429">
        <v>0.8</v>
      </c>
      <c r="BJ93" s="606">
        <f t="shared" si="85"/>
        <v>1219.2</v>
      </c>
      <c r="BK93" s="606" t="str">
        <f t="shared" si="66"/>
        <v>n/a</v>
      </c>
      <c r="BL93" s="428" t="s">
        <v>475</v>
      </c>
      <c r="BM93" s="548" t="str">
        <f t="shared" si="67"/>
        <v>n/a</v>
      </c>
      <c r="BN93" s="606" t="str">
        <f t="shared" si="68"/>
        <v>n/a</v>
      </c>
      <c r="BO93" s="606" t="str">
        <f t="shared" si="69"/>
        <v>n/a</v>
      </c>
      <c r="BP93" s="578" t="s">
        <v>475</v>
      </c>
      <c r="BQ93" s="606" t="s">
        <v>475</v>
      </c>
      <c r="BR93" s="519" t="s">
        <v>475</v>
      </c>
      <c r="BS93" s="548" t="str">
        <f t="shared" si="70"/>
        <v>n/a</v>
      </c>
      <c r="BT93" s="607" t="str">
        <f t="shared" si="71"/>
        <v>n/a</v>
      </c>
      <c r="BU93" s="651" t="s">
        <v>475</v>
      </c>
      <c r="BV93" s="650" t="str">
        <f t="shared" si="72"/>
        <v>n/a</v>
      </c>
      <c r="BW93" s="325" t="s">
        <v>672</v>
      </c>
      <c r="BX93" s="430">
        <v>41621</v>
      </c>
      <c r="BY93" s="1190"/>
      <c r="BZ93" s="1190"/>
      <c r="CA93" s="608" t="str">
        <f t="shared" si="73"/>
        <v>n/a</v>
      </c>
      <c r="CB93" s="428">
        <v>460</v>
      </c>
      <c r="CC93" s="428">
        <v>3</v>
      </c>
      <c r="CD93" s="609" t="str">
        <f t="shared" si="74"/>
        <v>n/a</v>
      </c>
      <c r="CE93" s="610" t="str">
        <f t="shared" si="75"/>
        <v>n/a</v>
      </c>
      <c r="CF93" s="609" t="str">
        <f t="shared" si="76"/>
        <v>n/a</v>
      </c>
      <c r="CG93" s="658" t="str">
        <f t="shared" si="77"/>
        <v>n/a</v>
      </c>
      <c r="CH93" s="328" t="s">
        <v>515</v>
      </c>
      <c r="CI93" s="330">
        <v>0</v>
      </c>
      <c r="CJ93" s="664">
        <f t="shared" si="78"/>
        <v>0</v>
      </c>
      <c r="CK93" s="328">
        <v>2</v>
      </c>
      <c r="CL93" s="611" t="s">
        <v>668</v>
      </c>
      <c r="CM93" s="428" t="s">
        <v>169</v>
      </c>
      <c r="CN93" s="428" t="s">
        <v>475</v>
      </c>
      <c r="CO93" s="428" t="s">
        <v>169</v>
      </c>
      <c r="CP93" s="570" t="s">
        <v>169</v>
      </c>
      <c r="CQ93" s="666"/>
      <c r="CS93" s="1069">
        <f t="shared" si="79"/>
        <v>0</v>
      </c>
      <c r="CT93" s="1069">
        <f t="shared" si="80"/>
        <v>0</v>
      </c>
      <c r="CU93" s="1066">
        <f t="shared" si="81"/>
        <v>0</v>
      </c>
      <c r="CV93" s="1066">
        <f t="shared" si="82"/>
        <v>0</v>
      </c>
      <c r="CW93" s="1082">
        <f t="shared" si="83"/>
        <v>3.81</v>
      </c>
      <c r="CX93" s="1082">
        <f t="shared" si="84"/>
        <v>6.0960000000000001</v>
      </c>
    </row>
    <row r="94" spans="1:102" s="322" customFormat="1" ht="21" customHeight="1">
      <c r="A94" s="358"/>
      <c r="B94" s="402" t="s">
        <v>415</v>
      </c>
      <c r="C94" s="603"/>
      <c r="D94" s="603"/>
      <c r="E94" s="1052" t="s">
        <v>214</v>
      </c>
      <c r="F94" s="402" t="s">
        <v>58</v>
      </c>
      <c r="G94" s="556">
        <v>93.006497999999993</v>
      </c>
      <c r="H94" s="556">
        <v>20.886997999999998</v>
      </c>
      <c r="I94" s="560" t="s">
        <v>33</v>
      </c>
      <c r="J94" s="560" t="s">
        <v>34</v>
      </c>
      <c r="K94" s="603" t="s">
        <v>642</v>
      </c>
      <c r="L94" s="428">
        <v>97</v>
      </c>
      <c r="M94" s="428">
        <v>576</v>
      </c>
      <c r="N94" s="570">
        <v>2564</v>
      </c>
      <c r="O94" s="328"/>
      <c r="P94" s="718" t="str">
        <f t="shared" si="43"/>
        <v>3. Large</v>
      </c>
      <c r="Q94" s="965" t="s">
        <v>452</v>
      </c>
      <c r="R94" s="623" t="s">
        <v>301</v>
      </c>
      <c r="S94" s="620" t="s">
        <v>71</v>
      </c>
      <c r="T94" s="323" t="str">
        <f t="shared" si="44"/>
        <v>Covered</v>
      </c>
      <c r="U94" s="561">
        <v>42428</v>
      </c>
      <c r="V94" s="562"/>
      <c r="W94" s="558" t="s">
        <v>152</v>
      </c>
      <c r="X94" s="328">
        <v>0</v>
      </c>
      <c r="Y94" s="428">
        <v>0</v>
      </c>
      <c r="Z94" s="570" t="s">
        <v>43</v>
      </c>
      <c r="AA94" s="328">
        <v>0</v>
      </c>
      <c r="AB94" s="428">
        <v>0</v>
      </c>
      <c r="AC94" s="428">
        <v>0</v>
      </c>
      <c r="AD94" s="428">
        <v>6</v>
      </c>
      <c r="AE94" s="570"/>
      <c r="AF94" s="329">
        <v>0</v>
      </c>
      <c r="AG94" s="330">
        <v>0</v>
      </c>
      <c r="AH94" s="630">
        <f t="shared" si="45"/>
        <v>0</v>
      </c>
      <c r="AI94" s="574">
        <f t="shared" si="46"/>
        <v>0</v>
      </c>
      <c r="AJ94" s="605">
        <f t="shared" si="47"/>
        <v>0</v>
      </c>
      <c r="AK94" s="574">
        <f t="shared" si="48"/>
        <v>0</v>
      </c>
      <c r="AL94" s="605">
        <f t="shared" si="49"/>
        <v>0</v>
      </c>
      <c r="AM94" s="574">
        <f t="shared" si="50"/>
        <v>0</v>
      </c>
      <c r="AN94" s="605" t="str">
        <f t="shared" si="51"/>
        <v>0-10%</v>
      </c>
      <c r="AO94" s="605">
        <f t="shared" si="52"/>
        <v>0</v>
      </c>
      <c r="AP94" s="574">
        <f t="shared" si="53"/>
        <v>0</v>
      </c>
      <c r="AQ94" s="574" t="str">
        <f t="shared" si="54"/>
        <v>yes</v>
      </c>
      <c r="AR94" s="574">
        <f t="shared" si="55"/>
        <v>10.256</v>
      </c>
      <c r="AS94" s="574">
        <f t="shared" si="56"/>
        <v>0</v>
      </c>
      <c r="AT94" s="574">
        <f t="shared" si="57"/>
        <v>0</v>
      </c>
      <c r="AU94" s="589">
        <v>0</v>
      </c>
      <c r="AV94" s="635">
        <f t="shared" si="58"/>
        <v>0</v>
      </c>
      <c r="AW94" s="636"/>
      <c r="AX94" s="740">
        <v>0</v>
      </c>
      <c r="AY94" s="428">
        <v>100</v>
      </c>
      <c r="AZ94" s="428">
        <v>6</v>
      </c>
      <c r="BA94" s="473" t="s">
        <v>526</v>
      </c>
      <c r="BB94" s="548">
        <f t="shared" si="59"/>
        <v>0.23400936037441497</v>
      </c>
      <c r="BC94" s="606">
        <f t="shared" si="60"/>
        <v>600</v>
      </c>
      <c r="BD94" s="548">
        <f t="shared" si="61"/>
        <v>0.23400936037441497</v>
      </c>
      <c r="BE94" s="606">
        <f t="shared" si="62"/>
        <v>600</v>
      </c>
      <c r="BF94" s="549">
        <f t="shared" si="63"/>
        <v>0</v>
      </c>
      <c r="BG94" s="606">
        <f t="shared" si="64"/>
        <v>0</v>
      </c>
      <c r="BH94" s="578" t="s">
        <v>492</v>
      </c>
      <c r="BI94" s="429">
        <v>0.81</v>
      </c>
      <c r="BJ94" s="606">
        <f t="shared" si="85"/>
        <v>2076.84</v>
      </c>
      <c r="BK94" s="606" t="str">
        <f t="shared" si="66"/>
        <v>n/a</v>
      </c>
      <c r="BL94" s="428" t="s">
        <v>475</v>
      </c>
      <c r="BM94" s="548" t="str">
        <f t="shared" si="67"/>
        <v>n/a</v>
      </c>
      <c r="BN94" s="606" t="str">
        <f t="shared" si="68"/>
        <v>n/a</v>
      </c>
      <c r="BO94" s="606" t="str">
        <f t="shared" si="69"/>
        <v>n/a</v>
      </c>
      <c r="BP94" s="578" t="s">
        <v>475</v>
      </c>
      <c r="BQ94" s="606" t="s">
        <v>475</v>
      </c>
      <c r="BR94" s="519" t="s">
        <v>475</v>
      </c>
      <c r="BS94" s="548" t="str">
        <f t="shared" si="70"/>
        <v>n/a</v>
      </c>
      <c r="BT94" s="607" t="str">
        <f t="shared" si="71"/>
        <v>n/a</v>
      </c>
      <c r="BU94" s="651" t="s">
        <v>475</v>
      </c>
      <c r="BV94" s="650" t="str">
        <f t="shared" si="72"/>
        <v>n/a</v>
      </c>
      <c r="BW94" s="325" t="s">
        <v>672</v>
      </c>
      <c r="BX94" s="430">
        <v>41621</v>
      </c>
      <c r="BY94" s="1190"/>
      <c r="BZ94" s="1190"/>
      <c r="CA94" s="608" t="str">
        <f t="shared" si="73"/>
        <v>n/a</v>
      </c>
      <c r="CB94" s="428">
        <v>97</v>
      </c>
      <c r="CC94" s="428">
        <v>3</v>
      </c>
      <c r="CD94" s="609" t="str">
        <f t="shared" si="74"/>
        <v>n/a</v>
      </c>
      <c r="CE94" s="610" t="str">
        <f t="shared" si="75"/>
        <v>n/a</v>
      </c>
      <c r="CF94" s="609" t="str">
        <f t="shared" si="76"/>
        <v>n/a</v>
      </c>
      <c r="CG94" s="658" t="str">
        <f t="shared" si="77"/>
        <v>n/a</v>
      </c>
      <c r="CH94" s="328" t="s">
        <v>516</v>
      </c>
      <c r="CI94" s="330">
        <v>0</v>
      </c>
      <c r="CJ94" s="664">
        <f t="shared" si="78"/>
        <v>0</v>
      </c>
      <c r="CK94" s="328">
        <v>2</v>
      </c>
      <c r="CL94" s="611" t="s">
        <v>671</v>
      </c>
      <c r="CM94" s="428" t="s">
        <v>169</v>
      </c>
      <c r="CN94" s="428" t="s">
        <v>475</v>
      </c>
      <c r="CO94" s="428" t="s">
        <v>169</v>
      </c>
      <c r="CP94" s="570" t="s">
        <v>169</v>
      </c>
      <c r="CQ94" s="666"/>
      <c r="CS94" s="1069">
        <f t="shared" si="79"/>
        <v>0</v>
      </c>
      <c r="CT94" s="1069">
        <f t="shared" si="80"/>
        <v>0</v>
      </c>
      <c r="CU94" s="1066">
        <f t="shared" si="81"/>
        <v>0</v>
      </c>
      <c r="CV94" s="1066">
        <f t="shared" si="82"/>
        <v>0</v>
      </c>
      <c r="CW94" s="1082">
        <f t="shared" si="83"/>
        <v>6.41</v>
      </c>
      <c r="CX94" s="1082">
        <f t="shared" si="84"/>
        <v>10.256</v>
      </c>
    </row>
    <row r="95" spans="1:102" s="322" customFormat="1" ht="21" customHeight="1">
      <c r="A95" s="358"/>
      <c r="B95" s="402" t="s">
        <v>415</v>
      </c>
      <c r="C95" s="603"/>
      <c r="D95" s="603"/>
      <c r="E95" s="1052">
        <v>196849</v>
      </c>
      <c r="F95" s="402" t="s">
        <v>381</v>
      </c>
      <c r="G95" s="556">
        <v>93.048199999999994</v>
      </c>
      <c r="H95" s="556">
        <v>20.8657</v>
      </c>
      <c r="I95" s="560" t="s">
        <v>33</v>
      </c>
      <c r="J95" s="560" t="s">
        <v>45</v>
      </c>
      <c r="K95" s="604" t="s">
        <v>508</v>
      </c>
      <c r="L95" s="428">
        <v>0</v>
      </c>
      <c r="M95" s="428">
        <v>0</v>
      </c>
      <c r="N95" s="570">
        <v>945</v>
      </c>
      <c r="O95" s="328"/>
      <c r="P95" s="718" t="str">
        <f t="shared" si="43"/>
        <v>2. Medium</v>
      </c>
      <c r="Q95" s="965"/>
      <c r="R95" s="623"/>
      <c r="S95" s="620" t="s">
        <v>139</v>
      </c>
      <c r="T95" s="323" t="str">
        <f t="shared" si="44"/>
        <v>Not Covered</v>
      </c>
      <c r="U95" s="561"/>
      <c r="V95" s="562"/>
      <c r="W95" s="558" t="s">
        <v>152</v>
      </c>
      <c r="X95" s="328">
        <v>0</v>
      </c>
      <c r="Y95" s="428">
        <v>0</v>
      </c>
      <c r="Z95" s="570" t="s">
        <v>43</v>
      </c>
      <c r="AA95" s="328">
        <v>0</v>
      </c>
      <c r="AB95" s="428">
        <v>0</v>
      </c>
      <c r="AC95" s="428">
        <v>0</v>
      </c>
      <c r="AD95" s="428">
        <v>2</v>
      </c>
      <c r="AE95" s="570"/>
      <c r="AF95" s="329">
        <v>0</v>
      </c>
      <c r="AG95" s="330">
        <v>0</v>
      </c>
      <c r="AH95" s="630">
        <f t="shared" si="45"/>
        <v>0</v>
      </c>
      <c r="AI95" s="574">
        <f t="shared" si="46"/>
        <v>0</v>
      </c>
      <c r="AJ95" s="605">
        <f t="shared" si="47"/>
        <v>0</v>
      </c>
      <c r="AK95" s="574">
        <f t="shared" si="48"/>
        <v>0</v>
      </c>
      <c r="AL95" s="605">
        <f t="shared" si="49"/>
        <v>0</v>
      </c>
      <c r="AM95" s="574">
        <f t="shared" si="50"/>
        <v>0</v>
      </c>
      <c r="AN95" s="605" t="str">
        <f t="shared" si="51"/>
        <v>0-10%</v>
      </c>
      <c r="AO95" s="605">
        <f t="shared" si="52"/>
        <v>0</v>
      </c>
      <c r="AP95" s="574">
        <f t="shared" si="53"/>
        <v>0</v>
      </c>
      <c r="AQ95" s="574" t="str">
        <f t="shared" si="54"/>
        <v>yes</v>
      </c>
      <c r="AR95" s="574">
        <f t="shared" si="55"/>
        <v>3.78</v>
      </c>
      <c r="AS95" s="574">
        <f t="shared" si="56"/>
        <v>0</v>
      </c>
      <c r="AT95" s="574">
        <f t="shared" si="57"/>
        <v>0</v>
      </c>
      <c r="AU95" s="589">
        <v>0</v>
      </c>
      <c r="AV95" s="635">
        <f t="shared" si="58"/>
        <v>0</v>
      </c>
      <c r="AW95" s="636"/>
      <c r="AX95" s="740">
        <v>0</v>
      </c>
      <c r="AY95" s="428">
        <v>15</v>
      </c>
      <c r="AZ95" s="428">
        <v>6</v>
      </c>
      <c r="BA95" s="473" t="s">
        <v>526</v>
      </c>
      <c r="BB95" s="548">
        <f t="shared" si="59"/>
        <v>9.5238095238095233E-2</v>
      </c>
      <c r="BC95" s="606">
        <f t="shared" si="60"/>
        <v>90</v>
      </c>
      <c r="BD95" s="548">
        <f t="shared" si="61"/>
        <v>9.5238095238095233E-2</v>
      </c>
      <c r="BE95" s="606">
        <f t="shared" si="62"/>
        <v>90</v>
      </c>
      <c r="BF95" s="549">
        <f t="shared" si="63"/>
        <v>0</v>
      </c>
      <c r="BG95" s="606">
        <f t="shared" si="64"/>
        <v>0</v>
      </c>
      <c r="BH95" s="429" t="s">
        <v>492</v>
      </c>
      <c r="BI95" s="429">
        <v>0.1</v>
      </c>
      <c r="BJ95" s="606">
        <f t="shared" si="85"/>
        <v>94.5</v>
      </c>
      <c r="BK95" s="606" t="str">
        <f t="shared" si="66"/>
        <v>n/a</v>
      </c>
      <c r="BL95" s="428" t="s">
        <v>475</v>
      </c>
      <c r="BM95" s="548" t="str">
        <f t="shared" si="67"/>
        <v>n/a</v>
      </c>
      <c r="BN95" s="606" t="str">
        <f t="shared" si="68"/>
        <v>n/a</v>
      </c>
      <c r="BO95" s="606" t="str">
        <f t="shared" si="69"/>
        <v>n/a</v>
      </c>
      <c r="BP95" s="578" t="s">
        <v>475</v>
      </c>
      <c r="BQ95" s="606" t="s">
        <v>475</v>
      </c>
      <c r="BR95" s="519" t="s">
        <v>475</v>
      </c>
      <c r="BS95" s="548" t="str">
        <f t="shared" si="70"/>
        <v>n/a</v>
      </c>
      <c r="BT95" s="607" t="str">
        <f t="shared" si="71"/>
        <v>n/a</v>
      </c>
      <c r="BU95" s="651" t="s">
        <v>475</v>
      </c>
      <c r="BV95" s="650" t="str">
        <f t="shared" si="72"/>
        <v>n/a</v>
      </c>
      <c r="BW95" s="325" t="s">
        <v>672</v>
      </c>
      <c r="BX95" s="430" t="s">
        <v>475</v>
      </c>
      <c r="BY95" s="1190"/>
      <c r="BZ95" s="1190"/>
      <c r="CA95" s="608" t="str">
        <f t="shared" si="73"/>
        <v>n/a</v>
      </c>
      <c r="CB95" s="428"/>
      <c r="CC95" s="428"/>
      <c r="CD95" s="609" t="str">
        <f t="shared" si="74"/>
        <v>n/a</v>
      </c>
      <c r="CE95" s="610" t="str">
        <f t="shared" si="75"/>
        <v>n/a</v>
      </c>
      <c r="CF95" s="609" t="str">
        <f t="shared" si="76"/>
        <v>n/a</v>
      </c>
      <c r="CG95" s="658" t="str">
        <f t="shared" si="77"/>
        <v>n/a</v>
      </c>
      <c r="CH95" s="328"/>
      <c r="CI95" s="330"/>
      <c r="CJ95" s="664">
        <f t="shared" si="78"/>
        <v>0</v>
      </c>
      <c r="CK95" s="328">
        <v>2</v>
      </c>
      <c r="CL95" s="611" t="s">
        <v>670</v>
      </c>
      <c r="CM95" s="428" t="s">
        <v>169</v>
      </c>
      <c r="CN95" s="428" t="s">
        <v>475</v>
      </c>
      <c r="CO95" s="428" t="s">
        <v>169</v>
      </c>
      <c r="CP95" s="570" t="s">
        <v>169</v>
      </c>
      <c r="CQ95" s="1167" t="s">
        <v>1171</v>
      </c>
      <c r="CS95" s="1069">
        <f t="shared" si="79"/>
        <v>0</v>
      </c>
      <c r="CT95" s="1069">
        <f t="shared" si="80"/>
        <v>0</v>
      </c>
      <c r="CU95" s="1066">
        <f t="shared" si="81"/>
        <v>0</v>
      </c>
      <c r="CV95" s="1066">
        <f t="shared" si="82"/>
        <v>0</v>
      </c>
      <c r="CW95" s="1082">
        <f t="shared" si="83"/>
        <v>2.3624999999999998</v>
      </c>
      <c r="CX95" s="1082">
        <f t="shared" si="84"/>
        <v>3.78</v>
      </c>
    </row>
    <row r="96" spans="1:102" s="322" customFormat="1" ht="21" customHeight="1">
      <c r="A96" s="358"/>
      <c r="B96" s="402" t="s">
        <v>415</v>
      </c>
      <c r="C96" s="603"/>
      <c r="D96" s="603"/>
      <c r="E96" s="1053">
        <v>196926</v>
      </c>
      <c r="F96" s="402" t="s">
        <v>714</v>
      </c>
      <c r="G96" s="556">
        <v>92.945400000000006</v>
      </c>
      <c r="H96" s="556">
        <v>20.6448</v>
      </c>
      <c r="I96" s="560" t="s">
        <v>33</v>
      </c>
      <c r="J96" s="560" t="s">
        <v>45</v>
      </c>
      <c r="K96" s="604" t="s">
        <v>508</v>
      </c>
      <c r="L96" s="428">
        <v>0</v>
      </c>
      <c r="M96" s="428">
        <v>0</v>
      </c>
      <c r="N96" s="570">
        <v>409</v>
      </c>
      <c r="O96" s="328"/>
      <c r="P96" s="718" t="str">
        <f t="shared" si="43"/>
        <v>1. Small</v>
      </c>
      <c r="Q96" s="965"/>
      <c r="R96" s="623"/>
      <c r="S96" s="620" t="s">
        <v>139</v>
      </c>
      <c r="T96" s="323" t="str">
        <f t="shared" si="44"/>
        <v>Not Covered</v>
      </c>
      <c r="U96" s="561"/>
      <c r="V96" s="562"/>
      <c r="W96" s="558" t="s">
        <v>152</v>
      </c>
      <c r="X96" s="328">
        <v>0</v>
      </c>
      <c r="Y96" s="428">
        <v>0</v>
      </c>
      <c r="Z96" s="570" t="s">
        <v>43</v>
      </c>
      <c r="AA96" s="328">
        <v>0</v>
      </c>
      <c r="AB96" s="428">
        <v>0</v>
      </c>
      <c r="AC96" s="428">
        <v>0</v>
      </c>
      <c r="AD96" s="428">
        <v>3</v>
      </c>
      <c r="AE96" s="570"/>
      <c r="AF96" s="329">
        <v>0</v>
      </c>
      <c r="AG96" s="330">
        <v>0</v>
      </c>
      <c r="AH96" s="630">
        <f t="shared" si="45"/>
        <v>0</v>
      </c>
      <c r="AI96" s="574">
        <f t="shared" si="46"/>
        <v>0</v>
      </c>
      <c r="AJ96" s="605">
        <f t="shared" si="47"/>
        <v>0</v>
      </c>
      <c r="AK96" s="574">
        <f t="shared" si="48"/>
        <v>0</v>
      </c>
      <c r="AL96" s="605">
        <f t="shared" si="49"/>
        <v>0</v>
      </c>
      <c r="AM96" s="574">
        <f t="shared" si="50"/>
        <v>0</v>
      </c>
      <c r="AN96" s="605" t="str">
        <f t="shared" si="51"/>
        <v>0-10%</v>
      </c>
      <c r="AO96" s="605">
        <f t="shared" si="52"/>
        <v>0</v>
      </c>
      <c r="AP96" s="574">
        <f t="shared" si="53"/>
        <v>0</v>
      </c>
      <c r="AQ96" s="574" t="str">
        <f t="shared" si="54"/>
        <v>yes</v>
      </c>
      <c r="AR96" s="574">
        <f t="shared" si="55"/>
        <v>1.6359999999999999</v>
      </c>
      <c r="AS96" s="574">
        <f t="shared" si="56"/>
        <v>0</v>
      </c>
      <c r="AT96" s="574">
        <f t="shared" si="57"/>
        <v>0</v>
      </c>
      <c r="AU96" s="589">
        <v>0</v>
      </c>
      <c r="AV96" s="635">
        <f t="shared" si="58"/>
        <v>0</v>
      </c>
      <c r="AW96" s="636"/>
      <c r="AX96" s="740">
        <v>0</v>
      </c>
      <c r="AY96" s="428">
        <v>0</v>
      </c>
      <c r="AZ96" s="428">
        <v>6</v>
      </c>
      <c r="BA96" s="473" t="s">
        <v>526</v>
      </c>
      <c r="BB96" s="548">
        <f t="shared" si="59"/>
        <v>0</v>
      </c>
      <c r="BC96" s="606">
        <f t="shared" si="60"/>
        <v>0</v>
      </c>
      <c r="BD96" s="548">
        <f t="shared" si="61"/>
        <v>0</v>
      </c>
      <c r="BE96" s="606">
        <f t="shared" si="62"/>
        <v>0</v>
      </c>
      <c r="BF96" s="549">
        <f t="shared" si="63"/>
        <v>0</v>
      </c>
      <c r="BG96" s="606">
        <f t="shared" si="64"/>
        <v>0</v>
      </c>
      <c r="BH96" s="429" t="s">
        <v>475</v>
      </c>
      <c r="BI96" s="429">
        <v>0</v>
      </c>
      <c r="BJ96" s="606">
        <f t="shared" si="85"/>
        <v>0</v>
      </c>
      <c r="BK96" s="606" t="str">
        <f t="shared" si="66"/>
        <v>n/a</v>
      </c>
      <c r="BL96" s="428" t="s">
        <v>475</v>
      </c>
      <c r="BM96" s="548" t="str">
        <f t="shared" si="67"/>
        <v>n/a</v>
      </c>
      <c r="BN96" s="606" t="str">
        <f t="shared" si="68"/>
        <v>n/a</v>
      </c>
      <c r="BO96" s="606" t="str">
        <f t="shared" si="69"/>
        <v>n/a</v>
      </c>
      <c r="BP96" s="578" t="s">
        <v>475</v>
      </c>
      <c r="BQ96" s="606" t="s">
        <v>475</v>
      </c>
      <c r="BR96" s="519" t="s">
        <v>475</v>
      </c>
      <c r="BS96" s="548" t="str">
        <f t="shared" si="70"/>
        <v>n/a</v>
      </c>
      <c r="BT96" s="607" t="str">
        <f t="shared" si="71"/>
        <v>n/a</v>
      </c>
      <c r="BU96" s="651" t="s">
        <v>475</v>
      </c>
      <c r="BV96" s="650" t="str">
        <f t="shared" si="72"/>
        <v>n/a</v>
      </c>
      <c r="BW96" s="325" t="s">
        <v>672</v>
      </c>
      <c r="BX96" s="430" t="s">
        <v>475</v>
      </c>
      <c r="BY96" s="1190"/>
      <c r="BZ96" s="1190"/>
      <c r="CA96" s="608" t="str">
        <f t="shared" si="73"/>
        <v>n/a</v>
      </c>
      <c r="CB96" s="428"/>
      <c r="CC96" s="428"/>
      <c r="CD96" s="609" t="str">
        <f t="shared" si="74"/>
        <v>n/a</v>
      </c>
      <c r="CE96" s="610" t="str">
        <f t="shared" si="75"/>
        <v>n/a</v>
      </c>
      <c r="CF96" s="609" t="str">
        <f t="shared" si="76"/>
        <v>n/a</v>
      </c>
      <c r="CG96" s="658" t="str">
        <f t="shared" si="77"/>
        <v>n/a</v>
      </c>
      <c r="CH96" s="328"/>
      <c r="CI96" s="330"/>
      <c r="CJ96" s="664">
        <f t="shared" si="78"/>
        <v>0</v>
      </c>
      <c r="CK96" s="328">
        <v>2</v>
      </c>
      <c r="CL96" s="611" t="s">
        <v>670</v>
      </c>
      <c r="CM96" s="428" t="s">
        <v>169</v>
      </c>
      <c r="CN96" s="428" t="s">
        <v>475</v>
      </c>
      <c r="CO96" s="428" t="s">
        <v>169</v>
      </c>
      <c r="CP96" s="570" t="s">
        <v>169</v>
      </c>
      <c r="CQ96" s="1130" t="s">
        <v>1171</v>
      </c>
      <c r="CS96" s="1069">
        <f t="shared" si="79"/>
        <v>0</v>
      </c>
      <c r="CT96" s="1069">
        <f t="shared" si="80"/>
        <v>0</v>
      </c>
      <c r="CU96" s="1066">
        <f t="shared" si="81"/>
        <v>0</v>
      </c>
      <c r="CV96" s="1066">
        <f t="shared" si="82"/>
        <v>0</v>
      </c>
      <c r="CW96" s="1082">
        <f t="shared" si="83"/>
        <v>1.0225</v>
      </c>
      <c r="CX96" s="1082">
        <f t="shared" si="84"/>
        <v>1.6359999999999999</v>
      </c>
    </row>
    <row r="97" spans="1:102" s="322" customFormat="1" ht="21" customHeight="1">
      <c r="A97" s="358"/>
      <c r="B97" s="402" t="s">
        <v>415</v>
      </c>
      <c r="C97" s="603"/>
      <c r="D97" s="603"/>
      <c r="E97" s="1052" t="s">
        <v>212</v>
      </c>
      <c r="F97" s="402" t="s">
        <v>57</v>
      </c>
      <c r="G97" s="556">
        <v>92.982675999999998</v>
      </c>
      <c r="H97" s="556">
        <v>20.805734000000001</v>
      </c>
      <c r="I97" s="560" t="s">
        <v>33</v>
      </c>
      <c r="J97" s="560" t="s">
        <v>34</v>
      </c>
      <c r="K97" s="603" t="s">
        <v>642</v>
      </c>
      <c r="L97" s="428">
        <v>18</v>
      </c>
      <c r="M97" s="428">
        <v>157</v>
      </c>
      <c r="N97" s="570">
        <v>2377</v>
      </c>
      <c r="O97" s="328"/>
      <c r="P97" s="718" t="str">
        <f t="shared" si="43"/>
        <v>3. Large</v>
      </c>
      <c r="Q97" s="965" t="s">
        <v>452</v>
      </c>
      <c r="R97" s="623" t="s">
        <v>301</v>
      </c>
      <c r="S97" s="620" t="s">
        <v>71</v>
      </c>
      <c r="T97" s="323" t="str">
        <f t="shared" si="44"/>
        <v>Covered</v>
      </c>
      <c r="U97" s="561">
        <v>42428</v>
      </c>
      <c r="V97" s="562"/>
      <c r="W97" s="558" t="s">
        <v>152</v>
      </c>
      <c r="X97" s="328">
        <v>0</v>
      </c>
      <c r="Y97" s="428">
        <v>0</v>
      </c>
      <c r="Z97" s="570" t="s">
        <v>43</v>
      </c>
      <c r="AA97" s="328">
        <v>0</v>
      </c>
      <c r="AB97" s="428">
        <v>0</v>
      </c>
      <c r="AC97" s="428">
        <v>0</v>
      </c>
      <c r="AD97" s="428">
        <v>4</v>
      </c>
      <c r="AE97" s="570"/>
      <c r="AF97" s="329">
        <v>0</v>
      </c>
      <c r="AG97" s="330">
        <v>0</v>
      </c>
      <c r="AH97" s="630">
        <f t="shared" si="45"/>
        <v>0</v>
      </c>
      <c r="AI97" s="574">
        <f t="shared" si="46"/>
        <v>0</v>
      </c>
      <c r="AJ97" s="605">
        <f t="shared" si="47"/>
        <v>0</v>
      </c>
      <c r="AK97" s="574">
        <f t="shared" si="48"/>
        <v>0</v>
      </c>
      <c r="AL97" s="605">
        <f t="shared" si="49"/>
        <v>0</v>
      </c>
      <c r="AM97" s="574">
        <f t="shared" si="50"/>
        <v>0</v>
      </c>
      <c r="AN97" s="605" t="str">
        <f t="shared" si="51"/>
        <v>0-10%</v>
      </c>
      <c r="AO97" s="605">
        <f t="shared" si="52"/>
        <v>0</v>
      </c>
      <c r="AP97" s="574">
        <f t="shared" si="53"/>
        <v>0</v>
      </c>
      <c r="AQ97" s="574" t="str">
        <f t="shared" si="54"/>
        <v>yes</v>
      </c>
      <c r="AR97" s="574">
        <f t="shared" si="55"/>
        <v>9.5079999999999991</v>
      </c>
      <c r="AS97" s="574">
        <f t="shared" si="56"/>
        <v>0</v>
      </c>
      <c r="AT97" s="574">
        <f t="shared" si="57"/>
        <v>0</v>
      </c>
      <c r="AU97" s="589">
        <v>0</v>
      </c>
      <c r="AV97" s="635">
        <f t="shared" si="58"/>
        <v>0</v>
      </c>
      <c r="AW97" s="636"/>
      <c r="AX97" s="740">
        <v>0</v>
      </c>
      <c r="AY97" s="428">
        <v>25</v>
      </c>
      <c r="AZ97" s="428">
        <v>6</v>
      </c>
      <c r="BA97" s="473" t="s">
        <v>526</v>
      </c>
      <c r="BB97" s="548">
        <f t="shared" si="59"/>
        <v>6.3104753891459822E-2</v>
      </c>
      <c r="BC97" s="606">
        <f t="shared" si="60"/>
        <v>150</v>
      </c>
      <c r="BD97" s="548">
        <f t="shared" si="61"/>
        <v>6.3104753891459822E-2</v>
      </c>
      <c r="BE97" s="606">
        <f t="shared" si="62"/>
        <v>150</v>
      </c>
      <c r="BF97" s="549">
        <f t="shared" si="63"/>
        <v>0</v>
      </c>
      <c r="BG97" s="606">
        <f t="shared" si="64"/>
        <v>0</v>
      </c>
      <c r="BH97" s="578" t="s">
        <v>492</v>
      </c>
      <c r="BI97" s="429">
        <v>0.8</v>
      </c>
      <c r="BJ97" s="606">
        <f t="shared" si="85"/>
        <v>1901.6000000000001</v>
      </c>
      <c r="BK97" s="606" t="str">
        <f t="shared" si="66"/>
        <v>n/a</v>
      </c>
      <c r="BL97" s="428" t="s">
        <v>475</v>
      </c>
      <c r="BM97" s="548" t="str">
        <f t="shared" si="67"/>
        <v>n/a</v>
      </c>
      <c r="BN97" s="606" t="str">
        <f t="shared" si="68"/>
        <v>n/a</v>
      </c>
      <c r="BO97" s="606" t="str">
        <f t="shared" si="69"/>
        <v>n/a</v>
      </c>
      <c r="BP97" s="578" t="s">
        <v>475</v>
      </c>
      <c r="BQ97" s="606" t="s">
        <v>475</v>
      </c>
      <c r="BR97" s="519" t="s">
        <v>475</v>
      </c>
      <c r="BS97" s="548" t="str">
        <f t="shared" si="70"/>
        <v>n/a</v>
      </c>
      <c r="BT97" s="607" t="str">
        <f t="shared" si="71"/>
        <v>n/a</v>
      </c>
      <c r="BU97" s="651" t="s">
        <v>475</v>
      </c>
      <c r="BV97" s="650" t="str">
        <f t="shared" si="72"/>
        <v>n/a</v>
      </c>
      <c r="BW97" s="325" t="s">
        <v>672</v>
      </c>
      <c r="BX97" s="430">
        <v>41778</v>
      </c>
      <c r="BY97" s="1190"/>
      <c r="BZ97" s="1190"/>
      <c r="CA97" s="608" t="str">
        <f t="shared" si="73"/>
        <v>n/a</v>
      </c>
      <c r="CB97" s="428">
        <v>18</v>
      </c>
      <c r="CC97" s="428">
        <v>3</v>
      </c>
      <c r="CD97" s="609" t="str">
        <f t="shared" si="74"/>
        <v>n/a</v>
      </c>
      <c r="CE97" s="610" t="str">
        <f t="shared" si="75"/>
        <v>n/a</v>
      </c>
      <c r="CF97" s="609" t="str">
        <f t="shared" si="76"/>
        <v>n/a</v>
      </c>
      <c r="CG97" s="658" t="str">
        <f t="shared" si="77"/>
        <v>n/a</v>
      </c>
      <c r="CH97" s="328" t="s">
        <v>516</v>
      </c>
      <c r="CI97" s="330">
        <v>0</v>
      </c>
      <c r="CJ97" s="664">
        <f t="shared" si="78"/>
        <v>0</v>
      </c>
      <c r="CK97" s="328">
        <v>2</v>
      </c>
      <c r="CL97" s="611" t="s">
        <v>671</v>
      </c>
      <c r="CM97" s="428" t="s">
        <v>169</v>
      </c>
      <c r="CN97" s="428" t="s">
        <v>475</v>
      </c>
      <c r="CO97" s="428" t="s">
        <v>169</v>
      </c>
      <c r="CP97" s="570" t="s">
        <v>169</v>
      </c>
      <c r="CQ97" s="665"/>
      <c r="CS97" s="1069">
        <f t="shared" si="79"/>
        <v>0</v>
      </c>
      <c r="CT97" s="1069">
        <f t="shared" si="80"/>
        <v>0</v>
      </c>
      <c r="CU97" s="1066">
        <f t="shared" si="81"/>
        <v>0</v>
      </c>
      <c r="CV97" s="1066">
        <f t="shared" si="82"/>
        <v>0</v>
      </c>
      <c r="CW97" s="1082">
        <f t="shared" si="83"/>
        <v>5.9424999999999999</v>
      </c>
      <c r="CX97" s="1082">
        <f t="shared" si="84"/>
        <v>9.5079999999999991</v>
      </c>
    </row>
    <row r="98" spans="1:102" s="322" customFormat="1" ht="21" customHeight="1">
      <c r="A98" s="358"/>
      <c r="B98" s="402" t="s">
        <v>415</v>
      </c>
      <c r="C98" s="603"/>
      <c r="D98" s="603"/>
      <c r="E98" s="1052" t="s">
        <v>219</v>
      </c>
      <c r="F98" s="402" t="s">
        <v>63</v>
      </c>
      <c r="G98" s="556">
        <v>92.965980999999999</v>
      </c>
      <c r="H98" s="556">
        <v>20.865687000000001</v>
      </c>
      <c r="I98" s="560" t="s">
        <v>33</v>
      </c>
      <c r="J98" s="560" t="s">
        <v>34</v>
      </c>
      <c r="K98" s="604" t="s">
        <v>641</v>
      </c>
      <c r="L98" s="428">
        <v>85</v>
      </c>
      <c r="M98" s="428">
        <v>576</v>
      </c>
      <c r="N98" s="570">
        <v>2212</v>
      </c>
      <c r="O98" s="328"/>
      <c r="P98" s="718" t="str">
        <f t="shared" si="43"/>
        <v>3. Large</v>
      </c>
      <c r="Q98" s="965" t="s">
        <v>452</v>
      </c>
      <c r="R98" s="623" t="s">
        <v>301</v>
      </c>
      <c r="S98" s="620" t="s">
        <v>71</v>
      </c>
      <c r="T98" s="323" t="str">
        <f t="shared" si="44"/>
        <v>Covered</v>
      </c>
      <c r="U98" s="561">
        <v>42428</v>
      </c>
      <c r="V98" s="562"/>
      <c r="W98" s="558" t="s">
        <v>152</v>
      </c>
      <c r="X98" s="328">
        <v>0</v>
      </c>
      <c r="Y98" s="428">
        <v>0</v>
      </c>
      <c r="Z98" s="570" t="s">
        <v>43</v>
      </c>
      <c r="AA98" s="328">
        <v>0</v>
      </c>
      <c r="AB98" s="428">
        <v>0</v>
      </c>
      <c r="AC98" s="428">
        <v>0</v>
      </c>
      <c r="AD98" s="428">
        <v>6</v>
      </c>
      <c r="AE98" s="570"/>
      <c r="AF98" s="329">
        <v>0</v>
      </c>
      <c r="AG98" s="330">
        <v>0</v>
      </c>
      <c r="AH98" s="630">
        <f t="shared" si="45"/>
        <v>0</v>
      </c>
      <c r="AI98" s="574">
        <f t="shared" si="46"/>
        <v>0</v>
      </c>
      <c r="AJ98" s="605">
        <f t="shared" si="47"/>
        <v>0</v>
      </c>
      <c r="AK98" s="574">
        <f t="shared" si="48"/>
        <v>0</v>
      </c>
      <c r="AL98" s="605">
        <f t="shared" si="49"/>
        <v>0</v>
      </c>
      <c r="AM98" s="574">
        <f t="shared" si="50"/>
        <v>0</v>
      </c>
      <c r="AN98" s="605" t="str">
        <f t="shared" si="51"/>
        <v>0-10%</v>
      </c>
      <c r="AO98" s="605">
        <f t="shared" si="52"/>
        <v>0</v>
      </c>
      <c r="AP98" s="574">
        <f t="shared" si="53"/>
        <v>0</v>
      </c>
      <c r="AQ98" s="574" t="str">
        <f t="shared" si="54"/>
        <v>yes</v>
      </c>
      <c r="AR98" s="574">
        <f t="shared" si="55"/>
        <v>8.8480000000000008</v>
      </c>
      <c r="AS98" s="574">
        <f t="shared" si="56"/>
        <v>0</v>
      </c>
      <c r="AT98" s="574">
        <f t="shared" si="57"/>
        <v>0</v>
      </c>
      <c r="AU98" s="589">
        <v>0</v>
      </c>
      <c r="AV98" s="635">
        <f t="shared" si="58"/>
        <v>0</v>
      </c>
      <c r="AW98" s="636"/>
      <c r="AX98" s="740">
        <v>9</v>
      </c>
      <c r="AY98" s="428">
        <v>42</v>
      </c>
      <c r="AZ98" s="428">
        <v>6</v>
      </c>
      <c r="BA98" s="473" t="s">
        <v>963</v>
      </c>
      <c r="BB98" s="548">
        <f t="shared" si="59"/>
        <v>0.11392405063291139</v>
      </c>
      <c r="BC98" s="606">
        <f t="shared" si="60"/>
        <v>252</v>
      </c>
      <c r="BD98" s="548">
        <f t="shared" si="61"/>
        <v>0.11392405063291139</v>
      </c>
      <c r="BE98" s="606">
        <f t="shared" si="62"/>
        <v>252</v>
      </c>
      <c r="BF98" s="549">
        <f t="shared" si="63"/>
        <v>0</v>
      </c>
      <c r="BG98" s="606">
        <f t="shared" si="64"/>
        <v>0</v>
      </c>
      <c r="BH98" s="429" t="s">
        <v>492</v>
      </c>
      <c r="BI98" s="429">
        <v>1</v>
      </c>
      <c r="BJ98" s="606">
        <f t="shared" si="85"/>
        <v>2212</v>
      </c>
      <c r="BK98" s="606" t="str">
        <f t="shared" si="66"/>
        <v>n/a</v>
      </c>
      <c r="BL98" s="428" t="s">
        <v>475</v>
      </c>
      <c r="BM98" s="548" t="str">
        <f t="shared" si="67"/>
        <v>n/a</v>
      </c>
      <c r="BN98" s="606" t="str">
        <f t="shared" si="68"/>
        <v>n/a</v>
      </c>
      <c r="BO98" s="606" t="str">
        <f t="shared" si="69"/>
        <v>n/a</v>
      </c>
      <c r="BP98" s="578" t="s">
        <v>475</v>
      </c>
      <c r="BQ98" s="606" t="s">
        <v>475</v>
      </c>
      <c r="BR98" s="519" t="s">
        <v>475</v>
      </c>
      <c r="BS98" s="548" t="str">
        <f t="shared" si="70"/>
        <v>n/a</v>
      </c>
      <c r="BT98" s="607" t="str">
        <f t="shared" si="71"/>
        <v>n/a</v>
      </c>
      <c r="BU98" s="651" t="s">
        <v>475</v>
      </c>
      <c r="BV98" s="650" t="str">
        <f t="shared" si="72"/>
        <v>n/a</v>
      </c>
      <c r="BW98" s="325" t="s">
        <v>672</v>
      </c>
      <c r="BX98" s="430">
        <v>41778</v>
      </c>
      <c r="BY98" s="1190"/>
      <c r="BZ98" s="1190"/>
      <c r="CA98" s="608" t="str">
        <f t="shared" si="73"/>
        <v>n/a</v>
      </c>
      <c r="CB98" s="428">
        <v>83</v>
      </c>
      <c r="CC98" s="428">
        <v>3</v>
      </c>
      <c r="CD98" s="609" t="str">
        <f t="shared" si="74"/>
        <v>n/a</v>
      </c>
      <c r="CE98" s="610" t="str">
        <f t="shared" si="75"/>
        <v>n/a</v>
      </c>
      <c r="CF98" s="609" t="str">
        <f t="shared" si="76"/>
        <v>n/a</v>
      </c>
      <c r="CG98" s="658" t="str">
        <f t="shared" si="77"/>
        <v>n/a</v>
      </c>
      <c r="CH98" s="328" t="s">
        <v>515</v>
      </c>
      <c r="CI98" s="330">
        <v>0</v>
      </c>
      <c r="CJ98" s="664">
        <f t="shared" si="78"/>
        <v>0</v>
      </c>
      <c r="CK98" s="328">
        <v>2</v>
      </c>
      <c r="CL98" s="611" t="s">
        <v>671</v>
      </c>
      <c r="CM98" s="428" t="s">
        <v>169</v>
      </c>
      <c r="CN98" s="428" t="s">
        <v>475</v>
      </c>
      <c r="CO98" s="428" t="s">
        <v>169</v>
      </c>
      <c r="CP98" s="570" t="s">
        <v>169</v>
      </c>
      <c r="CQ98" s="666"/>
      <c r="CS98" s="1069">
        <f t="shared" si="79"/>
        <v>0</v>
      </c>
      <c r="CT98" s="1069">
        <f t="shared" si="80"/>
        <v>0</v>
      </c>
      <c r="CU98" s="1066">
        <f t="shared" si="81"/>
        <v>0</v>
      </c>
      <c r="CV98" s="1066">
        <f t="shared" si="82"/>
        <v>0</v>
      </c>
      <c r="CW98" s="1082">
        <f t="shared" si="83"/>
        <v>5.53</v>
      </c>
      <c r="CX98" s="1082">
        <f t="shared" si="84"/>
        <v>8.8480000000000008</v>
      </c>
    </row>
    <row r="99" spans="1:102" s="322" customFormat="1" ht="21" customHeight="1">
      <c r="A99" s="358"/>
      <c r="B99" s="402" t="s">
        <v>415</v>
      </c>
      <c r="C99" s="603"/>
      <c r="D99" s="603"/>
      <c r="E99" s="1053">
        <v>196759</v>
      </c>
      <c r="F99" s="402" t="s">
        <v>520</v>
      </c>
      <c r="G99" s="556">
        <v>92.983889000000005</v>
      </c>
      <c r="H99" s="556">
        <v>20.901439</v>
      </c>
      <c r="I99" s="560" t="s">
        <v>33</v>
      </c>
      <c r="J99" s="560" t="s">
        <v>525</v>
      </c>
      <c r="K99" s="604" t="s">
        <v>508</v>
      </c>
      <c r="L99" s="428">
        <v>0</v>
      </c>
      <c r="M99" s="428">
        <v>0</v>
      </c>
      <c r="N99" s="570">
        <v>121</v>
      </c>
      <c r="O99" s="328"/>
      <c r="P99" s="718" t="str">
        <f t="shared" si="43"/>
        <v>1. Small</v>
      </c>
      <c r="Q99" s="965"/>
      <c r="R99" s="623"/>
      <c r="S99" s="620" t="s">
        <v>139</v>
      </c>
      <c r="T99" s="323" t="str">
        <f t="shared" si="44"/>
        <v>Not Covered</v>
      </c>
      <c r="U99" s="561"/>
      <c r="V99" s="562"/>
      <c r="W99" s="558" t="s">
        <v>152</v>
      </c>
      <c r="X99" s="328">
        <v>0</v>
      </c>
      <c r="Y99" s="428">
        <v>0</v>
      </c>
      <c r="Z99" s="570" t="s">
        <v>43</v>
      </c>
      <c r="AA99" s="328">
        <v>0</v>
      </c>
      <c r="AB99" s="428">
        <v>0</v>
      </c>
      <c r="AC99" s="428">
        <v>0</v>
      </c>
      <c r="AD99" s="428">
        <v>2</v>
      </c>
      <c r="AE99" s="570"/>
      <c r="AF99" s="329">
        <v>0</v>
      </c>
      <c r="AG99" s="330">
        <v>0</v>
      </c>
      <c r="AH99" s="630">
        <f t="shared" si="45"/>
        <v>0</v>
      </c>
      <c r="AI99" s="574">
        <f t="shared" si="46"/>
        <v>0</v>
      </c>
      <c r="AJ99" s="605">
        <f t="shared" si="47"/>
        <v>0</v>
      </c>
      <c r="AK99" s="574">
        <f t="shared" si="48"/>
        <v>0</v>
      </c>
      <c r="AL99" s="605">
        <f t="shared" si="49"/>
        <v>0</v>
      </c>
      <c r="AM99" s="574">
        <f t="shared" si="50"/>
        <v>0</v>
      </c>
      <c r="AN99" s="605" t="str">
        <f t="shared" si="51"/>
        <v>0-10%</v>
      </c>
      <c r="AO99" s="605">
        <f t="shared" si="52"/>
        <v>0</v>
      </c>
      <c r="AP99" s="574">
        <f t="shared" si="53"/>
        <v>0</v>
      </c>
      <c r="AQ99" s="574" t="str">
        <f t="shared" si="54"/>
        <v>yes</v>
      </c>
      <c r="AR99" s="574">
        <f t="shared" si="55"/>
        <v>0.48399999999999999</v>
      </c>
      <c r="AS99" s="574">
        <f t="shared" si="56"/>
        <v>0</v>
      </c>
      <c r="AT99" s="574">
        <f t="shared" si="57"/>
        <v>0</v>
      </c>
      <c r="AU99" s="589">
        <v>0</v>
      </c>
      <c r="AV99" s="635">
        <f t="shared" si="58"/>
        <v>0</v>
      </c>
      <c r="AW99" s="636"/>
      <c r="AX99" s="740">
        <v>0</v>
      </c>
      <c r="AY99" s="428">
        <v>0</v>
      </c>
      <c r="AZ99" s="428">
        <v>6</v>
      </c>
      <c r="BA99" s="473" t="s">
        <v>526</v>
      </c>
      <c r="BB99" s="548">
        <f t="shared" si="59"/>
        <v>0</v>
      </c>
      <c r="BC99" s="606">
        <f t="shared" si="60"/>
        <v>0</v>
      </c>
      <c r="BD99" s="548">
        <f t="shared" si="61"/>
        <v>0</v>
      </c>
      <c r="BE99" s="606">
        <f t="shared" si="62"/>
        <v>0</v>
      </c>
      <c r="BF99" s="549">
        <f t="shared" si="63"/>
        <v>0</v>
      </c>
      <c r="BG99" s="606">
        <f t="shared" si="64"/>
        <v>0</v>
      </c>
      <c r="BH99" s="429" t="s">
        <v>492</v>
      </c>
      <c r="BI99" s="429">
        <v>0</v>
      </c>
      <c r="BJ99" s="606">
        <f t="shared" si="85"/>
        <v>0</v>
      </c>
      <c r="BK99" s="606" t="str">
        <f t="shared" si="66"/>
        <v>n/a</v>
      </c>
      <c r="BL99" s="428" t="s">
        <v>475</v>
      </c>
      <c r="BM99" s="548" t="str">
        <f t="shared" si="67"/>
        <v>n/a</v>
      </c>
      <c r="BN99" s="606" t="str">
        <f t="shared" si="68"/>
        <v>n/a</v>
      </c>
      <c r="BO99" s="606" t="str">
        <f t="shared" si="69"/>
        <v>n/a</v>
      </c>
      <c r="BP99" s="578" t="s">
        <v>475</v>
      </c>
      <c r="BQ99" s="606" t="s">
        <v>475</v>
      </c>
      <c r="BR99" s="519" t="s">
        <v>475</v>
      </c>
      <c r="BS99" s="548" t="str">
        <f t="shared" si="70"/>
        <v>n/a</v>
      </c>
      <c r="BT99" s="607" t="str">
        <f t="shared" si="71"/>
        <v>n/a</v>
      </c>
      <c r="BU99" s="651" t="s">
        <v>475</v>
      </c>
      <c r="BV99" s="650" t="str">
        <f t="shared" si="72"/>
        <v>n/a</v>
      </c>
      <c r="BW99" s="325" t="s">
        <v>672</v>
      </c>
      <c r="BX99" s="430" t="s">
        <v>475</v>
      </c>
      <c r="BY99" s="1190"/>
      <c r="BZ99" s="1190"/>
      <c r="CA99" s="608" t="str">
        <f t="shared" si="73"/>
        <v>n/a</v>
      </c>
      <c r="CB99" s="428"/>
      <c r="CC99" s="428"/>
      <c r="CD99" s="609" t="str">
        <f t="shared" si="74"/>
        <v>n/a</v>
      </c>
      <c r="CE99" s="610" t="str">
        <f t="shared" si="75"/>
        <v>n/a</v>
      </c>
      <c r="CF99" s="609" t="str">
        <f t="shared" si="76"/>
        <v>n/a</v>
      </c>
      <c r="CG99" s="658" t="str">
        <f t="shared" si="77"/>
        <v>n/a</v>
      </c>
      <c r="CH99" s="328"/>
      <c r="CI99" s="330"/>
      <c r="CJ99" s="664">
        <f t="shared" si="78"/>
        <v>0</v>
      </c>
      <c r="CK99" s="328">
        <v>2</v>
      </c>
      <c r="CL99" s="611" t="s">
        <v>670</v>
      </c>
      <c r="CM99" s="428" t="s">
        <v>169</v>
      </c>
      <c r="CN99" s="428" t="s">
        <v>475</v>
      </c>
      <c r="CO99" s="428" t="s">
        <v>169</v>
      </c>
      <c r="CP99" s="570" t="s">
        <v>169</v>
      </c>
      <c r="CQ99" s="1129" t="s">
        <v>1171</v>
      </c>
      <c r="CS99" s="1069">
        <f t="shared" si="79"/>
        <v>0</v>
      </c>
      <c r="CT99" s="1069">
        <f t="shared" si="80"/>
        <v>0</v>
      </c>
      <c r="CU99" s="1066">
        <f t="shared" si="81"/>
        <v>0</v>
      </c>
      <c r="CV99" s="1066">
        <f t="shared" si="82"/>
        <v>0</v>
      </c>
      <c r="CW99" s="1082">
        <f t="shared" si="83"/>
        <v>0.30249999999999999</v>
      </c>
      <c r="CX99" s="1082">
        <f t="shared" si="84"/>
        <v>0.48399999999999999</v>
      </c>
    </row>
    <row r="100" spans="1:102" s="322" customFormat="1" ht="21" customHeight="1">
      <c r="A100" s="358"/>
      <c r="B100" s="402" t="s">
        <v>415</v>
      </c>
      <c r="C100" s="603"/>
      <c r="D100" s="603"/>
      <c r="E100" s="1052" t="s">
        <v>217</v>
      </c>
      <c r="F100" s="402" t="s">
        <v>61</v>
      </c>
      <c r="G100" s="556">
        <v>92.987399999999994</v>
      </c>
      <c r="H100" s="556">
        <v>20.78332</v>
      </c>
      <c r="I100" s="560" t="s">
        <v>33</v>
      </c>
      <c r="J100" s="560" t="s">
        <v>34</v>
      </c>
      <c r="K100" s="603" t="s">
        <v>642</v>
      </c>
      <c r="L100" s="428">
        <v>144</v>
      </c>
      <c r="M100" s="428">
        <v>1028</v>
      </c>
      <c r="N100" s="570">
        <v>1028</v>
      </c>
      <c r="O100" s="328"/>
      <c r="P100" s="718" t="str">
        <f t="shared" si="43"/>
        <v>3. Large</v>
      </c>
      <c r="Q100" s="965" t="s">
        <v>452</v>
      </c>
      <c r="R100" s="623" t="s">
        <v>301</v>
      </c>
      <c r="S100" s="620" t="s">
        <v>71</v>
      </c>
      <c r="T100" s="323" t="str">
        <f t="shared" si="44"/>
        <v>Covered</v>
      </c>
      <c r="U100" s="561">
        <v>42428</v>
      </c>
      <c r="V100" s="562"/>
      <c r="W100" s="558" t="s">
        <v>152</v>
      </c>
      <c r="X100" s="328">
        <v>0</v>
      </c>
      <c r="Y100" s="428">
        <v>0</v>
      </c>
      <c r="Z100" s="570" t="s">
        <v>43</v>
      </c>
      <c r="AA100" s="328">
        <v>0</v>
      </c>
      <c r="AB100" s="428">
        <v>0</v>
      </c>
      <c r="AC100" s="428">
        <v>0</v>
      </c>
      <c r="AD100" s="428">
        <v>2</v>
      </c>
      <c r="AE100" s="570"/>
      <c r="AF100" s="329">
        <v>0</v>
      </c>
      <c r="AG100" s="330">
        <v>0</v>
      </c>
      <c r="AH100" s="630">
        <f t="shared" si="45"/>
        <v>0</v>
      </c>
      <c r="AI100" s="574">
        <f t="shared" si="46"/>
        <v>0</v>
      </c>
      <c r="AJ100" s="605">
        <f t="shared" si="47"/>
        <v>0</v>
      </c>
      <c r="AK100" s="574">
        <f t="shared" si="48"/>
        <v>0</v>
      </c>
      <c r="AL100" s="605">
        <f t="shared" si="49"/>
        <v>0</v>
      </c>
      <c r="AM100" s="574">
        <f t="shared" si="50"/>
        <v>0</v>
      </c>
      <c r="AN100" s="605" t="str">
        <f t="shared" si="51"/>
        <v>0-10%</v>
      </c>
      <c r="AO100" s="605">
        <f t="shared" si="52"/>
        <v>0</v>
      </c>
      <c r="AP100" s="574">
        <f t="shared" si="53"/>
        <v>0</v>
      </c>
      <c r="AQ100" s="574" t="str">
        <f t="shared" si="54"/>
        <v>yes</v>
      </c>
      <c r="AR100" s="574">
        <f t="shared" si="55"/>
        <v>4.1120000000000001</v>
      </c>
      <c r="AS100" s="574">
        <f t="shared" si="56"/>
        <v>0</v>
      </c>
      <c r="AT100" s="574">
        <f t="shared" si="57"/>
        <v>0</v>
      </c>
      <c r="AU100" s="589">
        <v>0</v>
      </c>
      <c r="AV100" s="635">
        <f t="shared" si="58"/>
        <v>0</v>
      </c>
      <c r="AW100" s="636"/>
      <c r="AX100" s="740">
        <v>0</v>
      </c>
      <c r="AY100" s="428">
        <v>21</v>
      </c>
      <c r="AZ100" s="428">
        <v>6</v>
      </c>
      <c r="BA100" s="473" t="s">
        <v>526</v>
      </c>
      <c r="BB100" s="548">
        <f t="shared" si="59"/>
        <v>0.122568093385214</v>
      </c>
      <c r="BC100" s="606">
        <f t="shared" si="60"/>
        <v>126</v>
      </c>
      <c r="BD100" s="548">
        <f t="shared" si="61"/>
        <v>0.122568093385214</v>
      </c>
      <c r="BE100" s="606">
        <f t="shared" si="62"/>
        <v>126</v>
      </c>
      <c r="BF100" s="549">
        <f t="shared" si="63"/>
        <v>0</v>
      </c>
      <c r="BG100" s="606">
        <f t="shared" si="64"/>
        <v>0</v>
      </c>
      <c r="BH100" s="578" t="s">
        <v>492</v>
      </c>
      <c r="BI100" s="429">
        <v>1</v>
      </c>
      <c r="BJ100" s="606">
        <f t="shared" si="85"/>
        <v>1028</v>
      </c>
      <c r="BK100" s="606" t="str">
        <f t="shared" si="66"/>
        <v>n/a</v>
      </c>
      <c r="BL100" s="428" t="s">
        <v>475</v>
      </c>
      <c r="BM100" s="548" t="str">
        <f t="shared" si="67"/>
        <v>n/a</v>
      </c>
      <c r="BN100" s="606" t="str">
        <f t="shared" si="68"/>
        <v>n/a</v>
      </c>
      <c r="BO100" s="606" t="str">
        <f t="shared" si="69"/>
        <v>n/a</v>
      </c>
      <c r="BP100" s="578" t="s">
        <v>475</v>
      </c>
      <c r="BQ100" s="606" t="s">
        <v>475</v>
      </c>
      <c r="BR100" s="519" t="s">
        <v>475</v>
      </c>
      <c r="BS100" s="548" t="str">
        <f t="shared" si="70"/>
        <v>n/a</v>
      </c>
      <c r="BT100" s="607" t="str">
        <f t="shared" si="71"/>
        <v>n/a</v>
      </c>
      <c r="BU100" s="651" t="s">
        <v>475</v>
      </c>
      <c r="BV100" s="650" t="str">
        <f t="shared" si="72"/>
        <v>n/a</v>
      </c>
      <c r="BW100" s="325" t="s">
        <v>672</v>
      </c>
      <c r="BX100" s="430">
        <v>41778</v>
      </c>
      <c r="BY100" s="1190"/>
      <c r="BZ100" s="1190"/>
      <c r="CA100" s="608" t="str">
        <f t="shared" si="73"/>
        <v>n/a</v>
      </c>
      <c r="CB100" s="428">
        <v>145</v>
      </c>
      <c r="CC100" s="428">
        <v>3</v>
      </c>
      <c r="CD100" s="609" t="str">
        <f t="shared" si="74"/>
        <v>n/a</v>
      </c>
      <c r="CE100" s="610" t="str">
        <f t="shared" si="75"/>
        <v>n/a</v>
      </c>
      <c r="CF100" s="609" t="str">
        <f t="shared" si="76"/>
        <v>n/a</v>
      </c>
      <c r="CG100" s="658" t="str">
        <f t="shared" si="77"/>
        <v>n/a</v>
      </c>
      <c r="CH100" s="328" t="s">
        <v>515</v>
      </c>
      <c r="CI100" s="330">
        <v>0</v>
      </c>
      <c r="CJ100" s="664">
        <f t="shared" si="78"/>
        <v>0</v>
      </c>
      <c r="CK100" s="328">
        <v>2</v>
      </c>
      <c r="CL100" s="611" t="s">
        <v>668</v>
      </c>
      <c r="CM100" s="428" t="s">
        <v>169</v>
      </c>
      <c r="CN100" s="428" t="s">
        <v>475</v>
      </c>
      <c r="CO100" s="428" t="s">
        <v>169</v>
      </c>
      <c r="CP100" s="570" t="s">
        <v>169</v>
      </c>
      <c r="CQ100" s="665"/>
      <c r="CS100" s="1069">
        <f t="shared" si="79"/>
        <v>0</v>
      </c>
      <c r="CT100" s="1069">
        <f t="shared" si="80"/>
        <v>0</v>
      </c>
      <c r="CU100" s="1066">
        <f t="shared" si="81"/>
        <v>0</v>
      </c>
      <c r="CV100" s="1066">
        <f t="shared" si="82"/>
        <v>0</v>
      </c>
      <c r="CW100" s="1082">
        <f t="shared" si="83"/>
        <v>2.57</v>
      </c>
      <c r="CX100" s="1082">
        <f t="shared" si="84"/>
        <v>4.1120000000000001</v>
      </c>
    </row>
    <row r="101" spans="1:102" s="322" customFormat="1" ht="21" customHeight="1">
      <c r="A101" s="358"/>
      <c r="B101" s="402" t="s">
        <v>415</v>
      </c>
      <c r="C101" s="603"/>
      <c r="D101" s="603"/>
      <c r="E101" s="1053">
        <v>196869</v>
      </c>
      <c r="F101" s="402" t="s">
        <v>521</v>
      </c>
      <c r="G101" s="556">
        <v>92.986599999999996</v>
      </c>
      <c r="H101" s="556">
        <v>20.785699999999999</v>
      </c>
      <c r="I101" s="560" t="s">
        <v>33</v>
      </c>
      <c r="J101" s="560" t="s">
        <v>45</v>
      </c>
      <c r="K101" s="604" t="s">
        <v>508</v>
      </c>
      <c r="L101" s="428">
        <v>0</v>
      </c>
      <c r="M101" s="428">
        <v>0</v>
      </c>
      <c r="N101" s="1119">
        <v>1</v>
      </c>
      <c r="O101" s="328"/>
      <c r="P101" s="718" t="str">
        <f t="shared" si="43"/>
        <v>1. Small</v>
      </c>
      <c r="Q101" s="965" t="s">
        <v>452</v>
      </c>
      <c r="R101" s="623"/>
      <c r="S101" s="620" t="s">
        <v>71</v>
      </c>
      <c r="T101" s="323" t="str">
        <f t="shared" si="44"/>
        <v>Covered</v>
      </c>
      <c r="U101" s="561">
        <v>42428</v>
      </c>
      <c r="V101" s="562"/>
      <c r="W101" s="558" t="s">
        <v>152</v>
      </c>
      <c r="X101" s="328">
        <v>0</v>
      </c>
      <c r="Y101" s="428">
        <v>0</v>
      </c>
      <c r="Z101" s="570" t="s">
        <v>43</v>
      </c>
      <c r="AA101" s="328">
        <v>0</v>
      </c>
      <c r="AB101" s="428">
        <v>0</v>
      </c>
      <c r="AC101" s="428">
        <v>0</v>
      </c>
      <c r="AD101" s="428">
        <v>1</v>
      </c>
      <c r="AE101" s="570"/>
      <c r="AF101" s="329">
        <v>0</v>
      </c>
      <c r="AG101" s="330">
        <v>0</v>
      </c>
      <c r="AH101" s="630">
        <f t="shared" si="45"/>
        <v>0</v>
      </c>
      <c r="AI101" s="574">
        <f t="shared" si="46"/>
        <v>0</v>
      </c>
      <c r="AJ101" s="605">
        <f t="shared" si="47"/>
        <v>0</v>
      </c>
      <c r="AK101" s="574">
        <f t="shared" si="48"/>
        <v>0</v>
      </c>
      <c r="AL101" s="605">
        <f t="shared" si="49"/>
        <v>0</v>
      </c>
      <c r="AM101" s="574">
        <f t="shared" si="50"/>
        <v>0</v>
      </c>
      <c r="AN101" s="605" t="str">
        <f t="shared" si="51"/>
        <v>0-10%</v>
      </c>
      <c r="AO101" s="605">
        <f t="shared" si="52"/>
        <v>0</v>
      </c>
      <c r="AP101" s="574">
        <f t="shared" si="53"/>
        <v>0</v>
      </c>
      <c r="AQ101" s="574" t="str">
        <f t="shared" si="54"/>
        <v>yes</v>
      </c>
      <c r="AR101" s="574">
        <f t="shared" si="55"/>
        <v>4.0000000000000001E-3</v>
      </c>
      <c r="AS101" s="574">
        <f t="shared" si="56"/>
        <v>0</v>
      </c>
      <c r="AT101" s="574">
        <f t="shared" si="57"/>
        <v>0</v>
      </c>
      <c r="AU101" s="589">
        <v>0</v>
      </c>
      <c r="AV101" s="635">
        <f t="shared" si="58"/>
        <v>0</v>
      </c>
      <c r="AW101" s="636"/>
      <c r="AX101" s="740">
        <v>0</v>
      </c>
      <c r="AY101" s="428">
        <v>10</v>
      </c>
      <c r="AZ101" s="428">
        <v>6</v>
      </c>
      <c r="BA101" s="473" t="s">
        <v>526</v>
      </c>
      <c r="BB101" s="548">
        <f t="shared" si="59"/>
        <v>1</v>
      </c>
      <c r="BC101" s="606">
        <f t="shared" si="60"/>
        <v>1</v>
      </c>
      <c r="BD101" s="548">
        <f t="shared" si="61"/>
        <v>1</v>
      </c>
      <c r="BE101" s="606">
        <f t="shared" si="62"/>
        <v>1</v>
      </c>
      <c r="BF101" s="549">
        <f t="shared" si="63"/>
        <v>0</v>
      </c>
      <c r="BG101" s="606">
        <f t="shared" si="64"/>
        <v>0</v>
      </c>
      <c r="BH101" s="578" t="s">
        <v>475</v>
      </c>
      <c r="BI101" s="429">
        <v>1</v>
      </c>
      <c r="BJ101" s="606">
        <f t="shared" si="85"/>
        <v>1</v>
      </c>
      <c r="BK101" s="606" t="str">
        <f t="shared" si="66"/>
        <v>n/a</v>
      </c>
      <c r="BL101" s="428" t="s">
        <v>475</v>
      </c>
      <c r="BM101" s="548" t="str">
        <f t="shared" si="67"/>
        <v>n/a</v>
      </c>
      <c r="BN101" s="606" t="str">
        <f t="shared" si="68"/>
        <v>n/a</v>
      </c>
      <c r="BO101" s="606" t="str">
        <f t="shared" si="69"/>
        <v>n/a</v>
      </c>
      <c r="BP101" s="578" t="s">
        <v>475</v>
      </c>
      <c r="BQ101" s="606" t="s">
        <v>475</v>
      </c>
      <c r="BR101" s="519" t="s">
        <v>475</v>
      </c>
      <c r="BS101" s="548" t="str">
        <f t="shared" si="70"/>
        <v>n/a</v>
      </c>
      <c r="BT101" s="607" t="str">
        <f t="shared" si="71"/>
        <v>n/a</v>
      </c>
      <c r="BU101" s="651" t="s">
        <v>475</v>
      </c>
      <c r="BV101" s="650" t="str">
        <f t="shared" si="72"/>
        <v>n/a</v>
      </c>
      <c r="BW101" s="325" t="s">
        <v>672</v>
      </c>
      <c r="BX101" s="430" t="s">
        <v>475</v>
      </c>
      <c r="BY101" s="1190"/>
      <c r="BZ101" s="1190"/>
      <c r="CA101" s="608" t="str">
        <f t="shared" si="73"/>
        <v>n/a</v>
      </c>
      <c r="CB101" s="428"/>
      <c r="CC101" s="428"/>
      <c r="CD101" s="609" t="str">
        <f t="shared" si="74"/>
        <v>n/a</v>
      </c>
      <c r="CE101" s="610" t="str">
        <f t="shared" si="75"/>
        <v>n/a</v>
      </c>
      <c r="CF101" s="609" t="str">
        <f t="shared" si="76"/>
        <v>n/a</v>
      </c>
      <c r="CG101" s="658" t="str">
        <f t="shared" si="77"/>
        <v>n/a</v>
      </c>
      <c r="CH101" s="328"/>
      <c r="CI101" s="330"/>
      <c r="CJ101" s="664">
        <f t="shared" si="78"/>
        <v>0</v>
      </c>
      <c r="CK101" s="328">
        <v>2</v>
      </c>
      <c r="CL101" s="611" t="s">
        <v>670</v>
      </c>
      <c r="CM101" s="428" t="s">
        <v>169</v>
      </c>
      <c r="CN101" s="428" t="s">
        <v>475</v>
      </c>
      <c r="CO101" s="428" t="s">
        <v>169</v>
      </c>
      <c r="CP101" s="570" t="s">
        <v>169</v>
      </c>
      <c r="CQ101" s="665"/>
      <c r="CS101" s="1069">
        <f t="shared" si="79"/>
        <v>0</v>
      </c>
      <c r="CT101" s="1069">
        <f t="shared" si="80"/>
        <v>0</v>
      </c>
      <c r="CU101" s="1066">
        <f t="shared" si="81"/>
        <v>0</v>
      </c>
      <c r="CV101" s="1066">
        <f t="shared" si="82"/>
        <v>0</v>
      </c>
      <c r="CW101" s="1082">
        <f t="shared" si="83"/>
        <v>2.5000000000000001E-3</v>
      </c>
      <c r="CX101" s="1082">
        <f t="shared" si="84"/>
        <v>4.0000000000000001E-3</v>
      </c>
    </row>
    <row r="102" spans="1:102" s="322" customFormat="1" ht="21" customHeight="1">
      <c r="A102" s="358"/>
      <c r="B102" s="402" t="s">
        <v>415</v>
      </c>
      <c r="C102" s="603"/>
      <c r="D102" s="603"/>
      <c r="E102" s="1052" t="s">
        <v>736</v>
      </c>
      <c r="F102" s="402" t="s">
        <v>735</v>
      </c>
      <c r="G102" s="556">
        <v>93.000815000000003</v>
      </c>
      <c r="H102" s="556">
        <v>20.929649000000001</v>
      </c>
      <c r="I102" s="560" t="s">
        <v>33</v>
      </c>
      <c r="J102" s="560" t="s">
        <v>34</v>
      </c>
      <c r="K102" s="603" t="s">
        <v>642</v>
      </c>
      <c r="L102" s="428">
        <v>62</v>
      </c>
      <c r="M102" s="428">
        <v>414</v>
      </c>
      <c r="N102" s="570">
        <v>700</v>
      </c>
      <c r="O102" s="328" t="s">
        <v>984</v>
      </c>
      <c r="P102" s="718" t="str">
        <f t="shared" si="43"/>
        <v>2. Medium</v>
      </c>
      <c r="Q102" s="965" t="s">
        <v>139</v>
      </c>
      <c r="R102" s="623" t="s">
        <v>301</v>
      </c>
      <c r="S102" s="620" t="s">
        <v>139</v>
      </c>
      <c r="T102" s="323" t="str">
        <f t="shared" si="44"/>
        <v>Not Covered</v>
      </c>
      <c r="U102" s="561"/>
      <c r="V102" s="562"/>
      <c r="W102" s="558" t="s">
        <v>154</v>
      </c>
      <c r="X102" s="328">
        <v>0</v>
      </c>
      <c r="Y102" s="428">
        <v>0</v>
      </c>
      <c r="Z102" s="570" t="s">
        <v>43</v>
      </c>
      <c r="AA102" s="328">
        <v>0</v>
      </c>
      <c r="AB102" s="428">
        <v>0</v>
      </c>
      <c r="AC102" s="428">
        <v>0</v>
      </c>
      <c r="AD102" s="428">
        <v>2</v>
      </c>
      <c r="AE102" s="570"/>
      <c r="AF102" s="329">
        <v>0</v>
      </c>
      <c r="AG102" s="330">
        <v>0</v>
      </c>
      <c r="AH102" s="630">
        <f t="shared" si="45"/>
        <v>0</v>
      </c>
      <c r="AI102" s="574">
        <f t="shared" si="46"/>
        <v>0</v>
      </c>
      <c r="AJ102" s="605">
        <f t="shared" si="47"/>
        <v>0</v>
      </c>
      <c r="AK102" s="574">
        <f t="shared" si="48"/>
        <v>0</v>
      </c>
      <c r="AL102" s="605">
        <f t="shared" si="49"/>
        <v>0</v>
      </c>
      <c r="AM102" s="574">
        <f t="shared" si="50"/>
        <v>0</v>
      </c>
      <c r="AN102" s="605" t="str">
        <f t="shared" si="51"/>
        <v>0-10%</v>
      </c>
      <c r="AO102" s="605">
        <f t="shared" si="52"/>
        <v>0</v>
      </c>
      <c r="AP102" s="574">
        <f t="shared" si="53"/>
        <v>0</v>
      </c>
      <c r="AQ102" s="574" t="str">
        <f t="shared" si="54"/>
        <v>yes</v>
      </c>
      <c r="AR102" s="574">
        <f t="shared" si="55"/>
        <v>2.8</v>
      </c>
      <c r="AS102" s="574">
        <f t="shared" si="56"/>
        <v>0</v>
      </c>
      <c r="AT102" s="574">
        <f t="shared" si="57"/>
        <v>0</v>
      </c>
      <c r="AU102" s="589">
        <v>0</v>
      </c>
      <c r="AV102" s="635">
        <f t="shared" si="58"/>
        <v>0</v>
      </c>
      <c r="AW102" s="636"/>
      <c r="AX102" s="740">
        <v>4</v>
      </c>
      <c r="AY102" s="428">
        <v>0</v>
      </c>
      <c r="AZ102" s="428">
        <v>6</v>
      </c>
      <c r="BA102" s="473" t="s">
        <v>965</v>
      </c>
      <c r="BB102" s="548">
        <f t="shared" si="59"/>
        <v>0</v>
      </c>
      <c r="BC102" s="606">
        <f t="shared" si="60"/>
        <v>0</v>
      </c>
      <c r="BD102" s="548">
        <f t="shared" si="61"/>
        <v>0</v>
      </c>
      <c r="BE102" s="606">
        <f t="shared" si="62"/>
        <v>0</v>
      </c>
      <c r="BF102" s="549">
        <f t="shared" si="63"/>
        <v>0</v>
      </c>
      <c r="BG102" s="606">
        <f t="shared" si="64"/>
        <v>0</v>
      </c>
      <c r="BH102" s="428" t="s">
        <v>475</v>
      </c>
      <c r="BI102" s="429">
        <v>0</v>
      </c>
      <c r="BJ102" s="606">
        <f t="shared" si="85"/>
        <v>0</v>
      </c>
      <c r="BK102" s="606" t="str">
        <f t="shared" si="66"/>
        <v>n/a</v>
      </c>
      <c r="BL102" s="428" t="s">
        <v>475</v>
      </c>
      <c r="BM102" s="548" t="str">
        <f t="shared" si="67"/>
        <v>n/a</v>
      </c>
      <c r="BN102" s="606" t="str">
        <f t="shared" si="68"/>
        <v>n/a</v>
      </c>
      <c r="BO102" s="606" t="str">
        <f t="shared" si="69"/>
        <v>n/a</v>
      </c>
      <c r="BP102" s="578" t="s">
        <v>475</v>
      </c>
      <c r="BQ102" s="606" t="s">
        <v>475</v>
      </c>
      <c r="BR102" s="519" t="s">
        <v>475</v>
      </c>
      <c r="BS102" s="548" t="str">
        <f t="shared" si="70"/>
        <v>n/a</v>
      </c>
      <c r="BT102" s="607" t="str">
        <f t="shared" si="71"/>
        <v>n/a</v>
      </c>
      <c r="BU102" s="651" t="s">
        <v>475</v>
      </c>
      <c r="BV102" s="650" t="str">
        <f t="shared" si="72"/>
        <v>n/a</v>
      </c>
      <c r="BW102" s="325" t="s">
        <v>512</v>
      </c>
      <c r="BX102" s="430" t="s">
        <v>475</v>
      </c>
      <c r="BY102" s="1190"/>
      <c r="BZ102" s="1190"/>
      <c r="CA102" s="608" t="str">
        <f t="shared" si="73"/>
        <v>n/a</v>
      </c>
      <c r="CB102" s="428"/>
      <c r="CC102" s="428"/>
      <c r="CD102" s="609" t="str">
        <f t="shared" si="74"/>
        <v>n/a</v>
      </c>
      <c r="CE102" s="610" t="str">
        <f t="shared" si="75"/>
        <v>n/a</v>
      </c>
      <c r="CF102" s="609" t="str">
        <f t="shared" si="76"/>
        <v>n/a</v>
      </c>
      <c r="CG102" s="658" t="str">
        <f t="shared" si="77"/>
        <v>n/a</v>
      </c>
      <c r="CH102" s="328"/>
      <c r="CI102" s="330"/>
      <c r="CJ102" s="664">
        <f t="shared" si="78"/>
        <v>0</v>
      </c>
      <c r="CK102" s="328"/>
      <c r="CL102" s="611" t="str">
        <f>IF(CK102=0,"No coverage",IF(N102/CK102&gt;1000,"Low coverage",IF(N102/CK102&gt;750,"Average coverage",IF(N102/CK102&gt;500,"Good coverage","Excellent coverage"))))</f>
        <v>No coverage</v>
      </c>
      <c r="CM102" s="428"/>
      <c r="CN102" s="428"/>
      <c r="CO102" s="428"/>
      <c r="CP102" s="570"/>
      <c r="CQ102" s="666"/>
      <c r="CS102" s="1069">
        <f t="shared" si="79"/>
        <v>0</v>
      </c>
      <c r="CT102" s="1069">
        <f t="shared" si="80"/>
        <v>0</v>
      </c>
      <c r="CU102" s="1066">
        <f t="shared" si="81"/>
        <v>0</v>
      </c>
      <c r="CV102" s="1066">
        <f t="shared" si="82"/>
        <v>0</v>
      </c>
      <c r="CW102" s="1082">
        <f t="shared" si="83"/>
        <v>1.75</v>
      </c>
      <c r="CX102" s="1082">
        <f t="shared" si="84"/>
        <v>2.8</v>
      </c>
    </row>
    <row r="103" spans="1:102" s="322" customFormat="1" ht="21" customHeight="1">
      <c r="A103" s="358"/>
      <c r="B103" s="402" t="s">
        <v>415</v>
      </c>
      <c r="C103" s="603"/>
      <c r="D103" s="603"/>
      <c r="E103" s="1053">
        <v>196873</v>
      </c>
      <c r="F103" s="402" t="s">
        <v>522</v>
      </c>
      <c r="G103" s="556">
        <v>92.982200000000006</v>
      </c>
      <c r="H103" s="556">
        <v>20.8064</v>
      </c>
      <c r="I103" s="560" t="s">
        <v>33</v>
      </c>
      <c r="J103" s="560" t="s">
        <v>45</v>
      </c>
      <c r="K103" s="603" t="s">
        <v>508</v>
      </c>
      <c r="L103" s="428">
        <v>0</v>
      </c>
      <c r="M103" s="428">
        <v>0</v>
      </c>
      <c r="N103" s="570">
        <v>968</v>
      </c>
      <c r="O103" s="328"/>
      <c r="P103" s="718" t="str">
        <f t="shared" si="43"/>
        <v>2. Medium</v>
      </c>
      <c r="Q103" s="965" t="s">
        <v>452</v>
      </c>
      <c r="R103" s="623"/>
      <c r="S103" s="620" t="s">
        <v>71</v>
      </c>
      <c r="T103" s="323" t="str">
        <f t="shared" si="44"/>
        <v>Covered</v>
      </c>
      <c r="U103" s="561">
        <v>42428</v>
      </c>
      <c r="V103" s="562"/>
      <c r="W103" s="558" t="s">
        <v>152</v>
      </c>
      <c r="X103" s="328">
        <v>0</v>
      </c>
      <c r="Y103" s="428">
        <v>0</v>
      </c>
      <c r="Z103" s="570" t="s">
        <v>43</v>
      </c>
      <c r="AA103" s="328">
        <v>0</v>
      </c>
      <c r="AB103" s="428">
        <v>0</v>
      </c>
      <c r="AC103" s="428">
        <v>0</v>
      </c>
      <c r="AD103" s="428">
        <v>1</v>
      </c>
      <c r="AE103" s="570"/>
      <c r="AF103" s="329">
        <v>0</v>
      </c>
      <c r="AG103" s="330">
        <v>0</v>
      </c>
      <c r="AH103" s="630">
        <f t="shared" si="45"/>
        <v>0</v>
      </c>
      <c r="AI103" s="574">
        <f t="shared" si="46"/>
        <v>0</v>
      </c>
      <c r="AJ103" s="605">
        <f t="shared" si="47"/>
        <v>0</v>
      </c>
      <c r="AK103" s="574">
        <f t="shared" si="48"/>
        <v>0</v>
      </c>
      <c r="AL103" s="605">
        <f t="shared" si="49"/>
        <v>0</v>
      </c>
      <c r="AM103" s="574">
        <f t="shared" si="50"/>
        <v>0</v>
      </c>
      <c r="AN103" s="605" t="str">
        <f t="shared" si="51"/>
        <v>0-10%</v>
      </c>
      <c r="AO103" s="605">
        <f t="shared" si="52"/>
        <v>0</v>
      </c>
      <c r="AP103" s="574">
        <f t="shared" si="53"/>
        <v>0</v>
      </c>
      <c r="AQ103" s="574" t="str">
        <f t="shared" si="54"/>
        <v>yes</v>
      </c>
      <c r="AR103" s="574">
        <f t="shared" si="55"/>
        <v>3.8719999999999999</v>
      </c>
      <c r="AS103" s="574">
        <f t="shared" si="56"/>
        <v>0</v>
      </c>
      <c r="AT103" s="574">
        <f t="shared" si="57"/>
        <v>0</v>
      </c>
      <c r="AU103" s="589">
        <v>0</v>
      </c>
      <c r="AV103" s="635">
        <f t="shared" si="58"/>
        <v>0</v>
      </c>
      <c r="AW103" s="636"/>
      <c r="AX103" s="740">
        <v>0</v>
      </c>
      <c r="AY103" s="428">
        <v>10</v>
      </c>
      <c r="AZ103" s="428">
        <v>6</v>
      </c>
      <c r="BA103" s="473" t="s">
        <v>526</v>
      </c>
      <c r="BB103" s="548">
        <f t="shared" si="59"/>
        <v>6.1983471074380167E-2</v>
      </c>
      <c r="BC103" s="606">
        <f t="shared" si="60"/>
        <v>60</v>
      </c>
      <c r="BD103" s="548">
        <f t="shared" si="61"/>
        <v>6.1983471074380167E-2</v>
      </c>
      <c r="BE103" s="606">
        <f t="shared" si="62"/>
        <v>60</v>
      </c>
      <c r="BF103" s="549">
        <f t="shared" si="63"/>
        <v>0</v>
      </c>
      <c r="BG103" s="606">
        <f t="shared" si="64"/>
        <v>0</v>
      </c>
      <c r="BH103" s="578" t="s">
        <v>492</v>
      </c>
      <c r="BI103" s="429">
        <v>1</v>
      </c>
      <c r="BJ103" s="606">
        <f t="shared" si="85"/>
        <v>968</v>
      </c>
      <c r="BK103" s="606" t="str">
        <f t="shared" si="66"/>
        <v>n/a</v>
      </c>
      <c r="BL103" s="428" t="s">
        <v>475</v>
      </c>
      <c r="BM103" s="548" t="str">
        <f t="shared" si="67"/>
        <v>n/a</v>
      </c>
      <c r="BN103" s="606" t="str">
        <f t="shared" si="68"/>
        <v>n/a</v>
      </c>
      <c r="BO103" s="606" t="str">
        <f t="shared" si="69"/>
        <v>n/a</v>
      </c>
      <c r="BP103" s="578" t="s">
        <v>475</v>
      </c>
      <c r="BQ103" s="606" t="s">
        <v>475</v>
      </c>
      <c r="BR103" s="519" t="s">
        <v>475</v>
      </c>
      <c r="BS103" s="548" t="str">
        <f t="shared" si="70"/>
        <v>n/a</v>
      </c>
      <c r="BT103" s="607" t="str">
        <f t="shared" si="71"/>
        <v>n/a</v>
      </c>
      <c r="BU103" s="651" t="s">
        <v>475</v>
      </c>
      <c r="BV103" s="650" t="str">
        <f t="shared" si="72"/>
        <v>n/a</v>
      </c>
      <c r="BW103" s="325" t="s">
        <v>672</v>
      </c>
      <c r="BX103" s="430" t="s">
        <v>475</v>
      </c>
      <c r="BY103" s="1190"/>
      <c r="BZ103" s="1190"/>
      <c r="CA103" s="608" t="str">
        <f t="shared" si="73"/>
        <v>n/a</v>
      </c>
      <c r="CB103" s="428"/>
      <c r="CC103" s="428"/>
      <c r="CD103" s="609" t="str">
        <f t="shared" si="74"/>
        <v>n/a</v>
      </c>
      <c r="CE103" s="610" t="str">
        <f t="shared" si="75"/>
        <v>n/a</v>
      </c>
      <c r="CF103" s="609" t="str">
        <f t="shared" si="76"/>
        <v>n/a</v>
      </c>
      <c r="CG103" s="658" t="str">
        <f t="shared" si="77"/>
        <v>n/a</v>
      </c>
      <c r="CH103" s="328"/>
      <c r="CI103" s="330"/>
      <c r="CJ103" s="664">
        <f t="shared" si="78"/>
        <v>0</v>
      </c>
      <c r="CK103" s="328">
        <v>2</v>
      </c>
      <c r="CL103" s="611" t="s">
        <v>670</v>
      </c>
      <c r="CM103" s="428" t="s">
        <v>169</v>
      </c>
      <c r="CN103" s="428" t="s">
        <v>475</v>
      </c>
      <c r="CO103" s="428" t="s">
        <v>169</v>
      </c>
      <c r="CP103" s="570" t="s">
        <v>169</v>
      </c>
      <c r="CQ103" s="665"/>
      <c r="CS103" s="1069">
        <f t="shared" si="79"/>
        <v>0</v>
      </c>
      <c r="CT103" s="1069">
        <f t="shared" si="80"/>
        <v>0</v>
      </c>
      <c r="CU103" s="1066">
        <f t="shared" si="81"/>
        <v>0</v>
      </c>
      <c r="CV103" s="1066">
        <f t="shared" si="82"/>
        <v>0</v>
      </c>
      <c r="CW103" s="1082">
        <f t="shared" si="83"/>
        <v>2.42</v>
      </c>
      <c r="CX103" s="1082">
        <f t="shared" si="84"/>
        <v>3.8719999999999999</v>
      </c>
    </row>
    <row r="104" spans="1:102" s="322" customFormat="1" ht="21" customHeight="1">
      <c r="A104" s="358"/>
      <c r="B104" s="402" t="s">
        <v>415</v>
      </c>
      <c r="C104" s="603"/>
      <c r="D104" s="603"/>
      <c r="E104" s="1053">
        <v>196767</v>
      </c>
      <c r="F104" s="402" t="s">
        <v>715</v>
      </c>
      <c r="G104" s="556">
        <v>92.980999999999995</v>
      </c>
      <c r="H104" s="556">
        <v>21.006900000000002</v>
      </c>
      <c r="I104" s="560" t="s">
        <v>33</v>
      </c>
      <c r="J104" s="560" t="s">
        <v>45</v>
      </c>
      <c r="K104" s="604" t="s">
        <v>508</v>
      </c>
      <c r="L104" s="428">
        <v>0</v>
      </c>
      <c r="M104" s="428">
        <v>0</v>
      </c>
      <c r="N104" s="570">
        <v>776</v>
      </c>
      <c r="O104" s="328"/>
      <c r="P104" s="718" t="str">
        <f t="shared" si="43"/>
        <v>2. Medium</v>
      </c>
      <c r="Q104" s="965"/>
      <c r="R104" s="623"/>
      <c r="S104" s="620" t="s">
        <v>139</v>
      </c>
      <c r="T104" s="323" t="str">
        <f t="shared" si="44"/>
        <v>Not Covered</v>
      </c>
      <c r="U104" s="561"/>
      <c r="V104" s="562"/>
      <c r="W104" s="558" t="s">
        <v>152</v>
      </c>
      <c r="X104" s="328">
        <v>0</v>
      </c>
      <c r="Y104" s="428">
        <v>0</v>
      </c>
      <c r="Z104" s="570" t="s">
        <v>43</v>
      </c>
      <c r="AA104" s="328">
        <v>0</v>
      </c>
      <c r="AB104" s="428">
        <v>0</v>
      </c>
      <c r="AC104" s="428">
        <v>0</v>
      </c>
      <c r="AD104" s="428">
        <v>3</v>
      </c>
      <c r="AE104" s="570"/>
      <c r="AF104" s="329">
        <v>0</v>
      </c>
      <c r="AG104" s="330">
        <v>0</v>
      </c>
      <c r="AH104" s="630">
        <f t="shared" si="45"/>
        <v>0</v>
      </c>
      <c r="AI104" s="574">
        <f t="shared" si="46"/>
        <v>0</v>
      </c>
      <c r="AJ104" s="605">
        <f t="shared" si="47"/>
        <v>0</v>
      </c>
      <c r="AK104" s="574">
        <f t="shared" si="48"/>
        <v>0</v>
      </c>
      <c r="AL104" s="605">
        <f t="shared" si="49"/>
        <v>0</v>
      </c>
      <c r="AM104" s="574">
        <f t="shared" si="50"/>
        <v>0</v>
      </c>
      <c r="AN104" s="605" t="str">
        <f t="shared" si="51"/>
        <v>0-10%</v>
      </c>
      <c r="AO104" s="605">
        <f t="shared" si="52"/>
        <v>0</v>
      </c>
      <c r="AP104" s="574">
        <f t="shared" si="53"/>
        <v>0</v>
      </c>
      <c r="AQ104" s="574" t="str">
        <f t="shared" si="54"/>
        <v>yes</v>
      </c>
      <c r="AR104" s="574">
        <f t="shared" si="55"/>
        <v>3.1040000000000001</v>
      </c>
      <c r="AS104" s="574">
        <f t="shared" si="56"/>
        <v>0</v>
      </c>
      <c r="AT104" s="574">
        <f t="shared" si="57"/>
        <v>0</v>
      </c>
      <c r="AU104" s="589">
        <v>0</v>
      </c>
      <c r="AV104" s="635">
        <f t="shared" si="58"/>
        <v>0</v>
      </c>
      <c r="AW104" s="636"/>
      <c r="AX104" s="740">
        <v>0</v>
      </c>
      <c r="AY104" s="428">
        <v>10</v>
      </c>
      <c r="AZ104" s="428">
        <v>6</v>
      </c>
      <c r="BA104" s="473" t="s">
        <v>526</v>
      </c>
      <c r="BB104" s="548">
        <f t="shared" si="59"/>
        <v>7.7319587628865982E-2</v>
      </c>
      <c r="BC104" s="606">
        <f t="shared" si="60"/>
        <v>60</v>
      </c>
      <c r="BD104" s="548">
        <f t="shared" si="61"/>
        <v>7.7319587628865982E-2</v>
      </c>
      <c r="BE104" s="606">
        <f t="shared" si="62"/>
        <v>60</v>
      </c>
      <c r="BF104" s="549">
        <f t="shared" si="63"/>
        <v>0</v>
      </c>
      <c r="BG104" s="606">
        <f t="shared" si="64"/>
        <v>0</v>
      </c>
      <c r="BH104" s="578" t="s">
        <v>492</v>
      </c>
      <c r="BI104" s="429">
        <v>0.08</v>
      </c>
      <c r="BJ104" s="606">
        <f t="shared" si="85"/>
        <v>62.08</v>
      </c>
      <c r="BK104" s="606" t="str">
        <f t="shared" si="66"/>
        <v>n/a</v>
      </c>
      <c r="BL104" s="428" t="s">
        <v>475</v>
      </c>
      <c r="BM104" s="548" t="str">
        <f t="shared" si="67"/>
        <v>n/a</v>
      </c>
      <c r="BN104" s="606" t="str">
        <f t="shared" si="68"/>
        <v>n/a</v>
      </c>
      <c r="BO104" s="606" t="str">
        <f t="shared" si="69"/>
        <v>n/a</v>
      </c>
      <c r="BP104" s="578" t="s">
        <v>475</v>
      </c>
      <c r="BQ104" s="606" t="s">
        <v>475</v>
      </c>
      <c r="BR104" s="519" t="s">
        <v>475</v>
      </c>
      <c r="BS104" s="548" t="str">
        <f t="shared" si="70"/>
        <v>n/a</v>
      </c>
      <c r="BT104" s="607" t="str">
        <f t="shared" si="71"/>
        <v>n/a</v>
      </c>
      <c r="BU104" s="651" t="s">
        <v>475</v>
      </c>
      <c r="BV104" s="650" t="str">
        <f t="shared" si="72"/>
        <v>n/a</v>
      </c>
      <c r="BW104" s="325" t="s">
        <v>672</v>
      </c>
      <c r="BX104" s="430" t="s">
        <v>475</v>
      </c>
      <c r="BY104" s="1190"/>
      <c r="BZ104" s="1190"/>
      <c r="CA104" s="608" t="str">
        <f t="shared" si="73"/>
        <v>n/a</v>
      </c>
      <c r="CB104" s="428"/>
      <c r="CC104" s="428"/>
      <c r="CD104" s="609" t="str">
        <f t="shared" si="74"/>
        <v>n/a</v>
      </c>
      <c r="CE104" s="610" t="str">
        <f t="shared" si="75"/>
        <v>n/a</v>
      </c>
      <c r="CF104" s="609" t="str">
        <f t="shared" si="76"/>
        <v>n/a</v>
      </c>
      <c r="CG104" s="658" t="str">
        <f t="shared" si="77"/>
        <v>n/a</v>
      </c>
      <c r="CH104" s="328"/>
      <c r="CI104" s="330"/>
      <c r="CJ104" s="664">
        <f t="shared" si="78"/>
        <v>0</v>
      </c>
      <c r="CK104" s="328">
        <v>2</v>
      </c>
      <c r="CL104" s="611" t="s">
        <v>670</v>
      </c>
      <c r="CM104" s="428" t="s">
        <v>169</v>
      </c>
      <c r="CN104" s="428" t="s">
        <v>475</v>
      </c>
      <c r="CO104" s="428" t="s">
        <v>169</v>
      </c>
      <c r="CP104" s="570" t="s">
        <v>169</v>
      </c>
      <c r="CQ104" s="1130" t="s">
        <v>1172</v>
      </c>
      <c r="CS104" s="1069">
        <f t="shared" si="79"/>
        <v>0</v>
      </c>
      <c r="CT104" s="1069">
        <f t="shared" si="80"/>
        <v>0</v>
      </c>
      <c r="CU104" s="1066">
        <f t="shared" si="81"/>
        <v>0</v>
      </c>
      <c r="CV104" s="1066">
        <f t="shared" si="82"/>
        <v>0</v>
      </c>
      <c r="CW104" s="1082">
        <f t="shared" si="83"/>
        <v>1.94</v>
      </c>
      <c r="CX104" s="1082">
        <f t="shared" si="84"/>
        <v>3.1040000000000001</v>
      </c>
    </row>
    <row r="105" spans="1:102" s="322" customFormat="1" ht="21" customHeight="1">
      <c r="A105" s="358"/>
      <c r="B105" s="402" t="s">
        <v>415</v>
      </c>
      <c r="C105" s="603"/>
      <c r="D105" s="603"/>
      <c r="E105" s="1053">
        <v>196950</v>
      </c>
      <c r="F105" s="402" t="s">
        <v>523</v>
      </c>
      <c r="G105" s="556">
        <v>92.937299999999993</v>
      </c>
      <c r="H105" s="556">
        <v>20.720500000000001</v>
      </c>
      <c r="I105" s="560" t="s">
        <v>33</v>
      </c>
      <c r="J105" s="560" t="s">
        <v>525</v>
      </c>
      <c r="K105" s="603" t="s">
        <v>508</v>
      </c>
      <c r="L105" s="428">
        <v>0</v>
      </c>
      <c r="M105" s="428">
        <v>0</v>
      </c>
      <c r="N105" s="570">
        <v>442</v>
      </c>
      <c r="O105" s="328"/>
      <c r="P105" s="718" t="str">
        <f t="shared" si="43"/>
        <v>1. Small</v>
      </c>
      <c r="Q105" s="965"/>
      <c r="R105" s="623"/>
      <c r="S105" s="620" t="s">
        <v>139</v>
      </c>
      <c r="T105" s="323" t="str">
        <f t="shared" si="44"/>
        <v>Not Covered</v>
      </c>
      <c r="U105" s="561"/>
      <c r="V105" s="562"/>
      <c r="W105" s="558" t="s">
        <v>152</v>
      </c>
      <c r="X105" s="328">
        <v>0</v>
      </c>
      <c r="Y105" s="428">
        <v>0</v>
      </c>
      <c r="Z105" s="570" t="s">
        <v>43</v>
      </c>
      <c r="AA105" s="328">
        <v>0</v>
      </c>
      <c r="AB105" s="428">
        <v>0</v>
      </c>
      <c r="AC105" s="428">
        <v>0</v>
      </c>
      <c r="AD105" s="428">
        <v>4</v>
      </c>
      <c r="AE105" s="570"/>
      <c r="AF105" s="329">
        <v>0</v>
      </c>
      <c r="AG105" s="330">
        <v>0</v>
      </c>
      <c r="AH105" s="630">
        <f t="shared" si="45"/>
        <v>0</v>
      </c>
      <c r="AI105" s="574">
        <f t="shared" si="46"/>
        <v>0</v>
      </c>
      <c r="AJ105" s="605">
        <f t="shared" si="47"/>
        <v>0</v>
      </c>
      <c r="AK105" s="574">
        <f t="shared" si="48"/>
        <v>0</v>
      </c>
      <c r="AL105" s="605">
        <f t="shared" si="49"/>
        <v>0</v>
      </c>
      <c r="AM105" s="574">
        <f t="shared" si="50"/>
        <v>0</v>
      </c>
      <c r="AN105" s="605" t="str">
        <f t="shared" si="51"/>
        <v>0-10%</v>
      </c>
      <c r="AO105" s="605">
        <f t="shared" si="52"/>
        <v>0</v>
      </c>
      <c r="AP105" s="574">
        <f t="shared" si="53"/>
        <v>0</v>
      </c>
      <c r="AQ105" s="574" t="str">
        <f t="shared" si="54"/>
        <v>yes</v>
      </c>
      <c r="AR105" s="574">
        <f t="shared" si="55"/>
        <v>1.768</v>
      </c>
      <c r="AS105" s="574">
        <f t="shared" si="56"/>
        <v>0</v>
      </c>
      <c r="AT105" s="574">
        <f t="shared" si="57"/>
        <v>0</v>
      </c>
      <c r="AU105" s="589">
        <v>0</v>
      </c>
      <c r="AV105" s="635">
        <f t="shared" si="58"/>
        <v>0</v>
      </c>
      <c r="AW105" s="636"/>
      <c r="AX105" s="740">
        <v>0</v>
      </c>
      <c r="AY105" s="428">
        <v>2</v>
      </c>
      <c r="AZ105" s="428">
        <v>6</v>
      </c>
      <c r="BA105" s="473" t="s">
        <v>526</v>
      </c>
      <c r="BB105" s="548">
        <f t="shared" si="59"/>
        <v>2.7149321266968326E-2</v>
      </c>
      <c r="BC105" s="606">
        <f t="shared" si="60"/>
        <v>12</v>
      </c>
      <c r="BD105" s="548">
        <f t="shared" si="61"/>
        <v>2.7149321266968326E-2</v>
      </c>
      <c r="BE105" s="606">
        <f t="shared" si="62"/>
        <v>12</v>
      </c>
      <c r="BF105" s="549">
        <f t="shared" si="63"/>
        <v>0</v>
      </c>
      <c r="BG105" s="606">
        <f t="shared" si="64"/>
        <v>0</v>
      </c>
      <c r="BH105" s="578" t="s">
        <v>492</v>
      </c>
      <c r="BI105" s="429">
        <v>0.03</v>
      </c>
      <c r="BJ105" s="606">
        <f t="shared" si="85"/>
        <v>13.26</v>
      </c>
      <c r="BK105" s="606" t="str">
        <f t="shared" si="66"/>
        <v>n/a</v>
      </c>
      <c r="BL105" s="428" t="s">
        <v>475</v>
      </c>
      <c r="BM105" s="548" t="str">
        <f t="shared" si="67"/>
        <v>n/a</v>
      </c>
      <c r="BN105" s="606" t="str">
        <f t="shared" si="68"/>
        <v>n/a</v>
      </c>
      <c r="BO105" s="606" t="str">
        <f t="shared" si="69"/>
        <v>n/a</v>
      </c>
      <c r="BP105" s="578" t="s">
        <v>475</v>
      </c>
      <c r="BQ105" s="606" t="s">
        <v>475</v>
      </c>
      <c r="BR105" s="519" t="s">
        <v>475</v>
      </c>
      <c r="BS105" s="548" t="str">
        <f t="shared" si="70"/>
        <v>n/a</v>
      </c>
      <c r="BT105" s="607" t="str">
        <f t="shared" si="71"/>
        <v>n/a</v>
      </c>
      <c r="BU105" s="651" t="s">
        <v>475</v>
      </c>
      <c r="BV105" s="650" t="str">
        <f t="shared" si="72"/>
        <v>n/a</v>
      </c>
      <c r="BW105" s="325" t="s">
        <v>672</v>
      </c>
      <c r="BX105" s="430" t="s">
        <v>475</v>
      </c>
      <c r="BY105" s="1190"/>
      <c r="BZ105" s="1190"/>
      <c r="CA105" s="608" t="str">
        <f t="shared" si="73"/>
        <v>n/a</v>
      </c>
      <c r="CB105" s="428"/>
      <c r="CC105" s="428"/>
      <c r="CD105" s="609" t="str">
        <f t="shared" si="74"/>
        <v>n/a</v>
      </c>
      <c r="CE105" s="610" t="str">
        <f t="shared" si="75"/>
        <v>n/a</v>
      </c>
      <c r="CF105" s="609" t="str">
        <f t="shared" si="76"/>
        <v>n/a</v>
      </c>
      <c r="CG105" s="658" t="str">
        <f t="shared" si="77"/>
        <v>n/a</v>
      </c>
      <c r="CH105" s="328"/>
      <c r="CI105" s="330"/>
      <c r="CJ105" s="664">
        <f t="shared" si="78"/>
        <v>0</v>
      </c>
      <c r="CK105" s="328">
        <v>2</v>
      </c>
      <c r="CL105" s="611" t="s">
        <v>670</v>
      </c>
      <c r="CM105" s="428" t="s">
        <v>169</v>
      </c>
      <c r="CN105" s="428" t="s">
        <v>475</v>
      </c>
      <c r="CO105" s="428" t="s">
        <v>169</v>
      </c>
      <c r="CP105" s="570" t="s">
        <v>169</v>
      </c>
      <c r="CQ105" s="1130" t="s">
        <v>1172</v>
      </c>
      <c r="CS105" s="1069">
        <f t="shared" si="79"/>
        <v>0</v>
      </c>
      <c r="CT105" s="1069">
        <f t="shared" si="80"/>
        <v>0</v>
      </c>
      <c r="CU105" s="1066">
        <f t="shared" si="81"/>
        <v>0</v>
      </c>
      <c r="CV105" s="1066">
        <f t="shared" si="82"/>
        <v>0</v>
      </c>
      <c r="CW105" s="1082">
        <f t="shared" si="83"/>
        <v>1.105</v>
      </c>
      <c r="CX105" s="1082">
        <f t="shared" si="84"/>
        <v>1.768</v>
      </c>
    </row>
    <row r="106" spans="1:102" s="322" customFormat="1" ht="21" customHeight="1">
      <c r="A106" s="358"/>
      <c r="B106" s="402" t="s">
        <v>415</v>
      </c>
      <c r="C106" s="603"/>
      <c r="D106" s="603"/>
      <c r="E106" s="1052" t="s">
        <v>226</v>
      </c>
      <c r="F106" s="402" t="s">
        <v>74</v>
      </c>
      <c r="G106" s="556">
        <v>93.857592999999994</v>
      </c>
      <c r="H106" s="556">
        <v>19.088283000000001</v>
      </c>
      <c r="I106" s="560" t="s">
        <v>33</v>
      </c>
      <c r="J106" s="560" t="s">
        <v>45</v>
      </c>
      <c r="K106" s="604" t="s">
        <v>508</v>
      </c>
      <c r="L106" s="428">
        <v>0</v>
      </c>
      <c r="M106" s="428">
        <v>0</v>
      </c>
      <c r="N106" s="1119">
        <v>1</v>
      </c>
      <c r="O106" s="328"/>
      <c r="P106" s="718" t="str">
        <f t="shared" si="43"/>
        <v>1. Small</v>
      </c>
      <c r="Q106" s="965"/>
      <c r="R106" s="623"/>
      <c r="S106" s="620" t="s">
        <v>139</v>
      </c>
      <c r="T106" s="323" t="str">
        <f t="shared" si="44"/>
        <v>Not Covered</v>
      </c>
      <c r="U106" s="561"/>
      <c r="V106" s="562"/>
      <c r="W106" s="558" t="s">
        <v>152</v>
      </c>
      <c r="X106" s="328">
        <v>0</v>
      </c>
      <c r="Y106" s="428">
        <v>0</v>
      </c>
      <c r="Z106" s="570" t="s">
        <v>43</v>
      </c>
      <c r="AA106" s="328">
        <v>0</v>
      </c>
      <c r="AB106" s="428">
        <v>0</v>
      </c>
      <c r="AC106" s="428">
        <v>0</v>
      </c>
      <c r="AD106" s="428">
        <v>1</v>
      </c>
      <c r="AE106" s="570"/>
      <c r="AF106" s="329">
        <v>0</v>
      </c>
      <c r="AG106" s="330">
        <v>0</v>
      </c>
      <c r="AH106" s="630">
        <f t="shared" si="45"/>
        <v>0</v>
      </c>
      <c r="AI106" s="574">
        <f t="shared" si="46"/>
        <v>0</v>
      </c>
      <c r="AJ106" s="605">
        <f t="shared" si="47"/>
        <v>0</v>
      </c>
      <c r="AK106" s="574">
        <f t="shared" si="48"/>
        <v>0</v>
      </c>
      <c r="AL106" s="605">
        <f t="shared" si="49"/>
        <v>0</v>
      </c>
      <c r="AM106" s="574">
        <f t="shared" si="50"/>
        <v>0</v>
      </c>
      <c r="AN106" s="605" t="str">
        <f t="shared" si="51"/>
        <v>0-10%</v>
      </c>
      <c r="AO106" s="605">
        <f t="shared" si="52"/>
        <v>0</v>
      </c>
      <c r="AP106" s="574">
        <f t="shared" si="53"/>
        <v>0</v>
      </c>
      <c r="AQ106" s="574" t="str">
        <f t="shared" si="54"/>
        <v>yes</v>
      </c>
      <c r="AR106" s="574">
        <f t="shared" si="55"/>
        <v>4.0000000000000001E-3</v>
      </c>
      <c r="AS106" s="574">
        <f t="shared" si="56"/>
        <v>0</v>
      </c>
      <c r="AT106" s="574">
        <f t="shared" si="57"/>
        <v>0</v>
      </c>
      <c r="AU106" s="589">
        <v>0</v>
      </c>
      <c r="AV106" s="635">
        <f t="shared" si="58"/>
        <v>0</v>
      </c>
      <c r="AW106" s="636"/>
      <c r="AX106" s="740">
        <v>0</v>
      </c>
      <c r="AY106" s="428">
        <v>0</v>
      </c>
      <c r="AZ106" s="428">
        <v>6</v>
      </c>
      <c r="BA106" s="473" t="s">
        <v>526</v>
      </c>
      <c r="BB106" s="548">
        <f t="shared" si="59"/>
        <v>0</v>
      </c>
      <c r="BC106" s="606">
        <f t="shared" si="60"/>
        <v>0</v>
      </c>
      <c r="BD106" s="548">
        <f t="shared" si="61"/>
        <v>0</v>
      </c>
      <c r="BE106" s="606">
        <f t="shared" si="62"/>
        <v>0</v>
      </c>
      <c r="BF106" s="549">
        <f t="shared" si="63"/>
        <v>0</v>
      </c>
      <c r="BG106" s="606">
        <f t="shared" si="64"/>
        <v>0</v>
      </c>
      <c r="BH106" s="578" t="s">
        <v>475</v>
      </c>
      <c r="BI106" s="429">
        <v>0</v>
      </c>
      <c r="BJ106" s="606">
        <f t="shared" si="85"/>
        <v>0</v>
      </c>
      <c r="BK106" s="606" t="str">
        <f t="shared" si="66"/>
        <v>n/a</v>
      </c>
      <c r="BL106" s="428" t="s">
        <v>475</v>
      </c>
      <c r="BM106" s="548" t="str">
        <f t="shared" si="67"/>
        <v>n/a</v>
      </c>
      <c r="BN106" s="606" t="str">
        <f t="shared" si="68"/>
        <v>n/a</v>
      </c>
      <c r="BO106" s="606" t="str">
        <f t="shared" si="69"/>
        <v>n/a</v>
      </c>
      <c r="BP106" s="578" t="s">
        <v>475</v>
      </c>
      <c r="BQ106" s="606" t="s">
        <v>475</v>
      </c>
      <c r="BR106" s="519" t="s">
        <v>475</v>
      </c>
      <c r="BS106" s="548" t="str">
        <f t="shared" si="70"/>
        <v>n/a</v>
      </c>
      <c r="BT106" s="607" t="str">
        <f t="shared" si="71"/>
        <v>n/a</v>
      </c>
      <c r="BU106" s="651" t="s">
        <v>475</v>
      </c>
      <c r="BV106" s="650" t="str">
        <f t="shared" si="72"/>
        <v>n/a</v>
      </c>
      <c r="BW106" s="325"/>
      <c r="BX106" s="430" t="s">
        <v>475</v>
      </c>
      <c r="BY106" s="1190"/>
      <c r="BZ106" s="1190"/>
      <c r="CA106" s="608" t="str">
        <f t="shared" si="73"/>
        <v>n/a</v>
      </c>
      <c r="CB106" s="428"/>
      <c r="CC106" s="428"/>
      <c r="CD106" s="609" t="str">
        <f t="shared" si="74"/>
        <v>n/a</v>
      </c>
      <c r="CE106" s="610" t="str">
        <f t="shared" si="75"/>
        <v>n/a</v>
      </c>
      <c r="CF106" s="609" t="str">
        <f t="shared" si="76"/>
        <v>n/a</v>
      </c>
      <c r="CG106" s="658" t="str">
        <f t="shared" si="77"/>
        <v>n/a</v>
      </c>
      <c r="CH106" s="328"/>
      <c r="CI106" s="330"/>
      <c r="CJ106" s="664">
        <f t="shared" si="78"/>
        <v>0</v>
      </c>
      <c r="CK106" s="328">
        <v>2</v>
      </c>
      <c r="CL106" s="611" t="s">
        <v>670</v>
      </c>
      <c r="CM106" s="428" t="s">
        <v>169</v>
      </c>
      <c r="CN106" s="675" t="s">
        <v>475</v>
      </c>
      <c r="CO106" s="428" t="s">
        <v>169</v>
      </c>
      <c r="CP106" s="570" t="s">
        <v>169</v>
      </c>
      <c r="CQ106" s="1130" t="s">
        <v>1172</v>
      </c>
      <c r="CS106" s="1069">
        <f t="shared" si="79"/>
        <v>0</v>
      </c>
      <c r="CT106" s="1069">
        <f t="shared" si="80"/>
        <v>0</v>
      </c>
      <c r="CU106" s="1066">
        <f t="shared" si="81"/>
        <v>0</v>
      </c>
      <c r="CV106" s="1066">
        <f t="shared" si="82"/>
        <v>0</v>
      </c>
      <c r="CW106" s="1082">
        <f t="shared" si="83"/>
        <v>2.5000000000000001E-3</v>
      </c>
      <c r="CX106" s="1082">
        <f t="shared" si="84"/>
        <v>4.0000000000000001E-3</v>
      </c>
    </row>
    <row r="107" spans="1:102" s="322" customFormat="1" ht="21" customHeight="1">
      <c r="A107" s="358"/>
      <c r="B107" s="402" t="s">
        <v>415</v>
      </c>
      <c r="C107" s="603"/>
      <c r="D107" s="603"/>
      <c r="E107" s="1052" t="s">
        <v>218</v>
      </c>
      <c r="F107" s="402" t="s">
        <v>62</v>
      </c>
      <c r="G107" s="556">
        <v>92.969350000000006</v>
      </c>
      <c r="H107" s="556">
        <v>20.727589999999999</v>
      </c>
      <c r="I107" s="560" t="s">
        <v>33</v>
      </c>
      <c r="J107" s="560" t="s">
        <v>34</v>
      </c>
      <c r="K107" s="603" t="s">
        <v>642</v>
      </c>
      <c r="L107" s="428">
        <v>112</v>
      </c>
      <c r="M107" s="428">
        <v>735</v>
      </c>
      <c r="N107" s="570">
        <v>735</v>
      </c>
      <c r="O107" s="328"/>
      <c r="P107" s="718" t="str">
        <f t="shared" si="43"/>
        <v>2. Medium</v>
      </c>
      <c r="Q107" s="965" t="s">
        <v>452</v>
      </c>
      <c r="R107" s="623" t="s">
        <v>301</v>
      </c>
      <c r="S107" s="620" t="s">
        <v>71</v>
      </c>
      <c r="T107" s="323" t="str">
        <f t="shared" si="44"/>
        <v>Covered</v>
      </c>
      <c r="U107" s="561">
        <v>42428</v>
      </c>
      <c r="V107" s="562"/>
      <c r="W107" s="558" t="s">
        <v>152</v>
      </c>
      <c r="X107" s="328">
        <v>0</v>
      </c>
      <c r="Y107" s="428">
        <v>0</v>
      </c>
      <c r="Z107" s="570" t="s">
        <v>43</v>
      </c>
      <c r="AA107" s="328">
        <v>0</v>
      </c>
      <c r="AB107" s="428">
        <v>0</v>
      </c>
      <c r="AC107" s="428">
        <v>0</v>
      </c>
      <c r="AD107" s="428">
        <v>2</v>
      </c>
      <c r="AE107" s="570"/>
      <c r="AF107" s="329">
        <v>0</v>
      </c>
      <c r="AG107" s="330">
        <v>0</v>
      </c>
      <c r="AH107" s="630">
        <f t="shared" si="45"/>
        <v>0</v>
      </c>
      <c r="AI107" s="574">
        <f t="shared" si="46"/>
        <v>0</v>
      </c>
      <c r="AJ107" s="605">
        <f t="shared" si="47"/>
        <v>0</v>
      </c>
      <c r="AK107" s="574">
        <f t="shared" si="48"/>
        <v>0</v>
      </c>
      <c r="AL107" s="605">
        <f t="shared" si="49"/>
        <v>0</v>
      </c>
      <c r="AM107" s="574">
        <f t="shared" si="50"/>
        <v>0</v>
      </c>
      <c r="AN107" s="605" t="str">
        <f t="shared" si="51"/>
        <v>0-10%</v>
      </c>
      <c r="AO107" s="605">
        <f t="shared" si="52"/>
        <v>0</v>
      </c>
      <c r="AP107" s="574">
        <f t="shared" si="53"/>
        <v>0</v>
      </c>
      <c r="AQ107" s="574" t="str">
        <f t="shared" si="54"/>
        <v>yes</v>
      </c>
      <c r="AR107" s="574">
        <f t="shared" si="55"/>
        <v>2.94</v>
      </c>
      <c r="AS107" s="574">
        <f t="shared" si="56"/>
        <v>0</v>
      </c>
      <c r="AT107" s="574">
        <f t="shared" si="57"/>
        <v>0</v>
      </c>
      <c r="AU107" s="589">
        <v>0</v>
      </c>
      <c r="AV107" s="635">
        <f t="shared" si="58"/>
        <v>0</v>
      </c>
      <c r="AW107" s="636"/>
      <c r="AX107" s="740">
        <v>0</v>
      </c>
      <c r="AY107" s="428">
        <v>40</v>
      </c>
      <c r="AZ107" s="428">
        <v>6</v>
      </c>
      <c r="BA107" s="473" t="s">
        <v>526</v>
      </c>
      <c r="BB107" s="548">
        <f t="shared" si="59"/>
        <v>0.32653061224489793</v>
      </c>
      <c r="BC107" s="606">
        <f t="shared" si="60"/>
        <v>239.99999999999997</v>
      </c>
      <c r="BD107" s="548">
        <f t="shared" si="61"/>
        <v>0.32653061224489793</v>
      </c>
      <c r="BE107" s="606">
        <f t="shared" si="62"/>
        <v>239.99999999999997</v>
      </c>
      <c r="BF107" s="549">
        <f t="shared" si="63"/>
        <v>0</v>
      </c>
      <c r="BG107" s="606">
        <f t="shared" si="64"/>
        <v>0</v>
      </c>
      <c r="BH107" s="578" t="s">
        <v>475</v>
      </c>
      <c r="BI107" s="429">
        <v>0.8</v>
      </c>
      <c r="BJ107" s="606">
        <f t="shared" si="85"/>
        <v>588</v>
      </c>
      <c r="BK107" s="606" t="str">
        <f t="shared" si="66"/>
        <v>n/a</v>
      </c>
      <c r="BL107" s="428" t="s">
        <v>475</v>
      </c>
      <c r="BM107" s="548" t="str">
        <f t="shared" si="67"/>
        <v>n/a</v>
      </c>
      <c r="BN107" s="606" t="str">
        <f t="shared" si="68"/>
        <v>n/a</v>
      </c>
      <c r="BO107" s="606" t="str">
        <f t="shared" si="69"/>
        <v>n/a</v>
      </c>
      <c r="BP107" s="578" t="s">
        <v>475</v>
      </c>
      <c r="BQ107" s="606" t="s">
        <v>475</v>
      </c>
      <c r="BR107" s="519" t="s">
        <v>475</v>
      </c>
      <c r="BS107" s="548" t="str">
        <f t="shared" si="70"/>
        <v>n/a</v>
      </c>
      <c r="BT107" s="607" t="str">
        <f t="shared" si="71"/>
        <v>n/a</v>
      </c>
      <c r="BU107" s="651" t="s">
        <v>475</v>
      </c>
      <c r="BV107" s="650" t="str">
        <f t="shared" si="72"/>
        <v>n/a</v>
      </c>
      <c r="BW107" s="325" t="s">
        <v>672</v>
      </c>
      <c r="BX107" s="430">
        <v>41778</v>
      </c>
      <c r="BY107" s="1190"/>
      <c r="BZ107" s="1190"/>
      <c r="CA107" s="608" t="str">
        <f t="shared" si="73"/>
        <v>n/a</v>
      </c>
      <c r="CB107" s="428">
        <v>108</v>
      </c>
      <c r="CC107" s="428">
        <v>3</v>
      </c>
      <c r="CD107" s="609" t="str">
        <f t="shared" si="74"/>
        <v>n/a</v>
      </c>
      <c r="CE107" s="610" t="str">
        <f t="shared" si="75"/>
        <v>n/a</v>
      </c>
      <c r="CF107" s="609" t="str">
        <f t="shared" si="76"/>
        <v>n/a</v>
      </c>
      <c r="CG107" s="658" t="str">
        <f t="shared" si="77"/>
        <v>n/a</v>
      </c>
      <c r="CH107" s="328" t="s">
        <v>448</v>
      </c>
      <c r="CI107" s="330">
        <v>0</v>
      </c>
      <c r="CJ107" s="664">
        <f t="shared" si="78"/>
        <v>0</v>
      </c>
      <c r="CK107" s="328">
        <v>2</v>
      </c>
      <c r="CL107" s="611" t="s">
        <v>670</v>
      </c>
      <c r="CM107" s="428" t="s">
        <v>169</v>
      </c>
      <c r="CN107" s="675" t="s">
        <v>475</v>
      </c>
      <c r="CO107" s="428" t="s">
        <v>169</v>
      </c>
      <c r="CP107" s="570" t="s">
        <v>169</v>
      </c>
      <c r="CQ107" s="665"/>
      <c r="CS107" s="1069">
        <f t="shared" si="79"/>
        <v>0</v>
      </c>
      <c r="CT107" s="1069">
        <f t="shared" si="80"/>
        <v>0</v>
      </c>
      <c r="CU107" s="1066">
        <f t="shared" si="81"/>
        <v>0</v>
      </c>
      <c r="CV107" s="1066">
        <f t="shared" si="82"/>
        <v>0</v>
      </c>
      <c r="CW107" s="1082">
        <f t="shared" si="83"/>
        <v>1.8374999999999999</v>
      </c>
      <c r="CX107" s="1082">
        <f t="shared" si="84"/>
        <v>2.94</v>
      </c>
    </row>
    <row r="108" spans="1:102" s="322" customFormat="1" ht="21" customHeight="1">
      <c r="A108" s="358"/>
      <c r="B108" s="402" t="s">
        <v>415</v>
      </c>
      <c r="C108" s="603"/>
      <c r="D108" s="603"/>
      <c r="E108" s="1053">
        <v>196951</v>
      </c>
      <c r="F108" s="402" t="s">
        <v>420</v>
      </c>
      <c r="G108" s="556">
        <v>92.974299999999999</v>
      </c>
      <c r="H108" s="556">
        <v>20.723600000000001</v>
      </c>
      <c r="I108" s="560" t="s">
        <v>33</v>
      </c>
      <c r="J108" s="560" t="s">
        <v>45</v>
      </c>
      <c r="K108" s="604" t="s">
        <v>508</v>
      </c>
      <c r="L108" s="428">
        <v>0</v>
      </c>
      <c r="M108" s="428">
        <v>0</v>
      </c>
      <c r="N108" s="570">
        <v>695</v>
      </c>
      <c r="O108" s="328"/>
      <c r="P108" s="718" t="str">
        <f t="shared" si="43"/>
        <v>2. Medium</v>
      </c>
      <c r="Q108" s="965" t="s">
        <v>452</v>
      </c>
      <c r="R108" s="623"/>
      <c r="S108" s="620" t="s">
        <v>71</v>
      </c>
      <c r="T108" s="323" t="str">
        <f t="shared" si="44"/>
        <v>Covered</v>
      </c>
      <c r="U108" s="561">
        <v>42428</v>
      </c>
      <c r="V108" s="562"/>
      <c r="W108" s="558" t="s">
        <v>152</v>
      </c>
      <c r="X108" s="328">
        <v>0</v>
      </c>
      <c r="Y108" s="428">
        <v>0</v>
      </c>
      <c r="Z108" s="570" t="s">
        <v>43</v>
      </c>
      <c r="AA108" s="328">
        <v>0</v>
      </c>
      <c r="AB108" s="428">
        <v>0</v>
      </c>
      <c r="AC108" s="428">
        <v>0</v>
      </c>
      <c r="AD108" s="428">
        <v>1</v>
      </c>
      <c r="AE108" s="570"/>
      <c r="AF108" s="329">
        <v>0</v>
      </c>
      <c r="AG108" s="330">
        <v>0</v>
      </c>
      <c r="AH108" s="630">
        <f t="shared" si="45"/>
        <v>0</v>
      </c>
      <c r="AI108" s="574">
        <f t="shared" si="46"/>
        <v>0</v>
      </c>
      <c r="AJ108" s="605">
        <f t="shared" si="47"/>
        <v>0</v>
      </c>
      <c r="AK108" s="574">
        <f t="shared" si="48"/>
        <v>0</v>
      </c>
      <c r="AL108" s="605">
        <f t="shared" si="49"/>
        <v>0</v>
      </c>
      <c r="AM108" s="574">
        <f t="shared" si="50"/>
        <v>0</v>
      </c>
      <c r="AN108" s="605" t="str">
        <f t="shared" si="51"/>
        <v>0-10%</v>
      </c>
      <c r="AO108" s="605">
        <f t="shared" si="52"/>
        <v>0</v>
      </c>
      <c r="AP108" s="574">
        <f t="shared" si="53"/>
        <v>0</v>
      </c>
      <c r="AQ108" s="574" t="str">
        <f t="shared" si="54"/>
        <v>yes</v>
      </c>
      <c r="AR108" s="574">
        <f t="shared" si="55"/>
        <v>2.78</v>
      </c>
      <c r="AS108" s="574">
        <f t="shared" si="56"/>
        <v>0</v>
      </c>
      <c r="AT108" s="574">
        <f t="shared" si="57"/>
        <v>0</v>
      </c>
      <c r="AU108" s="589">
        <v>0</v>
      </c>
      <c r="AV108" s="635">
        <f t="shared" si="58"/>
        <v>0</v>
      </c>
      <c r="AW108" s="636"/>
      <c r="AX108" s="740">
        <v>0</v>
      </c>
      <c r="AY108" s="428">
        <v>10</v>
      </c>
      <c r="AZ108" s="428">
        <v>6</v>
      </c>
      <c r="BA108" s="473" t="s">
        <v>526</v>
      </c>
      <c r="BB108" s="548">
        <f t="shared" si="59"/>
        <v>8.6330935251798566E-2</v>
      </c>
      <c r="BC108" s="606">
        <f t="shared" si="60"/>
        <v>60</v>
      </c>
      <c r="BD108" s="548">
        <f t="shared" si="61"/>
        <v>8.6330935251798566E-2</v>
      </c>
      <c r="BE108" s="606">
        <f t="shared" si="62"/>
        <v>60</v>
      </c>
      <c r="BF108" s="549">
        <f t="shared" si="63"/>
        <v>0</v>
      </c>
      <c r="BG108" s="606">
        <f t="shared" si="64"/>
        <v>0</v>
      </c>
      <c r="BH108" s="578" t="s">
        <v>492</v>
      </c>
      <c r="BI108" s="429">
        <v>0.09</v>
      </c>
      <c r="BJ108" s="606">
        <f t="shared" si="85"/>
        <v>62.55</v>
      </c>
      <c r="BK108" s="606" t="str">
        <f t="shared" si="66"/>
        <v>n/a</v>
      </c>
      <c r="BL108" s="428" t="s">
        <v>475</v>
      </c>
      <c r="BM108" s="548" t="str">
        <f t="shared" si="67"/>
        <v>n/a</v>
      </c>
      <c r="BN108" s="606" t="str">
        <f t="shared" si="68"/>
        <v>n/a</v>
      </c>
      <c r="BO108" s="606" t="str">
        <f t="shared" si="69"/>
        <v>n/a</v>
      </c>
      <c r="BP108" s="578" t="s">
        <v>475</v>
      </c>
      <c r="BQ108" s="606" t="s">
        <v>475</v>
      </c>
      <c r="BR108" s="519" t="s">
        <v>475</v>
      </c>
      <c r="BS108" s="548" t="str">
        <f t="shared" si="70"/>
        <v>n/a</v>
      </c>
      <c r="BT108" s="607" t="str">
        <f t="shared" si="71"/>
        <v>n/a</v>
      </c>
      <c r="BU108" s="651" t="s">
        <v>475</v>
      </c>
      <c r="BV108" s="650" t="str">
        <f t="shared" si="72"/>
        <v>n/a</v>
      </c>
      <c r="BW108" s="325"/>
      <c r="BX108" s="430" t="s">
        <v>475</v>
      </c>
      <c r="BY108" s="1190"/>
      <c r="BZ108" s="1190"/>
      <c r="CA108" s="608" t="str">
        <f t="shared" si="73"/>
        <v>n/a</v>
      </c>
      <c r="CB108" s="428"/>
      <c r="CC108" s="428"/>
      <c r="CD108" s="609" t="str">
        <f t="shared" si="74"/>
        <v>n/a</v>
      </c>
      <c r="CE108" s="610" t="str">
        <f t="shared" si="75"/>
        <v>n/a</v>
      </c>
      <c r="CF108" s="609" t="str">
        <f t="shared" si="76"/>
        <v>n/a</v>
      </c>
      <c r="CG108" s="658" t="str">
        <f t="shared" si="77"/>
        <v>n/a</v>
      </c>
      <c r="CH108" s="328"/>
      <c r="CI108" s="330"/>
      <c r="CJ108" s="664">
        <f t="shared" si="78"/>
        <v>0</v>
      </c>
      <c r="CK108" s="328"/>
      <c r="CL108" s="611" t="s">
        <v>606</v>
      </c>
      <c r="CM108" s="428" t="s">
        <v>169</v>
      </c>
      <c r="CN108" s="675" t="s">
        <v>475</v>
      </c>
      <c r="CO108" s="428" t="s">
        <v>169</v>
      </c>
      <c r="CP108" s="570" t="s">
        <v>169</v>
      </c>
      <c r="CQ108" s="665"/>
      <c r="CS108" s="1069">
        <f t="shared" si="79"/>
        <v>0</v>
      </c>
      <c r="CT108" s="1069">
        <f t="shared" si="80"/>
        <v>0</v>
      </c>
      <c r="CU108" s="1066">
        <f t="shared" si="81"/>
        <v>0</v>
      </c>
      <c r="CV108" s="1066">
        <f t="shared" si="82"/>
        <v>0</v>
      </c>
      <c r="CW108" s="1082">
        <f t="shared" si="83"/>
        <v>1.7375</v>
      </c>
      <c r="CX108" s="1082">
        <f t="shared" si="84"/>
        <v>2.78</v>
      </c>
    </row>
    <row r="109" spans="1:102" s="322" customFormat="1" ht="21" customHeight="1">
      <c r="A109" s="358"/>
      <c r="B109" s="715" t="s">
        <v>749</v>
      </c>
      <c r="C109" s="1075" t="s">
        <v>1051</v>
      </c>
      <c r="D109" s="1075" t="s">
        <v>1052</v>
      </c>
      <c r="E109" s="1058" t="s">
        <v>1053</v>
      </c>
      <c r="F109" s="1086" t="s">
        <v>875</v>
      </c>
      <c r="G109" s="1051"/>
      <c r="H109" s="1051"/>
      <c r="I109" s="560" t="s">
        <v>33</v>
      </c>
      <c r="J109" s="560" t="s">
        <v>34</v>
      </c>
      <c r="K109" s="604" t="s">
        <v>607</v>
      </c>
      <c r="L109" s="585">
        <v>0</v>
      </c>
      <c r="M109" s="473">
        <v>0</v>
      </c>
      <c r="N109" s="570">
        <v>750</v>
      </c>
      <c r="O109" s="328"/>
      <c r="P109" s="718" t="str">
        <f t="shared" si="43"/>
        <v>2. Medium</v>
      </c>
      <c r="Q109" s="965" t="s">
        <v>926</v>
      </c>
      <c r="R109" s="1138"/>
      <c r="S109" s="622" t="s">
        <v>811</v>
      </c>
      <c r="T109" s="323" t="str">
        <f t="shared" si="44"/>
        <v>Covered</v>
      </c>
      <c r="U109" s="561">
        <v>42376</v>
      </c>
      <c r="V109" s="1143"/>
      <c r="W109" s="558" t="s">
        <v>152</v>
      </c>
      <c r="X109" s="627">
        <v>0</v>
      </c>
      <c r="Y109" s="473">
        <v>0</v>
      </c>
      <c r="Z109" s="617" t="s">
        <v>43</v>
      </c>
      <c r="AA109" s="627">
        <v>4</v>
      </c>
      <c r="AB109" s="473">
        <v>19</v>
      </c>
      <c r="AC109" s="473">
        <v>0</v>
      </c>
      <c r="AD109" s="473">
        <v>2</v>
      </c>
      <c r="AE109" s="617"/>
      <c r="AF109" s="599">
        <v>0</v>
      </c>
      <c r="AG109" s="325">
        <v>0</v>
      </c>
      <c r="AH109" s="630">
        <f t="shared" si="45"/>
        <v>1</v>
      </c>
      <c r="AI109" s="574">
        <f t="shared" si="46"/>
        <v>750</v>
      </c>
      <c r="AJ109" s="605">
        <f t="shared" si="47"/>
        <v>1</v>
      </c>
      <c r="AK109" s="574">
        <f t="shared" si="48"/>
        <v>750</v>
      </c>
      <c r="AL109" s="605">
        <f t="shared" si="49"/>
        <v>1</v>
      </c>
      <c r="AM109" s="574">
        <f t="shared" si="50"/>
        <v>750</v>
      </c>
      <c r="AN109" s="605" t="str">
        <f t="shared" si="51"/>
        <v>80-100%</v>
      </c>
      <c r="AO109" s="605">
        <f t="shared" si="52"/>
        <v>0</v>
      </c>
      <c r="AP109" s="574">
        <f t="shared" si="53"/>
        <v>0</v>
      </c>
      <c r="AQ109" s="574" t="str">
        <f t="shared" si="54"/>
        <v>yes</v>
      </c>
      <c r="AR109" s="574">
        <f t="shared" si="55"/>
        <v>0</v>
      </c>
      <c r="AS109" s="574">
        <f t="shared" si="56"/>
        <v>0</v>
      </c>
      <c r="AT109" s="574">
        <f t="shared" si="57"/>
        <v>0</v>
      </c>
      <c r="AU109" s="330">
        <v>1</v>
      </c>
      <c r="AV109" s="635">
        <f t="shared" si="58"/>
        <v>750</v>
      </c>
      <c r="AW109" s="1155" t="s">
        <v>884</v>
      </c>
      <c r="AX109" s="740">
        <v>0</v>
      </c>
      <c r="AY109" s="428"/>
      <c r="AZ109" s="428">
        <v>42</v>
      </c>
      <c r="BA109" s="473"/>
      <c r="BB109" s="548">
        <f t="shared" si="59"/>
        <v>0</v>
      </c>
      <c r="BC109" s="606">
        <f t="shared" si="60"/>
        <v>0</v>
      </c>
      <c r="BD109" s="548">
        <f t="shared" si="61"/>
        <v>0</v>
      </c>
      <c r="BE109" s="606">
        <f t="shared" si="62"/>
        <v>0</v>
      </c>
      <c r="BF109" s="549">
        <f t="shared" si="63"/>
        <v>0</v>
      </c>
      <c r="BG109" s="606">
        <f t="shared" si="64"/>
        <v>0</v>
      </c>
      <c r="BH109" s="600" t="s">
        <v>475</v>
      </c>
      <c r="BI109" s="600" t="s">
        <v>475</v>
      </c>
      <c r="BJ109" s="606">
        <f t="shared" ref="BJ109:BJ140" si="87">IFERROR(BI109*N109,0)</f>
        <v>0</v>
      </c>
      <c r="BK109" s="606" t="str">
        <f t="shared" si="66"/>
        <v>n/a</v>
      </c>
      <c r="BL109" s="428" t="s">
        <v>475</v>
      </c>
      <c r="BM109" s="548" t="str">
        <f t="shared" si="67"/>
        <v>n/a</v>
      </c>
      <c r="BN109" s="606" t="str">
        <f t="shared" si="68"/>
        <v>n/a</v>
      </c>
      <c r="BO109" s="606" t="str">
        <f t="shared" si="69"/>
        <v>n/a</v>
      </c>
      <c r="BP109" s="428" t="s">
        <v>475</v>
      </c>
      <c r="BQ109" s="606" t="s">
        <v>475</v>
      </c>
      <c r="BR109" s="428" t="s">
        <v>475</v>
      </c>
      <c r="BS109" s="548" t="str">
        <f t="shared" si="70"/>
        <v>n/a</v>
      </c>
      <c r="BT109" s="607" t="str">
        <f t="shared" si="71"/>
        <v>n/a</v>
      </c>
      <c r="BU109" s="325">
        <v>0.7</v>
      </c>
      <c r="BV109" s="650" t="str">
        <f t="shared" si="72"/>
        <v>n/a</v>
      </c>
      <c r="BW109" s="1165" t="s">
        <v>891</v>
      </c>
      <c r="BX109" s="602" t="s">
        <v>475</v>
      </c>
      <c r="BY109" s="1189"/>
      <c r="BZ109" s="1189"/>
      <c r="CA109" s="608" t="str">
        <f t="shared" si="73"/>
        <v>n/a</v>
      </c>
      <c r="CB109" s="428">
        <v>0</v>
      </c>
      <c r="CC109" s="428">
        <v>0</v>
      </c>
      <c r="CD109" s="609" t="str">
        <f t="shared" si="74"/>
        <v>n/a</v>
      </c>
      <c r="CE109" s="610" t="str">
        <f t="shared" si="75"/>
        <v>n/a</v>
      </c>
      <c r="CF109" s="609" t="str">
        <f t="shared" si="76"/>
        <v>n/a</v>
      </c>
      <c r="CG109" s="658" t="str">
        <f t="shared" si="77"/>
        <v>n/a</v>
      </c>
      <c r="CH109" s="743" t="s">
        <v>893</v>
      </c>
      <c r="CI109" s="330">
        <v>0</v>
      </c>
      <c r="CJ109" s="664">
        <f t="shared" si="78"/>
        <v>0</v>
      </c>
      <c r="CK109" s="328">
        <v>0</v>
      </c>
      <c r="CL109" s="611" t="s">
        <v>671</v>
      </c>
      <c r="CM109" s="428" t="s">
        <v>475</v>
      </c>
      <c r="CN109" s="428" t="s">
        <v>475</v>
      </c>
      <c r="CO109" s="428" t="s">
        <v>38</v>
      </c>
      <c r="CP109" s="570" t="s">
        <v>170</v>
      </c>
      <c r="CQ109" s="1167" t="s">
        <v>894</v>
      </c>
      <c r="CS109" s="1069">
        <f t="shared" si="79"/>
        <v>1</v>
      </c>
      <c r="CT109" s="1069">
        <f t="shared" si="80"/>
        <v>1</v>
      </c>
      <c r="CU109" s="1066">
        <f t="shared" si="81"/>
        <v>1</v>
      </c>
      <c r="CV109" s="1066">
        <f t="shared" si="82"/>
        <v>1</v>
      </c>
      <c r="CW109" s="1082">
        <f t="shared" si="83"/>
        <v>0</v>
      </c>
      <c r="CX109" s="1082">
        <f t="shared" si="84"/>
        <v>0</v>
      </c>
    </row>
    <row r="110" spans="1:102" s="322" customFormat="1" ht="21" customHeight="1">
      <c r="A110" s="358"/>
      <c r="B110" s="715" t="s">
        <v>749</v>
      </c>
      <c r="C110" s="1075"/>
      <c r="D110" s="1075"/>
      <c r="E110" s="1058"/>
      <c r="F110" s="1086" t="s">
        <v>872</v>
      </c>
      <c r="G110" s="1051"/>
      <c r="H110" s="1051"/>
      <c r="I110" s="560" t="s">
        <v>33</v>
      </c>
      <c r="J110" s="560" t="s">
        <v>34</v>
      </c>
      <c r="K110" s="604" t="s">
        <v>607</v>
      </c>
      <c r="L110" s="585">
        <v>0</v>
      </c>
      <c r="M110" s="473">
        <v>0</v>
      </c>
      <c r="N110" s="570">
        <v>1453</v>
      </c>
      <c r="O110" s="328"/>
      <c r="P110" s="718" t="str">
        <f t="shared" si="43"/>
        <v>3. Large</v>
      </c>
      <c r="Q110" s="965" t="s">
        <v>926</v>
      </c>
      <c r="R110" s="1138"/>
      <c r="S110" s="622" t="s">
        <v>811</v>
      </c>
      <c r="T110" s="323" t="str">
        <f t="shared" si="44"/>
        <v>Covered</v>
      </c>
      <c r="U110" s="561">
        <v>42376</v>
      </c>
      <c r="V110" s="1143"/>
      <c r="W110" s="558" t="s">
        <v>152</v>
      </c>
      <c r="X110" s="627">
        <v>0</v>
      </c>
      <c r="Y110" s="473">
        <v>0</v>
      </c>
      <c r="Z110" s="617" t="s">
        <v>43</v>
      </c>
      <c r="AA110" s="627">
        <v>3</v>
      </c>
      <c r="AB110" s="473">
        <v>20</v>
      </c>
      <c r="AC110" s="473">
        <v>0</v>
      </c>
      <c r="AD110" s="473">
        <v>6</v>
      </c>
      <c r="AE110" s="617"/>
      <c r="AF110" s="599">
        <v>0</v>
      </c>
      <c r="AG110" s="325">
        <v>0</v>
      </c>
      <c r="AH110" s="630">
        <f t="shared" si="45"/>
        <v>1</v>
      </c>
      <c r="AI110" s="574">
        <f t="shared" si="46"/>
        <v>1453</v>
      </c>
      <c r="AJ110" s="605">
        <f t="shared" si="47"/>
        <v>1</v>
      </c>
      <c r="AK110" s="574">
        <f t="shared" si="48"/>
        <v>1453</v>
      </c>
      <c r="AL110" s="605">
        <f t="shared" si="49"/>
        <v>1</v>
      </c>
      <c r="AM110" s="574">
        <f t="shared" si="50"/>
        <v>1453</v>
      </c>
      <c r="AN110" s="605" t="str">
        <f t="shared" si="51"/>
        <v>80-100%</v>
      </c>
      <c r="AO110" s="605">
        <f t="shared" si="52"/>
        <v>0</v>
      </c>
      <c r="AP110" s="574">
        <f t="shared" si="53"/>
        <v>0</v>
      </c>
      <c r="AQ110" s="574" t="str">
        <f t="shared" si="54"/>
        <v>yes</v>
      </c>
      <c r="AR110" s="574">
        <f t="shared" si="55"/>
        <v>0</v>
      </c>
      <c r="AS110" s="574">
        <f t="shared" si="56"/>
        <v>0</v>
      </c>
      <c r="AT110" s="574">
        <f t="shared" si="57"/>
        <v>0</v>
      </c>
      <c r="AU110" s="330">
        <v>1</v>
      </c>
      <c r="AV110" s="635">
        <f t="shared" si="58"/>
        <v>1453</v>
      </c>
      <c r="AW110" s="1155" t="s">
        <v>884</v>
      </c>
      <c r="AX110" s="740">
        <v>0</v>
      </c>
      <c r="AY110" s="428"/>
      <c r="AZ110" s="428">
        <v>42</v>
      </c>
      <c r="BA110" s="473"/>
      <c r="BB110" s="548">
        <f t="shared" si="59"/>
        <v>0</v>
      </c>
      <c r="BC110" s="606">
        <f t="shared" si="60"/>
        <v>0</v>
      </c>
      <c r="BD110" s="548">
        <f t="shared" si="61"/>
        <v>0</v>
      </c>
      <c r="BE110" s="606">
        <f t="shared" si="62"/>
        <v>0</v>
      </c>
      <c r="BF110" s="549">
        <f t="shared" si="63"/>
        <v>0</v>
      </c>
      <c r="BG110" s="606">
        <f t="shared" si="64"/>
        <v>0</v>
      </c>
      <c r="BH110" s="600" t="s">
        <v>475</v>
      </c>
      <c r="BI110" s="600" t="s">
        <v>475</v>
      </c>
      <c r="BJ110" s="606">
        <f t="shared" si="87"/>
        <v>0</v>
      </c>
      <c r="BK110" s="606" t="str">
        <f t="shared" si="66"/>
        <v>n/a</v>
      </c>
      <c r="BL110" s="428" t="s">
        <v>475</v>
      </c>
      <c r="BM110" s="548" t="str">
        <f t="shared" si="67"/>
        <v>n/a</v>
      </c>
      <c r="BN110" s="606" t="str">
        <f t="shared" si="68"/>
        <v>n/a</v>
      </c>
      <c r="BO110" s="606" t="str">
        <f t="shared" si="69"/>
        <v>n/a</v>
      </c>
      <c r="BP110" s="428" t="s">
        <v>475</v>
      </c>
      <c r="BQ110" s="606" t="s">
        <v>475</v>
      </c>
      <c r="BR110" s="428" t="s">
        <v>475</v>
      </c>
      <c r="BS110" s="548" t="str">
        <f t="shared" si="70"/>
        <v>n/a</v>
      </c>
      <c r="BT110" s="607" t="str">
        <f t="shared" si="71"/>
        <v>n/a</v>
      </c>
      <c r="BU110" s="325">
        <v>0.7</v>
      </c>
      <c r="BV110" s="650" t="str">
        <f t="shared" si="72"/>
        <v>n/a</v>
      </c>
      <c r="BW110" s="1165" t="s">
        <v>891</v>
      </c>
      <c r="BX110" s="602" t="s">
        <v>475</v>
      </c>
      <c r="BY110" s="1189"/>
      <c r="BZ110" s="1189"/>
      <c r="CA110" s="608" t="str">
        <f t="shared" si="73"/>
        <v>n/a</v>
      </c>
      <c r="CB110" s="428">
        <v>0</v>
      </c>
      <c r="CC110" s="428">
        <v>0</v>
      </c>
      <c r="CD110" s="609" t="str">
        <f t="shared" si="74"/>
        <v>n/a</v>
      </c>
      <c r="CE110" s="610" t="str">
        <f t="shared" si="75"/>
        <v>n/a</v>
      </c>
      <c r="CF110" s="609" t="str">
        <f t="shared" si="76"/>
        <v>n/a</v>
      </c>
      <c r="CG110" s="658" t="str">
        <f t="shared" si="77"/>
        <v>n/a</v>
      </c>
      <c r="CH110" s="743" t="s">
        <v>893</v>
      </c>
      <c r="CI110" s="330">
        <v>0</v>
      </c>
      <c r="CJ110" s="664">
        <f t="shared" si="78"/>
        <v>0</v>
      </c>
      <c r="CK110" s="328">
        <v>0</v>
      </c>
      <c r="CL110" s="611" t="s">
        <v>671</v>
      </c>
      <c r="CM110" s="428" t="s">
        <v>475</v>
      </c>
      <c r="CN110" s="428" t="s">
        <v>475</v>
      </c>
      <c r="CO110" s="428" t="s">
        <v>38</v>
      </c>
      <c r="CP110" s="570" t="s">
        <v>170</v>
      </c>
      <c r="CQ110" s="1167" t="s">
        <v>894</v>
      </c>
      <c r="CS110" s="1069">
        <f t="shared" si="79"/>
        <v>1</v>
      </c>
      <c r="CT110" s="1069">
        <f t="shared" si="80"/>
        <v>1</v>
      </c>
      <c r="CU110" s="1066">
        <f t="shared" si="81"/>
        <v>1</v>
      </c>
      <c r="CV110" s="1066">
        <f t="shared" si="82"/>
        <v>1</v>
      </c>
      <c r="CW110" s="1082">
        <f t="shared" si="83"/>
        <v>0</v>
      </c>
      <c r="CX110" s="1082">
        <f t="shared" si="84"/>
        <v>0</v>
      </c>
    </row>
    <row r="111" spans="1:102" ht="21" customHeight="1">
      <c r="A111" s="358"/>
      <c r="B111" s="715" t="s">
        <v>749</v>
      </c>
      <c r="C111" s="1075" t="s">
        <v>1051</v>
      </c>
      <c r="D111" s="1075" t="s">
        <v>1052</v>
      </c>
      <c r="E111" s="1058" t="s">
        <v>1053</v>
      </c>
      <c r="F111" s="1086" t="s">
        <v>869</v>
      </c>
      <c r="G111" s="1051"/>
      <c r="H111" s="1051"/>
      <c r="I111" s="560" t="s">
        <v>33</v>
      </c>
      <c r="J111" s="560" t="s">
        <v>34</v>
      </c>
      <c r="K111" s="604" t="s">
        <v>607</v>
      </c>
      <c r="L111" s="585">
        <v>0</v>
      </c>
      <c r="M111" s="473">
        <v>0</v>
      </c>
      <c r="N111" s="716">
        <v>1090</v>
      </c>
      <c r="O111" s="328"/>
      <c r="P111" s="718" t="str">
        <f t="shared" si="43"/>
        <v>3. Large</v>
      </c>
      <c r="Q111" s="965" t="s">
        <v>926</v>
      </c>
      <c r="R111" s="1138"/>
      <c r="S111" s="622" t="s">
        <v>811</v>
      </c>
      <c r="T111" s="323" t="str">
        <f t="shared" si="44"/>
        <v>Covered</v>
      </c>
      <c r="U111" s="561">
        <v>42376</v>
      </c>
      <c r="V111" s="1143"/>
      <c r="W111" s="558" t="s">
        <v>152</v>
      </c>
      <c r="X111" s="627">
        <v>0</v>
      </c>
      <c r="Y111" s="473">
        <v>0</v>
      </c>
      <c r="Z111" s="617" t="s">
        <v>43</v>
      </c>
      <c r="AA111" s="627">
        <v>0</v>
      </c>
      <c r="AB111" s="473">
        <v>5</v>
      </c>
      <c r="AC111" s="473">
        <v>0</v>
      </c>
      <c r="AD111" s="473">
        <v>2</v>
      </c>
      <c r="AE111" s="617"/>
      <c r="AF111" s="599">
        <v>0</v>
      </c>
      <c r="AG111" s="325">
        <v>0</v>
      </c>
      <c r="AH111" s="630">
        <f t="shared" si="45"/>
        <v>1</v>
      </c>
      <c r="AI111" s="574">
        <f t="shared" si="46"/>
        <v>1090</v>
      </c>
      <c r="AJ111" s="605">
        <f t="shared" si="47"/>
        <v>1</v>
      </c>
      <c r="AK111" s="574">
        <f t="shared" si="48"/>
        <v>1090</v>
      </c>
      <c r="AL111" s="605">
        <f t="shared" si="49"/>
        <v>1</v>
      </c>
      <c r="AM111" s="574">
        <f t="shared" si="50"/>
        <v>1090</v>
      </c>
      <c r="AN111" s="605" t="str">
        <f t="shared" si="51"/>
        <v>80-100%</v>
      </c>
      <c r="AO111" s="605">
        <f t="shared" si="52"/>
        <v>0</v>
      </c>
      <c r="AP111" s="574">
        <f t="shared" si="53"/>
        <v>0</v>
      </c>
      <c r="AQ111" s="574" t="str">
        <f t="shared" si="54"/>
        <v>yes</v>
      </c>
      <c r="AR111" s="574">
        <f t="shared" si="55"/>
        <v>0</v>
      </c>
      <c r="AS111" s="574">
        <f t="shared" si="56"/>
        <v>0</v>
      </c>
      <c r="AT111" s="574">
        <f t="shared" si="57"/>
        <v>0</v>
      </c>
      <c r="AU111" s="330">
        <v>1</v>
      </c>
      <c r="AV111" s="635">
        <f t="shared" si="58"/>
        <v>1090</v>
      </c>
      <c r="AW111" s="1155" t="s">
        <v>884</v>
      </c>
      <c r="AX111" s="740">
        <v>0</v>
      </c>
      <c r="AY111" s="428"/>
      <c r="AZ111" s="428">
        <v>42</v>
      </c>
      <c r="BA111" s="473"/>
      <c r="BB111" s="548">
        <f t="shared" si="59"/>
        <v>0</v>
      </c>
      <c r="BC111" s="606">
        <f t="shared" si="60"/>
        <v>0</v>
      </c>
      <c r="BD111" s="548">
        <f t="shared" si="61"/>
        <v>0</v>
      </c>
      <c r="BE111" s="606">
        <f t="shared" si="62"/>
        <v>0</v>
      </c>
      <c r="BF111" s="549">
        <f t="shared" si="63"/>
        <v>0</v>
      </c>
      <c r="BG111" s="606">
        <f t="shared" si="64"/>
        <v>0</v>
      </c>
      <c r="BH111" s="600" t="s">
        <v>475</v>
      </c>
      <c r="BI111" s="600" t="s">
        <v>475</v>
      </c>
      <c r="BJ111" s="606">
        <f t="shared" si="87"/>
        <v>0</v>
      </c>
      <c r="BK111" s="606" t="str">
        <f t="shared" si="66"/>
        <v>n/a</v>
      </c>
      <c r="BL111" s="428" t="s">
        <v>475</v>
      </c>
      <c r="BM111" s="548" t="str">
        <f t="shared" si="67"/>
        <v>n/a</v>
      </c>
      <c r="BN111" s="606" t="str">
        <f t="shared" si="68"/>
        <v>n/a</v>
      </c>
      <c r="BO111" s="606" t="str">
        <f t="shared" si="69"/>
        <v>n/a</v>
      </c>
      <c r="BP111" s="428" t="s">
        <v>475</v>
      </c>
      <c r="BQ111" s="606" t="s">
        <v>475</v>
      </c>
      <c r="BR111" s="428" t="s">
        <v>475</v>
      </c>
      <c r="BS111" s="548" t="str">
        <f t="shared" si="70"/>
        <v>n/a</v>
      </c>
      <c r="BT111" s="607" t="str">
        <f t="shared" si="71"/>
        <v>n/a</v>
      </c>
      <c r="BU111" s="325">
        <v>0.7</v>
      </c>
      <c r="BV111" s="650" t="str">
        <f t="shared" si="72"/>
        <v>n/a</v>
      </c>
      <c r="BW111" s="1165" t="s">
        <v>891</v>
      </c>
      <c r="BX111" s="602" t="s">
        <v>475</v>
      </c>
      <c r="BY111" s="1189"/>
      <c r="BZ111" s="1189"/>
      <c r="CA111" s="608" t="str">
        <f t="shared" si="73"/>
        <v>n/a</v>
      </c>
      <c r="CB111" s="428">
        <v>0</v>
      </c>
      <c r="CC111" s="428">
        <v>0</v>
      </c>
      <c r="CD111" s="609" t="str">
        <f t="shared" si="74"/>
        <v>n/a</v>
      </c>
      <c r="CE111" s="610" t="str">
        <f t="shared" si="75"/>
        <v>n/a</v>
      </c>
      <c r="CF111" s="609" t="str">
        <f t="shared" si="76"/>
        <v>n/a</v>
      </c>
      <c r="CG111" s="658" t="str">
        <f t="shared" si="77"/>
        <v>n/a</v>
      </c>
      <c r="CH111" s="743" t="s">
        <v>893</v>
      </c>
      <c r="CI111" s="330">
        <v>0</v>
      </c>
      <c r="CJ111" s="664">
        <f t="shared" si="78"/>
        <v>0</v>
      </c>
      <c r="CK111" s="328">
        <v>0</v>
      </c>
      <c r="CL111" s="611" t="s">
        <v>671</v>
      </c>
      <c r="CM111" s="428" t="s">
        <v>475</v>
      </c>
      <c r="CN111" s="428" t="s">
        <v>475</v>
      </c>
      <c r="CO111" s="428" t="s">
        <v>38</v>
      </c>
      <c r="CP111" s="570" t="s">
        <v>170</v>
      </c>
      <c r="CQ111" s="1167" t="s">
        <v>894</v>
      </c>
      <c r="CS111" s="1069">
        <f t="shared" si="79"/>
        <v>1</v>
      </c>
      <c r="CT111" s="1069">
        <f t="shared" si="80"/>
        <v>1</v>
      </c>
      <c r="CU111" s="1066">
        <f t="shared" si="81"/>
        <v>1</v>
      </c>
      <c r="CV111" s="1066">
        <f t="shared" si="82"/>
        <v>1</v>
      </c>
      <c r="CW111" s="1082">
        <f t="shared" si="83"/>
        <v>0</v>
      </c>
      <c r="CX111" s="1082">
        <f t="shared" si="84"/>
        <v>0</v>
      </c>
    </row>
    <row r="112" spans="1:102" ht="21" customHeight="1">
      <c r="A112" s="358"/>
      <c r="B112" s="715" t="s">
        <v>749</v>
      </c>
      <c r="C112" s="1075" t="s">
        <v>1051</v>
      </c>
      <c r="D112" s="1075" t="s">
        <v>1052</v>
      </c>
      <c r="E112" s="1058" t="s">
        <v>1133</v>
      </c>
      <c r="F112" s="1086" t="s">
        <v>868</v>
      </c>
      <c r="G112" s="1051"/>
      <c r="H112" s="1051"/>
      <c r="I112" s="560" t="s">
        <v>33</v>
      </c>
      <c r="J112" s="560" t="s">
        <v>34</v>
      </c>
      <c r="K112" s="604" t="s">
        <v>607</v>
      </c>
      <c r="L112" s="585">
        <v>0</v>
      </c>
      <c r="M112" s="473">
        <v>0</v>
      </c>
      <c r="N112" s="716">
        <v>650</v>
      </c>
      <c r="O112" s="328"/>
      <c r="P112" s="718" t="str">
        <f t="shared" si="43"/>
        <v>2. Medium</v>
      </c>
      <c r="Q112" s="965" t="s">
        <v>926</v>
      </c>
      <c r="R112" s="1138"/>
      <c r="S112" s="622" t="s">
        <v>811</v>
      </c>
      <c r="T112" s="323" t="str">
        <f t="shared" si="44"/>
        <v>Covered</v>
      </c>
      <c r="U112" s="561">
        <v>42376</v>
      </c>
      <c r="V112" s="1143"/>
      <c r="W112" s="558" t="s">
        <v>152</v>
      </c>
      <c r="X112" s="627">
        <v>0</v>
      </c>
      <c r="Y112" s="473">
        <v>0</v>
      </c>
      <c r="Z112" s="617" t="s">
        <v>43</v>
      </c>
      <c r="AA112" s="627">
        <v>0</v>
      </c>
      <c r="AB112" s="473">
        <v>1</v>
      </c>
      <c r="AC112" s="473">
        <v>0</v>
      </c>
      <c r="AD112" s="473">
        <v>1</v>
      </c>
      <c r="AE112" s="617"/>
      <c r="AF112" s="599">
        <v>0</v>
      </c>
      <c r="AG112" s="325">
        <v>0</v>
      </c>
      <c r="AH112" s="630">
        <f t="shared" si="45"/>
        <v>0.38461538461538464</v>
      </c>
      <c r="AI112" s="574">
        <f t="shared" si="46"/>
        <v>250</v>
      </c>
      <c r="AJ112" s="605">
        <f t="shared" si="47"/>
        <v>0.38461538461538464</v>
      </c>
      <c r="AK112" s="574">
        <f t="shared" si="48"/>
        <v>250</v>
      </c>
      <c r="AL112" s="605">
        <f t="shared" si="49"/>
        <v>0.38461538461538464</v>
      </c>
      <c r="AM112" s="574">
        <f t="shared" si="50"/>
        <v>250</v>
      </c>
      <c r="AN112" s="605" t="str">
        <f t="shared" si="51"/>
        <v>30-45%</v>
      </c>
      <c r="AO112" s="605">
        <f t="shared" si="52"/>
        <v>0</v>
      </c>
      <c r="AP112" s="574">
        <f t="shared" si="53"/>
        <v>0</v>
      </c>
      <c r="AQ112" s="574" t="str">
        <f t="shared" si="54"/>
        <v>yes</v>
      </c>
      <c r="AR112" s="574">
        <f t="shared" si="55"/>
        <v>1.6</v>
      </c>
      <c r="AS112" s="574">
        <f t="shared" si="56"/>
        <v>0</v>
      </c>
      <c r="AT112" s="574">
        <f t="shared" si="57"/>
        <v>0</v>
      </c>
      <c r="AU112" s="330">
        <v>0.9</v>
      </c>
      <c r="AV112" s="635">
        <f t="shared" si="58"/>
        <v>585</v>
      </c>
      <c r="AW112" s="1155" t="s">
        <v>884</v>
      </c>
      <c r="AX112" s="740">
        <v>0</v>
      </c>
      <c r="AY112" s="428"/>
      <c r="AZ112" s="428">
        <v>42</v>
      </c>
      <c r="BA112" s="473"/>
      <c r="BB112" s="548">
        <f t="shared" si="59"/>
        <v>0</v>
      </c>
      <c r="BC112" s="606">
        <f t="shared" si="60"/>
        <v>0</v>
      </c>
      <c r="BD112" s="548">
        <f t="shared" si="61"/>
        <v>0</v>
      </c>
      <c r="BE112" s="606">
        <f t="shared" si="62"/>
        <v>0</v>
      </c>
      <c r="BF112" s="549">
        <f t="shared" si="63"/>
        <v>0</v>
      </c>
      <c r="BG112" s="606">
        <f t="shared" si="64"/>
        <v>0</v>
      </c>
      <c r="BH112" s="600" t="s">
        <v>475</v>
      </c>
      <c r="BI112" s="600" t="s">
        <v>475</v>
      </c>
      <c r="BJ112" s="606">
        <f t="shared" si="87"/>
        <v>0</v>
      </c>
      <c r="BK112" s="606" t="str">
        <f t="shared" si="66"/>
        <v>n/a</v>
      </c>
      <c r="BL112" s="428" t="s">
        <v>475</v>
      </c>
      <c r="BM112" s="548" t="str">
        <f t="shared" si="67"/>
        <v>n/a</v>
      </c>
      <c r="BN112" s="606" t="str">
        <f t="shared" si="68"/>
        <v>n/a</v>
      </c>
      <c r="BO112" s="606" t="str">
        <f t="shared" si="69"/>
        <v>n/a</v>
      </c>
      <c r="BP112" s="428" t="s">
        <v>475</v>
      </c>
      <c r="BQ112" s="606" t="s">
        <v>475</v>
      </c>
      <c r="BR112" s="428" t="s">
        <v>475</v>
      </c>
      <c r="BS112" s="548" t="str">
        <f t="shared" si="70"/>
        <v>n/a</v>
      </c>
      <c r="BT112" s="607" t="str">
        <f t="shared" si="71"/>
        <v>n/a</v>
      </c>
      <c r="BU112" s="325">
        <v>0.7</v>
      </c>
      <c r="BV112" s="650" t="str">
        <f t="shared" si="72"/>
        <v>n/a</v>
      </c>
      <c r="BW112" s="1165" t="s">
        <v>891</v>
      </c>
      <c r="BX112" s="602" t="s">
        <v>475</v>
      </c>
      <c r="BY112" s="1189"/>
      <c r="BZ112" s="1189"/>
      <c r="CA112" s="608" t="str">
        <f t="shared" si="73"/>
        <v>n/a</v>
      </c>
      <c r="CB112" s="428">
        <v>0</v>
      </c>
      <c r="CC112" s="428">
        <v>0</v>
      </c>
      <c r="CD112" s="609" t="str">
        <f t="shared" si="74"/>
        <v>n/a</v>
      </c>
      <c r="CE112" s="610" t="str">
        <f t="shared" si="75"/>
        <v>n/a</v>
      </c>
      <c r="CF112" s="609" t="str">
        <f t="shared" si="76"/>
        <v>n/a</v>
      </c>
      <c r="CG112" s="658" t="str">
        <f t="shared" si="77"/>
        <v>n/a</v>
      </c>
      <c r="CH112" s="743" t="s">
        <v>893</v>
      </c>
      <c r="CI112" s="330">
        <v>0</v>
      </c>
      <c r="CJ112" s="664">
        <f t="shared" si="78"/>
        <v>0</v>
      </c>
      <c r="CK112" s="328">
        <v>0</v>
      </c>
      <c r="CL112" s="611" t="s">
        <v>671</v>
      </c>
      <c r="CM112" s="428" t="s">
        <v>475</v>
      </c>
      <c r="CN112" s="428" t="s">
        <v>475</v>
      </c>
      <c r="CO112" s="428" t="s">
        <v>38</v>
      </c>
      <c r="CP112" s="570" t="s">
        <v>170</v>
      </c>
      <c r="CQ112" s="1167" t="s">
        <v>894</v>
      </c>
      <c r="CS112" s="1069">
        <f t="shared" si="79"/>
        <v>0.76923076923076927</v>
      </c>
      <c r="CT112" s="1069">
        <f t="shared" si="80"/>
        <v>0.38461538461538464</v>
      </c>
      <c r="CU112" s="1066">
        <f t="shared" si="81"/>
        <v>0.76923076923076927</v>
      </c>
      <c r="CV112" s="1066">
        <f t="shared" si="82"/>
        <v>0.38461538461538464</v>
      </c>
      <c r="CW112" s="1082">
        <f t="shared" si="83"/>
        <v>0.625</v>
      </c>
      <c r="CX112" s="1082">
        <f t="shared" si="84"/>
        <v>1.6</v>
      </c>
    </row>
    <row r="113" spans="1:102" ht="21" customHeight="1">
      <c r="A113" s="358"/>
      <c r="B113" s="715" t="s">
        <v>749</v>
      </c>
      <c r="C113" s="1075" t="s">
        <v>1051</v>
      </c>
      <c r="D113" s="1075" t="s">
        <v>1052</v>
      </c>
      <c r="E113" s="1058" t="s">
        <v>1133</v>
      </c>
      <c r="F113" s="1086" t="s">
        <v>868</v>
      </c>
      <c r="G113" s="1051"/>
      <c r="H113" s="1051"/>
      <c r="I113" s="560" t="s">
        <v>33</v>
      </c>
      <c r="J113" s="560" t="s">
        <v>34</v>
      </c>
      <c r="K113" s="604" t="s">
        <v>607</v>
      </c>
      <c r="L113" s="585">
        <v>0</v>
      </c>
      <c r="M113" s="473">
        <v>0</v>
      </c>
      <c r="N113" s="570">
        <v>1144</v>
      </c>
      <c r="O113" s="328"/>
      <c r="P113" s="718" t="str">
        <f t="shared" si="43"/>
        <v>3. Large</v>
      </c>
      <c r="Q113" s="965" t="s">
        <v>926</v>
      </c>
      <c r="R113" s="1138"/>
      <c r="S113" s="622" t="s">
        <v>811</v>
      </c>
      <c r="T113" s="323" t="str">
        <f t="shared" si="44"/>
        <v>Covered</v>
      </c>
      <c r="U113" s="561">
        <v>42376</v>
      </c>
      <c r="V113" s="1143"/>
      <c r="W113" s="558" t="s">
        <v>152</v>
      </c>
      <c r="X113" s="627">
        <v>0</v>
      </c>
      <c r="Y113" s="473">
        <v>0</v>
      </c>
      <c r="Z113" s="617" t="s">
        <v>43</v>
      </c>
      <c r="AA113" s="627">
        <v>4</v>
      </c>
      <c r="AB113" s="473">
        <v>1</v>
      </c>
      <c r="AC113" s="473">
        <v>0</v>
      </c>
      <c r="AD113" s="473">
        <v>1</v>
      </c>
      <c r="AE113" s="617"/>
      <c r="AF113" s="599">
        <v>0</v>
      </c>
      <c r="AG113" s="325">
        <v>0</v>
      </c>
      <c r="AH113" s="630">
        <f t="shared" si="45"/>
        <v>1</v>
      </c>
      <c r="AI113" s="574">
        <f t="shared" si="46"/>
        <v>1144</v>
      </c>
      <c r="AJ113" s="605">
        <f t="shared" si="47"/>
        <v>1</v>
      </c>
      <c r="AK113" s="574">
        <f t="shared" si="48"/>
        <v>1144</v>
      </c>
      <c r="AL113" s="605">
        <f t="shared" si="49"/>
        <v>1</v>
      </c>
      <c r="AM113" s="574">
        <f t="shared" si="50"/>
        <v>1144</v>
      </c>
      <c r="AN113" s="605" t="str">
        <f t="shared" si="51"/>
        <v>80-100%</v>
      </c>
      <c r="AO113" s="605">
        <f t="shared" si="52"/>
        <v>0</v>
      </c>
      <c r="AP113" s="574">
        <f t="shared" si="53"/>
        <v>0</v>
      </c>
      <c r="AQ113" s="574" t="str">
        <f t="shared" si="54"/>
        <v>yes</v>
      </c>
      <c r="AR113" s="574">
        <f t="shared" si="55"/>
        <v>0</v>
      </c>
      <c r="AS113" s="574">
        <f t="shared" si="56"/>
        <v>0</v>
      </c>
      <c r="AT113" s="574">
        <f t="shared" si="57"/>
        <v>0</v>
      </c>
      <c r="AU113" s="330">
        <v>1</v>
      </c>
      <c r="AV113" s="635">
        <f t="shared" si="58"/>
        <v>1144</v>
      </c>
      <c r="AW113" s="1155" t="s">
        <v>884</v>
      </c>
      <c r="AX113" s="740">
        <v>0</v>
      </c>
      <c r="AY113" s="428"/>
      <c r="AZ113" s="428">
        <v>42</v>
      </c>
      <c r="BA113" s="473"/>
      <c r="BB113" s="548">
        <f t="shared" si="59"/>
        <v>0</v>
      </c>
      <c r="BC113" s="606">
        <f t="shared" si="60"/>
        <v>0</v>
      </c>
      <c r="BD113" s="548">
        <f t="shared" si="61"/>
        <v>0</v>
      </c>
      <c r="BE113" s="606">
        <f t="shared" si="62"/>
        <v>0</v>
      </c>
      <c r="BF113" s="549">
        <f t="shared" si="63"/>
        <v>0</v>
      </c>
      <c r="BG113" s="606">
        <f t="shared" si="64"/>
        <v>0</v>
      </c>
      <c r="BH113" s="600" t="s">
        <v>475</v>
      </c>
      <c r="BI113" s="600" t="s">
        <v>475</v>
      </c>
      <c r="BJ113" s="606">
        <f t="shared" si="87"/>
        <v>0</v>
      </c>
      <c r="BK113" s="606" t="str">
        <f t="shared" si="66"/>
        <v>n/a</v>
      </c>
      <c r="BL113" s="428" t="s">
        <v>475</v>
      </c>
      <c r="BM113" s="548" t="str">
        <f t="shared" si="67"/>
        <v>n/a</v>
      </c>
      <c r="BN113" s="606" t="str">
        <f t="shared" si="68"/>
        <v>n/a</v>
      </c>
      <c r="BO113" s="606" t="str">
        <f t="shared" si="69"/>
        <v>n/a</v>
      </c>
      <c r="BP113" s="428" t="s">
        <v>475</v>
      </c>
      <c r="BQ113" s="606" t="s">
        <v>475</v>
      </c>
      <c r="BR113" s="428" t="s">
        <v>475</v>
      </c>
      <c r="BS113" s="548" t="str">
        <f t="shared" si="70"/>
        <v>n/a</v>
      </c>
      <c r="BT113" s="607" t="str">
        <f t="shared" si="71"/>
        <v>n/a</v>
      </c>
      <c r="BU113" s="325">
        <v>0.7</v>
      </c>
      <c r="BV113" s="650" t="str">
        <f t="shared" si="72"/>
        <v>n/a</v>
      </c>
      <c r="BW113" s="1165" t="s">
        <v>891</v>
      </c>
      <c r="BX113" s="602" t="s">
        <v>475</v>
      </c>
      <c r="BY113" s="1189"/>
      <c r="BZ113" s="1189"/>
      <c r="CA113" s="608" t="str">
        <f t="shared" si="73"/>
        <v>n/a</v>
      </c>
      <c r="CB113" s="428">
        <v>0</v>
      </c>
      <c r="CC113" s="428">
        <v>0</v>
      </c>
      <c r="CD113" s="609" t="str">
        <f t="shared" si="74"/>
        <v>n/a</v>
      </c>
      <c r="CE113" s="610" t="str">
        <f t="shared" si="75"/>
        <v>n/a</v>
      </c>
      <c r="CF113" s="609" t="str">
        <f t="shared" si="76"/>
        <v>n/a</v>
      </c>
      <c r="CG113" s="658" t="str">
        <f t="shared" si="77"/>
        <v>n/a</v>
      </c>
      <c r="CH113" s="743" t="s">
        <v>893</v>
      </c>
      <c r="CI113" s="330">
        <v>0</v>
      </c>
      <c r="CJ113" s="664">
        <f t="shared" si="78"/>
        <v>0</v>
      </c>
      <c r="CK113" s="328">
        <v>0</v>
      </c>
      <c r="CL113" s="611" t="s">
        <v>671</v>
      </c>
      <c r="CM113" s="428" t="s">
        <v>475</v>
      </c>
      <c r="CN113" s="428" t="s">
        <v>475</v>
      </c>
      <c r="CO113" s="428" t="s">
        <v>38</v>
      </c>
      <c r="CP113" s="570" t="s">
        <v>170</v>
      </c>
      <c r="CQ113" s="1167" t="s">
        <v>894</v>
      </c>
      <c r="CS113" s="1069">
        <f t="shared" si="79"/>
        <v>1</v>
      </c>
      <c r="CT113" s="1069">
        <f t="shared" si="80"/>
        <v>1</v>
      </c>
      <c r="CU113" s="1066">
        <f t="shared" si="81"/>
        <v>1</v>
      </c>
      <c r="CV113" s="1066">
        <f t="shared" si="82"/>
        <v>1</v>
      </c>
      <c r="CW113" s="1082">
        <f t="shared" si="83"/>
        <v>0</v>
      </c>
      <c r="CX113" s="1082">
        <f t="shared" si="84"/>
        <v>0</v>
      </c>
    </row>
    <row r="114" spans="1:102" ht="21" customHeight="1">
      <c r="A114" s="358"/>
      <c r="B114" s="402" t="s">
        <v>749</v>
      </c>
      <c r="C114" s="603"/>
      <c r="D114" s="603"/>
      <c r="E114" s="1058"/>
      <c r="F114" s="731" t="s">
        <v>791</v>
      </c>
      <c r="G114" s="1051"/>
      <c r="H114" s="1051"/>
      <c r="I114" s="560" t="s">
        <v>33</v>
      </c>
      <c r="J114" s="560" t="s">
        <v>34</v>
      </c>
      <c r="K114" s="604" t="s">
        <v>607</v>
      </c>
      <c r="L114" s="585">
        <v>0</v>
      </c>
      <c r="M114" s="473">
        <v>0</v>
      </c>
      <c r="N114" s="617">
        <v>4000</v>
      </c>
      <c r="O114" s="328"/>
      <c r="P114" s="718" t="str">
        <f t="shared" si="43"/>
        <v>3. Large</v>
      </c>
      <c r="Q114" s="965" t="s">
        <v>926</v>
      </c>
      <c r="R114" s="1138"/>
      <c r="S114" s="622" t="s">
        <v>143</v>
      </c>
      <c r="T114" s="323" t="str">
        <f t="shared" si="44"/>
        <v>Covered</v>
      </c>
      <c r="U114" s="561">
        <v>42376</v>
      </c>
      <c r="V114" s="1143"/>
      <c r="W114" s="558" t="s">
        <v>152</v>
      </c>
      <c r="X114" s="627">
        <v>0</v>
      </c>
      <c r="Y114" s="473">
        <v>0</v>
      </c>
      <c r="Z114" s="617" t="s">
        <v>43</v>
      </c>
      <c r="AA114" s="627">
        <v>5</v>
      </c>
      <c r="AB114" s="473">
        <v>10</v>
      </c>
      <c r="AC114" s="473">
        <v>0</v>
      </c>
      <c r="AD114" s="473">
        <v>0</v>
      </c>
      <c r="AE114" s="617"/>
      <c r="AF114" s="599">
        <v>0</v>
      </c>
      <c r="AG114" s="325">
        <v>0</v>
      </c>
      <c r="AH114" s="630">
        <f t="shared" si="45"/>
        <v>0.9375</v>
      </c>
      <c r="AI114" s="574">
        <f t="shared" si="46"/>
        <v>3750</v>
      </c>
      <c r="AJ114" s="605">
        <f t="shared" si="47"/>
        <v>0.9375</v>
      </c>
      <c r="AK114" s="574">
        <f t="shared" si="48"/>
        <v>3750</v>
      </c>
      <c r="AL114" s="605">
        <f t="shared" si="49"/>
        <v>0.9375</v>
      </c>
      <c r="AM114" s="574">
        <f t="shared" si="50"/>
        <v>3750</v>
      </c>
      <c r="AN114" s="605" t="str">
        <f t="shared" si="51"/>
        <v>80-100%</v>
      </c>
      <c r="AO114" s="605">
        <f t="shared" si="52"/>
        <v>0</v>
      </c>
      <c r="AP114" s="574">
        <f t="shared" si="53"/>
        <v>0</v>
      </c>
      <c r="AQ114" s="574" t="str">
        <f t="shared" si="54"/>
        <v>no</v>
      </c>
      <c r="AR114" s="574">
        <f t="shared" si="55"/>
        <v>1</v>
      </c>
      <c r="AS114" s="574">
        <f t="shared" si="56"/>
        <v>0</v>
      </c>
      <c r="AT114" s="574">
        <f t="shared" si="57"/>
        <v>0</v>
      </c>
      <c r="AU114" s="1123">
        <v>0.94</v>
      </c>
      <c r="AV114" s="635">
        <f t="shared" si="58"/>
        <v>3760</v>
      </c>
      <c r="AW114" s="638"/>
      <c r="AX114" s="740">
        <v>0</v>
      </c>
      <c r="AY114" s="428">
        <v>371</v>
      </c>
      <c r="AZ114" s="428">
        <v>42</v>
      </c>
      <c r="BA114" s="473" t="s">
        <v>963</v>
      </c>
      <c r="BB114" s="548">
        <f t="shared" si="59"/>
        <v>1</v>
      </c>
      <c r="BC114" s="606">
        <f t="shared" si="60"/>
        <v>4000</v>
      </c>
      <c r="BD114" s="548">
        <f t="shared" si="61"/>
        <v>1</v>
      </c>
      <c r="BE114" s="606">
        <f t="shared" si="62"/>
        <v>4000</v>
      </c>
      <c r="BF114" s="549">
        <f t="shared" si="63"/>
        <v>0</v>
      </c>
      <c r="BG114" s="606">
        <f t="shared" si="64"/>
        <v>0</v>
      </c>
      <c r="BH114" s="601" t="s">
        <v>475</v>
      </c>
      <c r="BI114" s="600" t="s">
        <v>475</v>
      </c>
      <c r="BJ114" s="606">
        <f t="shared" si="87"/>
        <v>0</v>
      </c>
      <c r="BK114" s="606" t="str">
        <f t="shared" si="66"/>
        <v>n/a</v>
      </c>
      <c r="BL114" s="428" t="s">
        <v>475</v>
      </c>
      <c r="BM114" s="548" t="str">
        <f t="shared" si="67"/>
        <v>n/a</v>
      </c>
      <c r="BN114" s="606" t="str">
        <f t="shared" si="68"/>
        <v>n/a</v>
      </c>
      <c r="BO114" s="606" t="str">
        <f t="shared" si="69"/>
        <v>n/a</v>
      </c>
      <c r="BP114" s="578" t="s">
        <v>475</v>
      </c>
      <c r="BQ114" s="606" t="s">
        <v>475</v>
      </c>
      <c r="BR114" s="519" t="s">
        <v>475</v>
      </c>
      <c r="BS114" s="548" t="str">
        <f t="shared" si="70"/>
        <v>n/a</v>
      </c>
      <c r="BT114" s="607" t="str">
        <f t="shared" si="71"/>
        <v>n/a</v>
      </c>
      <c r="BU114" s="325">
        <v>1</v>
      </c>
      <c r="BV114" s="650" t="str">
        <f t="shared" si="72"/>
        <v>n/a</v>
      </c>
      <c r="BW114" s="325" t="s">
        <v>567</v>
      </c>
      <c r="BX114" s="602" t="s">
        <v>475</v>
      </c>
      <c r="BY114" s="1189"/>
      <c r="BZ114" s="1189"/>
      <c r="CA114" s="608" t="str">
        <f t="shared" si="73"/>
        <v>n/a</v>
      </c>
      <c r="CB114" s="428">
        <v>0</v>
      </c>
      <c r="CC114" s="428">
        <v>0</v>
      </c>
      <c r="CD114" s="609" t="str">
        <f t="shared" si="74"/>
        <v>n/a</v>
      </c>
      <c r="CE114" s="610" t="str">
        <f t="shared" si="75"/>
        <v>n/a</v>
      </c>
      <c r="CF114" s="609" t="str">
        <f t="shared" si="76"/>
        <v>n/a</v>
      </c>
      <c r="CG114" s="658" t="str">
        <f t="shared" si="77"/>
        <v>n/a</v>
      </c>
      <c r="CH114" s="328" t="s">
        <v>809</v>
      </c>
      <c r="CI114" s="330">
        <v>0.5</v>
      </c>
      <c r="CJ114" s="664">
        <f t="shared" si="78"/>
        <v>2000</v>
      </c>
      <c r="CK114" s="328">
        <v>2</v>
      </c>
      <c r="CL114" s="611" t="s">
        <v>671</v>
      </c>
      <c r="CM114" s="428" t="s">
        <v>475</v>
      </c>
      <c r="CN114" s="428" t="s">
        <v>475</v>
      </c>
      <c r="CO114" s="428" t="s">
        <v>38</v>
      </c>
      <c r="CP114" s="570" t="s">
        <v>170</v>
      </c>
      <c r="CQ114" s="672"/>
      <c r="CS114" s="1069">
        <f t="shared" si="79"/>
        <v>1</v>
      </c>
      <c r="CT114" s="1069">
        <f t="shared" si="80"/>
        <v>0.9375</v>
      </c>
      <c r="CU114" s="1066">
        <f t="shared" si="81"/>
        <v>1</v>
      </c>
      <c r="CV114" s="1066">
        <f t="shared" si="82"/>
        <v>0.9375</v>
      </c>
      <c r="CW114" s="1082">
        <f t="shared" si="83"/>
        <v>0</v>
      </c>
      <c r="CX114" s="1082">
        <f t="shared" si="84"/>
        <v>1</v>
      </c>
    </row>
    <row r="115" spans="1:102" ht="21" customHeight="1">
      <c r="A115" s="358"/>
      <c r="B115" s="715" t="s">
        <v>749</v>
      </c>
      <c r="C115" s="1075" t="s">
        <v>1116</v>
      </c>
      <c r="D115" s="1075" t="s">
        <v>1117</v>
      </c>
      <c r="E115" s="1058" t="s">
        <v>1118</v>
      </c>
      <c r="F115" s="1086" t="s">
        <v>856</v>
      </c>
      <c r="G115" s="1051"/>
      <c r="H115" s="1051"/>
      <c r="I115" s="560" t="s">
        <v>33</v>
      </c>
      <c r="J115" s="560" t="s">
        <v>45</v>
      </c>
      <c r="K115" s="604" t="s">
        <v>607</v>
      </c>
      <c r="L115" s="585">
        <v>0</v>
      </c>
      <c r="M115" s="473">
        <v>0</v>
      </c>
      <c r="N115" s="716">
        <v>323</v>
      </c>
      <c r="O115" s="328"/>
      <c r="P115" s="718" t="str">
        <f t="shared" si="43"/>
        <v>1. Small</v>
      </c>
      <c r="Q115" s="965" t="s">
        <v>926</v>
      </c>
      <c r="R115" s="1138"/>
      <c r="S115" s="622" t="s">
        <v>811</v>
      </c>
      <c r="T115" s="323" t="str">
        <f t="shared" si="44"/>
        <v>Covered</v>
      </c>
      <c r="U115" s="561">
        <v>42376</v>
      </c>
      <c r="V115" s="1143"/>
      <c r="W115" s="558" t="s">
        <v>152</v>
      </c>
      <c r="X115" s="627">
        <v>0</v>
      </c>
      <c r="Y115" s="473">
        <v>0</v>
      </c>
      <c r="Z115" s="617" t="s">
        <v>43</v>
      </c>
      <c r="AA115" s="627">
        <v>0</v>
      </c>
      <c r="AB115" s="473">
        <v>0</v>
      </c>
      <c r="AC115" s="473">
        <v>0</v>
      </c>
      <c r="AD115" s="1077">
        <v>1</v>
      </c>
      <c r="AE115" s="737"/>
      <c r="AF115" s="599">
        <v>0</v>
      </c>
      <c r="AG115" s="325">
        <v>0</v>
      </c>
      <c r="AH115" s="630">
        <f t="shared" si="45"/>
        <v>0</v>
      </c>
      <c r="AI115" s="574">
        <f t="shared" si="46"/>
        <v>0</v>
      </c>
      <c r="AJ115" s="605">
        <f t="shared" si="47"/>
        <v>0</v>
      </c>
      <c r="AK115" s="574">
        <f t="shared" si="48"/>
        <v>0</v>
      </c>
      <c r="AL115" s="605">
        <f t="shared" si="49"/>
        <v>0</v>
      </c>
      <c r="AM115" s="574">
        <f t="shared" si="50"/>
        <v>0</v>
      </c>
      <c r="AN115" s="605" t="str">
        <f t="shared" si="51"/>
        <v>0-10%</v>
      </c>
      <c r="AO115" s="605">
        <f t="shared" si="52"/>
        <v>0</v>
      </c>
      <c r="AP115" s="574">
        <f t="shared" si="53"/>
        <v>0</v>
      </c>
      <c r="AQ115" s="574" t="str">
        <f t="shared" si="54"/>
        <v>yes</v>
      </c>
      <c r="AR115" s="574">
        <f t="shared" si="55"/>
        <v>1.292</v>
      </c>
      <c r="AS115" s="574">
        <f t="shared" si="56"/>
        <v>0</v>
      </c>
      <c r="AT115" s="574">
        <f t="shared" si="57"/>
        <v>0</v>
      </c>
      <c r="AU115" s="330">
        <v>0.9</v>
      </c>
      <c r="AV115" s="635">
        <f t="shared" si="58"/>
        <v>290.7</v>
      </c>
      <c r="AW115" s="1155" t="s">
        <v>890</v>
      </c>
      <c r="AX115" s="740">
        <v>0</v>
      </c>
      <c r="AY115" s="428"/>
      <c r="AZ115" s="428">
        <v>42</v>
      </c>
      <c r="BA115" s="473"/>
      <c r="BB115" s="548">
        <f t="shared" si="59"/>
        <v>0</v>
      </c>
      <c r="BC115" s="606">
        <f t="shared" si="60"/>
        <v>0</v>
      </c>
      <c r="BD115" s="548">
        <f t="shared" si="61"/>
        <v>0</v>
      </c>
      <c r="BE115" s="606">
        <f t="shared" si="62"/>
        <v>0</v>
      </c>
      <c r="BF115" s="549">
        <f t="shared" si="63"/>
        <v>0</v>
      </c>
      <c r="BG115" s="606">
        <f t="shared" si="64"/>
        <v>0</v>
      </c>
      <c r="BH115" s="600" t="s">
        <v>475</v>
      </c>
      <c r="BI115" s="600" t="s">
        <v>475</v>
      </c>
      <c r="BJ115" s="606">
        <f t="shared" si="87"/>
        <v>0</v>
      </c>
      <c r="BK115" s="606" t="str">
        <f t="shared" si="66"/>
        <v>n/a</v>
      </c>
      <c r="BL115" s="428" t="s">
        <v>475</v>
      </c>
      <c r="BM115" s="548" t="str">
        <f t="shared" si="67"/>
        <v>n/a</v>
      </c>
      <c r="BN115" s="606" t="str">
        <f t="shared" si="68"/>
        <v>n/a</v>
      </c>
      <c r="BO115" s="606" t="str">
        <f t="shared" si="69"/>
        <v>n/a</v>
      </c>
      <c r="BP115" s="428" t="s">
        <v>475</v>
      </c>
      <c r="BQ115" s="606" t="s">
        <v>475</v>
      </c>
      <c r="BR115" s="428" t="s">
        <v>475</v>
      </c>
      <c r="BS115" s="548" t="str">
        <f t="shared" si="70"/>
        <v>n/a</v>
      </c>
      <c r="BT115" s="607" t="str">
        <f t="shared" si="71"/>
        <v>n/a</v>
      </c>
      <c r="BU115" s="325">
        <v>0.7</v>
      </c>
      <c r="BV115" s="650" t="str">
        <f t="shared" si="72"/>
        <v>n/a</v>
      </c>
      <c r="BW115" s="1165" t="s">
        <v>891</v>
      </c>
      <c r="BX115" s="602" t="s">
        <v>475</v>
      </c>
      <c r="BY115" s="1189"/>
      <c r="BZ115" s="1189"/>
      <c r="CA115" s="608" t="str">
        <f t="shared" si="73"/>
        <v>n/a</v>
      </c>
      <c r="CB115" s="428">
        <v>0</v>
      </c>
      <c r="CC115" s="428">
        <v>0</v>
      </c>
      <c r="CD115" s="609" t="str">
        <f t="shared" si="74"/>
        <v>n/a</v>
      </c>
      <c r="CE115" s="610" t="str">
        <f t="shared" si="75"/>
        <v>n/a</v>
      </c>
      <c r="CF115" s="609" t="str">
        <f t="shared" si="76"/>
        <v>n/a</v>
      </c>
      <c r="CG115" s="658" t="str">
        <f t="shared" si="77"/>
        <v>n/a</v>
      </c>
      <c r="CH115" s="743" t="s">
        <v>893</v>
      </c>
      <c r="CI115" s="330">
        <v>0</v>
      </c>
      <c r="CJ115" s="664">
        <f t="shared" si="78"/>
        <v>0</v>
      </c>
      <c r="CK115" s="328">
        <v>0</v>
      </c>
      <c r="CL115" s="611" t="s">
        <v>671</v>
      </c>
      <c r="CM115" s="428" t="s">
        <v>475</v>
      </c>
      <c r="CN115" s="428" t="s">
        <v>475</v>
      </c>
      <c r="CO115" s="428" t="s">
        <v>38</v>
      </c>
      <c r="CP115" s="570" t="s">
        <v>170</v>
      </c>
      <c r="CQ115" s="1167" t="s">
        <v>894</v>
      </c>
      <c r="CS115" s="1069">
        <f t="shared" si="79"/>
        <v>0</v>
      </c>
      <c r="CT115" s="1069">
        <f t="shared" si="80"/>
        <v>0</v>
      </c>
      <c r="CU115" s="1066">
        <f t="shared" si="81"/>
        <v>0</v>
      </c>
      <c r="CV115" s="1066">
        <f t="shared" si="82"/>
        <v>0</v>
      </c>
      <c r="CW115" s="1082">
        <f t="shared" si="83"/>
        <v>0.8075</v>
      </c>
      <c r="CX115" s="1082">
        <f t="shared" si="84"/>
        <v>1.292</v>
      </c>
    </row>
    <row r="116" spans="1:102" ht="21" customHeight="1">
      <c r="A116" s="358"/>
      <c r="B116" s="402" t="s">
        <v>749</v>
      </c>
      <c r="C116" s="603" t="s">
        <v>1042</v>
      </c>
      <c r="D116" s="603" t="s">
        <v>799</v>
      </c>
      <c r="E116" s="1058" t="s">
        <v>1043</v>
      </c>
      <c r="F116" s="731" t="s">
        <v>796</v>
      </c>
      <c r="G116" s="1051"/>
      <c r="H116" s="1051"/>
      <c r="I116" s="560" t="s">
        <v>33</v>
      </c>
      <c r="J116" s="560" t="s">
        <v>34</v>
      </c>
      <c r="K116" s="604" t="s">
        <v>607</v>
      </c>
      <c r="L116" s="585">
        <v>0</v>
      </c>
      <c r="M116" s="473">
        <v>0</v>
      </c>
      <c r="N116" s="617">
        <v>1982</v>
      </c>
      <c r="O116" s="328"/>
      <c r="P116" s="718" t="str">
        <f t="shared" si="43"/>
        <v>3. Large</v>
      </c>
      <c r="Q116" s="965" t="s">
        <v>926</v>
      </c>
      <c r="R116" s="1138"/>
      <c r="S116" s="622" t="s">
        <v>143</v>
      </c>
      <c r="T116" s="323" t="str">
        <f t="shared" si="44"/>
        <v>Covered</v>
      </c>
      <c r="U116" s="561">
        <v>42376</v>
      </c>
      <c r="V116" s="1143"/>
      <c r="W116" s="558" t="s">
        <v>152</v>
      </c>
      <c r="X116" s="627">
        <v>0</v>
      </c>
      <c r="Y116" s="473">
        <v>0</v>
      </c>
      <c r="Z116" s="617" t="s">
        <v>43</v>
      </c>
      <c r="AA116" s="627">
        <v>2</v>
      </c>
      <c r="AB116" s="473">
        <v>20</v>
      </c>
      <c r="AC116" s="473">
        <v>0</v>
      </c>
      <c r="AD116" s="473">
        <v>2</v>
      </c>
      <c r="AE116" s="617"/>
      <c r="AF116" s="599">
        <v>0</v>
      </c>
      <c r="AG116" s="325">
        <v>0</v>
      </c>
      <c r="AH116" s="630">
        <f t="shared" si="45"/>
        <v>1</v>
      </c>
      <c r="AI116" s="574">
        <f t="shared" si="46"/>
        <v>1982</v>
      </c>
      <c r="AJ116" s="605">
        <f t="shared" si="47"/>
        <v>1</v>
      </c>
      <c r="AK116" s="574">
        <f t="shared" si="48"/>
        <v>1982</v>
      </c>
      <c r="AL116" s="605">
        <f t="shared" si="49"/>
        <v>1</v>
      </c>
      <c r="AM116" s="574">
        <f t="shared" si="50"/>
        <v>1982</v>
      </c>
      <c r="AN116" s="605" t="str">
        <f t="shared" si="51"/>
        <v>80-100%</v>
      </c>
      <c r="AO116" s="605">
        <f t="shared" si="52"/>
        <v>0</v>
      </c>
      <c r="AP116" s="574">
        <f t="shared" si="53"/>
        <v>0</v>
      </c>
      <c r="AQ116" s="574" t="str">
        <f t="shared" si="54"/>
        <v>yes</v>
      </c>
      <c r="AR116" s="574">
        <f t="shared" si="55"/>
        <v>0</v>
      </c>
      <c r="AS116" s="574">
        <f t="shared" si="56"/>
        <v>0</v>
      </c>
      <c r="AT116" s="574">
        <f t="shared" si="57"/>
        <v>0</v>
      </c>
      <c r="AU116" s="1123">
        <v>1</v>
      </c>
      <c r="AV116" s="635">
        <f t="shared" si="58"/>
        <v>1982</v>
      </c>
      <c r="AW116" s="638"/>
      <c r="AX116" s="740">
        <v>0</v>
      </c>
      <c r="AY116" s="428">
        <v>71</v>
      </c>
      <c r="AZ116" s="428">
        <v>42</v>
      </c>
      <c r="BA116" s="473" t="s">
        <v>963</v>
      </c>
      <c r="BB116" s="548">
        <f t="shared" si="59"/>
        <v>1</v>
      </c>
      <c r="BC116" s="606">
        <f t="shared" si="60"/>
        <v>1982</v>
      </c>
      <c r="BD116" s="548">
        <f t="shared" si="61"/>
        <v>1</v>
      </c>
      <c r="BE116" s="606">
        <f t="shared" si="62"/>
        <v>1982</v>
      </c>
      <c r="BF116" s="549">
        <f t="shared" si="63"/>
        <v>0</v>
      </c>
      <c r="BG116" s="606">
        <f t="shared" si="64"/>
        <v>0</v>
      </c>
      <c r="BH116" s="601" t="s">
        <v>475</v>
      </c>
      <c r="BI116" s="600" t="s">
        <v>475</v>
      </c>
      <c r="BJ116" s="606">
        <f t="shared" si="87"/>
        <v>0</v>
      </c>
      <c r="BK116" s="606" t="str">
        <f t="shared" si="66"/>
        <v>n/a</v>
      </c>
      <c r="BL116" s="428" t="s">
        <v>475</v>
      </c>
      <c r="BM116" s="548" t="str">
        <f t="shared" si="67"/>
        <v>n/a</v>
      </c>
      <c r="BN116" s="606" t="str">
        <f t="shared" si="68"/>
        <v>n/a</v>
      </c>
      <c r="BO116" s="606" t="str">
        <f t="shared" si="69"/>
        <v>n/a</v>
      </c>
      <c r="BP116" s="578" t="s">
        <v>475</v>
      </c>
      <c r="BQ116" s="606" t="s">
        <v>475</v>
      </c>
      <c r="BR116" s="519" t="s">
        <v>475</v>
      </c>
      <c r="BS116" s="548" t="str">
        <f t="shared" si="70"/>
        <v>n/a</v>
      </c>
      <c r="BT116" s="607" t="str">
        <f t="shared" si="71"/>
        <v>n/a</v>
      </c>
      <c r="BU116" s="325">
        <v>1</v>
      </c>
      <c r="BV116" s="650" t="str">
        <f t="shared" si="72"/>
        <v>n/a</v>
      </c>
      <c r="BW116" s="325" t="s">
        <v>567</v>
      </c>
      <c r="BX116" s="602" t="s">
        <v>475</v>
      </c>
      <c r="BY116" s="1189"/>
      <c r="BZ116" s="1189"/>
      <c r="CA116" s="608" t="str">
        <f t="shared" si="73"/>
        <v>n/a</v>
      </c>
      <c r="CB116" s="428">
        <v>0</v>
      </c>
      <c r="CC116" s="428">
        <v>0</v>
      </c>
      <c r="CD116" s="609" t="str">
        <f t="shared" si="74"/>
        <v>n/a</v>
      </c>
      <c r="CE116" s="610" t="str">
        <f t="shared" si="75"/>
        <v>n/a</v>
      </c>
      <c r="CF116" s="609" t="str">
        <f t="shared" si="76"/>
        <v>n/a</v>
      </c>
      <c r="CG116" s="658" t="str">
        <f t="shared" si="77"/>
        <v>n/a</v>
      </c>
      <c r="CH116" s="328" t="s">
        <v>809</v>
      </c>
      <c r="CI116" s="330">
        <v>0.8</v>
      </c>
      <c r="CJ116" s="664">
        <f t="shared" si="78"/>
        <v>1585.6000000000001</v>
      </c>
      <c r="CK116" s="328">
        <v>2</v>
      </c>
      <c r="CL116" s="611" t="s">
        <v>671</v>
      </c>
      <c r="CM116" s="428" t="s">
        <v>475</v>
      </c>
      <c r="CN116" s="428" t="s">
        <v>475</v>
      </c>
      <c r="CO116" s="428" t="s">
        <v>38</v>
      </c>
      <c r="CP116" s="570" t="s">
        <v>170</v>
      </c>
      <c r="CQ116" s="672"/>
      <c r="CS116" s="1069">
        <f t="shared" si="79"/>
        <v>1</v>
      </c>
      <c r="CT116" s="1069">
        <f t="shared" si="80"/>
        <v>1</v>
      </c>
      <c r="CU116" s="1066">
        <f t="shared" si="81"/>
        <v>1</v>
      </c>
      <c r="CV116" s="1066">
        <f t="shared" si="82"/>
        <v>1</v>
      </c>
      <c r="CW116" s="1082">
        <f t="shared" si="83"/>
        <v>0</v>
      </c>
      <c r="CX116" s="1082">
        <f t="shared" si="84"/>
        <v>0</v>
      </c>
    </row>
    <row r="117" spans="1:102" ht="21" customHeight="1">
      <c r="A117" s="358"/>
      <c r="B117" s="402" t="s">
        <v>749</v>
      </c>
      <c r="C117" s="603"/>
      <c r="D117" s="603"/>
      <c r="E117" s="1058"/>
      <c r="F117" s="731" t="s">
        <v>785</v>
      </c>
      <c r="G117" s="1051"/>
      <c r="H117" s="1051"/>
      <c r="I117" s="560" t="s">
        <v>33</v>
      </c>
      <c r="J117" s="560" t="s">
        <v>45</v>
      </c>
      <c r="K117" s="604" t="s">
        <v>607</v>
      </c>
      <c r="L117" s="585">
        <v>0</v>
      </c>
      <c r="M117" s="473">
        <v>0</v>
      </c>
      <c r="N117" s="617">
        <v>63</v>
      </c>
      <c r="O117" s="328"/>
      <c r="P117" s="718" t="str">
        <f t="shared" si="43"/>
        <v>1. Small</v>
      </c>
      <c r="Q117" s="965" t="s">
        <v>926</v>
      </c>
      <c r="R117" s="1138"/>
      <c r="S117" s="622" t="s">
        <v>143</v>
      </c>
      <c r="T117" s="323" t="str">
        <f t="shared" si="44"/>
        <v>Covered</v>
      </c>
      <c r="U117" s="561">
        <v>42376</v>
      </c>
      <c r="V117" s="1143"/>
      <c r="W117" s="558" t="s">
        <v>152</v>
      </c>
      <c r="X117" s="627">
        <v>0</v>
      </c>
      <c r="Y117" s="473">
        <v>0</v>
      </c>
      <c r="Z117" s="617" t="s">
        <v>43</v>
      </c>
      <c r="AA117" s="627">
        <v>0</v>
      </c>
      <c r="AB117" s="473">
        <v>1</v>
      </c>
      <c r="AC117" s="473">
        <v>0</v>
      </c>
      <c r="AD117" s="473">
        <v>0</v>
      </c>
      <c r="AE117" s="617"/>
      <c r="AF117" s="599">
        <v>0</v>
      </c>
      <c r="AG117" s="325">
        <v>0</v>
      </c>
      <c r="AH117" s="630">
        <f t="shared" si="45"/>
        <v>1</v>
      </c>
      <c r="AI117" s="574">
        <f t="shared" si="46"/>
        <v>63</v>
      </c>
      <c r="AJ117" s="605">
        <f t="shared" si="47"/>
        <v>1</v>
      </c>
      <c r="AK117" s="574">
        <f t="shared" si="48"/>
        <v>63</v>
      </c>
      <c r="AL117" s="605">
        <f t="shared" si="49"/>
        <v>1</v>
      </c>
      <c r="AM117" s="574">
        <f t="shared" si="50"/>
        <v>63</v>
      </c>
      <c r="AN117" s="605" t="str">
        <f t="shared" si="51"/>
        <v>80-100%</v>
      </c>
      <c r="AO117" s="605">
        <f t="shared" si="52"/>
        <v>0</v>
      </c>
      <c r="AP117" s="574">
        <f t="shared" si="53"/>
        <v>0</v>
      </c>
      <c r="AQ117" s="574" t="str">
        <f t="shared" si="54"/>
        <v>no</v>
      </c>
      <c r="AR117" s="574">
        <f t="shared" si="55"/>
        <v>0</v>
      </c>
      <c r="AS117" s="574">
        <f t="shared" si="56"/>
        <v>0</v>
      </c>
      <c r="AT117" s="574">
        <f t="shared" si="57"/>
        <v>0</v>
      </c>
      <c r="AU117" s="1123">
        <v>1</v>
      </c>
      <c r="AV117" s="635">
        <f t="shared" si="58"/>
        <v>63</v>
      </c>
      <c r="AW117" s="1157"/>
      <c r="AX117" s="740">
        <v>0</v>
      </c>
      <c r="AY117" s="428">
        <v>3</v>
      </c>
      <c r="AZ117" s="428">
        <v>42</v>
      </c>
      <c r="BA117" s="473" t="s">
        <v>526</v>
      </c>
      <c r="BB117" s="548">
        <f t="shared" si="59"/>
        <v>1</v>
      </c>
      <c r="BC117" s="606">
        <f t="shared" si="60"/>
        <v>63</v>
      </c>
      <c r="BD117" s="548">
        <f t="shared" si="61"/>
        <v>1</v>
      </c>
      <c r="BE117" s="606">
        <f t="shared" si="62"/>
        <v>63</v>
      </c>
      <c r="BF117" s="549">
        <f t="shared" si="63"/>
        <v>0</v>
      </c>
      <c r="BG117" s="606">
        <f t="shared" si="64"/>
        <v>0</v>
      </c>
      <c r="BH117" s="601" t="s">
        <v>475</v>
      </c>
      <c r="BI117" s="600" t="s">
        <v>475</v>
      </c>
      <c r="BJ117" s="606">
        <f t="shared" si="87"/>
        <v>0</v>
      </c>
      <c r="BK117" s="606" t="str">
        <f t="shared" si="66"/>
        <v>n/a</v>
      </c>
      <c r="BL117" s="428" t="s">
        <v>475</v>
      </c>
      <c r="BM117" s="548" t="str">
        <f t="shared" si="67"/>
        <v>n/a</v>
      </c>
      <c r="BN117" s="606" t="str">
        <f t="shared" si="68"/>
        <v>n/a</v>
      </c>
      <c r="BO117" s="606" t="str">
        <f t="shared" si="69"/>
        <v>n/a</v>
      </c>
      <c r="BP117" s="578" t="s">
        <v>475</v>
      </c>
      <c r="BQ117" s="606" t="s">
        <v>475</v>
      </c>
      <c r="BR117" s="519" t="s">
        <v>475</v>
      </c>
      <c r="BS117" s="548" t="str">
        <f t="shared" si="70"/>
        <v>n/a</v>
      </c>
      <c r="BT117" s="607" t="str">
        <f t="shared" si="71"/>
        <v>n/a</v>
      </c>
      <c r="BU117" s="325">
        <v>1</v>
      </c>
      <c r="BV117" s="650" t="str">
        <f t="shared" si="72"/>
        <v>n/a</v>
      </c>
      <c r="BW117" s="325" t="s">
        <v>567</v>
      </c>
      <c r="BX117" s="602" t="s">
        <v>475</v>
      </c>
      <c r="BY117" s="1189"/>
      <c r="BZ117" s="1189"/>
      <c r="CA117" s="608" t="str">
        <f t="shared" si="73"/>
        <v>n/a</v>
      </c>
      <c r="CB117" s="428">
        <v>0</v>
      </c>
      <c r="CC117" s="428">
        <v>0</v>
      </c>
      <c r="CD117" s="609" t="str">
        <f t="shared" si="74"/>
        <v>n/a</v>
      </c>
      <c r="CE117" s="610" t="str">
        <f t="shared" si="75"/>
        <v>n/a</v>
      </c>
      <c r="CF117" s="609" t="str">
        <f t="shared" si="76"/>
        <v>n/a</v>
      </c>
      <c r="CG117" s="658" t="str">
        <f t="shared" si="77"/>
        <v>n/a</v>
      </c>
      <c r="CH117" s="328" t="s">
        <v>809</v>
      </c>
      <c r="CI117" s="330">
        <v>0.2</v>
      </c>
      <c r="CJ117" s="664">
        <f t="shared" si="78"/>
        <v>12.600000000000001</v>
      </c>
      <c r="CK117" s="328">
        <v>2</v>
      </c>
      <c r="CL117" s="611" t="s">
        <v>671</v>
      </c>
      <c r="CM117" s="428" t="s">
        <v>475</v>
      </c>
      <c r="CN117" s="428" t="s">
        <v>475</v>
      </c>
      <c r="CO117" s="428" t="s">
        <v>38</v>
      </c>
      <c r="CP117" s="570" t="s">
        <v>170</v>
      </c>
      <c r="CQ117" s="672"/>
      <c r="CS117" s="1069">
        <f t="shared" si="79"/>
        <v>1</v>
      </c>
      <c r="CT117" s="1069">
        <f t="shared" si="80"/>
        <v>1</v>
      </c>
      <c r="CU117" s="1066">
        <f t="shared" si="81"/>
        <v>1</v>
      </c>
      <c r="CV117" s="1066">
        <f t="shared" si="82"/>
        <v>1</v>
      </c>
      <c r="CW117" s="1082">
        <f t="shared" si="83"/>
        <v>0</v>
      </c>
      <c r="CX117" s="1082">
        <f t="shared" si="84"/>
        <v>0</v>
      </c>
    </row>
    <row r="118" spans="1:102" s="322" customFormat="1" ht="21" customHeight="1">
      <c r="A118" s="358"/>
      <c r="B118" s="715" t="s">
        <v>749</v>
      </c>
      <c r="C118" s="1075"/>
      <c r="D118" s="1075"/>
      <c r="E118" s="1058"/>
      <c r="F118" s="1086" t="s">
        <v>871</v>
      </c>
      <c r="G118" s="1051"/>
      <c r="H118" s="1051"/>
      <c r="I118" s="560" t="s">
        <v>33</v>
      </c>
      <c r="J118" s="560" t="s">
        <v>34</v>
      </c>
      <c r="K118" s="604" t="s">
        <v>607</v>
      </c>
      <c r="L118" s="585">
        <v>0</v>
      </c>
      <c r="M118" s="473">
        <v>0</v>
      </c>
      <c r="N118" s="570">
        <v>1583</v>
      </c>
      <c r="O118" s="328"/>
      <c r="P118" s="718" t="str">
        <f t="shared" si="43"/>
        <v>3. Large</v>
      </c>
      <c r="Q118" s="965" t="s">
        <v>926</v>
      </c>
      <c r="R118" s="1138"/>
      <c r="S118" s="622" t="s">
        <v>811</v>
      </c>
      <c r="T118" s="323" t="str">
        <f t="shared" si="44"/>
        <v>Covered</v>
      </c>
      <c r="U118" s="561">
        <v>42376</v>
      </c>
      <c r="V118" s="1143"/>
      <c r="W118" s="558" t="s">
        <v>152</v>
      </c>
      <c r="X118" s="627">
        <v>0</v>
      </c>
      <c r="Y118" s="473">
        <v>0</v>
      </c>
      <c r="Z118" s="617" t="s">
        <v>43</v>
      </c>
      <c r="AA118" s="627">
        <v>0</v>
      </c>
      <c r="AB118" s="473"/>
      <c r="AC118" s="473">
        <v>0</v>
      </c>
      <c r="AD118" s="473"/>
      <c r="AE118" s="617"/>
      <c r="AF118" s="599">
        <v>0</v>
      </c>
      <c r="AG118" s="325">
        <v>0</v>
      </c>
      <c r="AH118" s="630">
        <f t="shared" si="45"/>
        <v>0</v>
      </c>
      <c r="AI118" s="574">
        <f t="shared" si="46"/>
        <v>0</v>
      </c>
      <c r="AJ118" s="605">
        <f t="shared" si="47"/>
        <v>0</v>
      </c>
      <c r="AK118" s="574">
        <f t="shared" si="48"/>
        <v>0</v>
      </c>
      <c r="AL118" s="605">
        <f t="shared" si="49"/>
        <v>0</v>
      </c>
      <c r="AM118" s="574">
        <f t="shared" si="50"/>
        <v>0</v>
      </c>
      <c r="AN118" s="605" t="str">
        <f t="shared" si="51"/>
        <v>0-10%</v>
      </c>
      <c r="AO118" s="605">
        <f t="shared" si="52"/>
        <v>0</v>
      </c>
      <c r="AP118" s="574">
        <f t="shared" si="53"/>
        <v>0</v>
      </c>
      <c r="AQ118" s="574" t="str">
        <f t="shared" si="54"/>
        <v>no</v>
      </c>
      <c r="AR118" s="574">
        <f t="shared" si="55"/>
        <v>6.3319999999999999</v>
      </c>
      <c r="AS118" s="574">
        <f t="shared" si="56"/>
        <v>0</v>
      </c>
      <c r="AT118" s="574">
        <f t="shared" si="57"/>
        <v>0</v>
      </c>
      <c r="AU118" s="330">
        <v>0.9</v>
      </c>
      <c r="AV118" s="635">
        <f t="shared" si="58"/>
        <v>1424.7</v>
      </c>
      <c r="AW118" s="739" t="s">
        <v>884</v>
      </c>
      <c r="AX118" s="740">
        <v>0</v>
      </c>
      <c r="AY118" s="428"/>
      <c r="AZ118" s="428">
        <v>42</v>
      </c>
      <c r="BA118" s="473"/>
      <c r="BB118" s="548">
        <f t="shared" si="59"/>
        <v>0</v>
      </c>
      <c r="BC118" s="606">
        <f t="shared" si="60"/>
        <v>0</v>
      </c>
      <c r="BD118" s="548">
        <f t="shared" si="61"/>
        <v>0</v>
      </c>
      <c r="BE118" s="606">
        <f t="shared" si="62"/>
        <v>0</v>
      </c>
      <c r="BF118" s="549">
        <f t="shared" si="63"/>
        <v>0</v>
      </c>
      <c r="BG118" s="606">
        <f t="shared" si="64"/>
        <v>0</v>
      </c>
      <c r="BH118" s="600" t="s">
        <v>475</v>
      </c>
      <c r="BI118" s="600" t="s">
        <v>475</v>
      </c>
      <c r="BJ118" s="606">
        <f t="shared" si="87"/>
        <v>0</v>
      </c>
      <c r="BK118" s="606" t="str">
        <f t="shared" si="66"/>
        <v>n/a</v>
      </c>
      <c r="BL118" s="428" t="s">
        <v>475</v>
      </c>
      <c r="BM118" s="548" t="str">
        <f t="shared" si="67"/>
        <v>n/a</v>
      </c>
      <c r="BN118" s="606" t="str">
        <f t="shared" si="68"/>
        <v>n/a</v>
      </c>
      <c r="BO118" s="606" t="str">
        <f t="shared" si="69"/>
        <v>n/a</v>
      </c>
      <c r="BP118" s="428" t="s">
        <v>475</v>
      </c>
      <c r="BQ118" s="606" t="s">
        <v>475</v>
      </c>
      <c r="BR118" s="428" t="s">
        <v>475</v>
      </c>
      <c r="BS118" s="548" t="str">
        <f t="shared" si="70"/>
        <v>n/a</v>
      </c>
      <c r="BT118" s="607" t="str">
        <f t="shared" si="71"/>
        <v>n/a</v>
      </c>
      <c r="BU118" s="325">
        <v>0.7</v>
      </c>
      <c r="BV118" s="650" t="str">
        <f t="shared" si="72"/>
        <v>n/a</v>
      </c>
      <c r="BW118" s="1165" t="s">
        <v>891</v>
      </c>
      <c r="BX118" s="602" t="s">
        <v>475</v>
      </c>
      <c r="BY118" s="1189"/>
      <c r="BZ118" s="1189"/>
      <c r="CA118" s="608" t="str">
        <f t="shared" si="73"/>
        <v>n/a</v>
      </c>
      <c r="CB118" s="428">
        <v>0</v>
      </c>
      <c r="CC118" s="428">
        <v>0</v>
      </c>
      <c r="CD118" s="609" t="str">
        <f t="shared" si="74"/>
        <v>n/a</v>
      </c>
      <c r="CE118" s="610" t="str">
        <f t="shared" si="75"/>
        <v>n/a</v>
      </c>
      <c r="CF118" s="609" t="str">
        <f t="shared" si="76"/>
        <v>n/a</v>
      </c>
      <c r="CG118" s="658" t="str">
        <f t="shared" si="77"/>
        <v>n/a</v>
      </c>
      <c r="CH118" s="743" t="s">
        <v>893</v>
      </c>
      <c r="CI118" s="330">
        <v>0</v>
      </c>
      <c r="CJ118" s="664">
        <f t="shared" si="78"/>
        <v>0</v>
      </c>
      <c r="CK118" s="328">
        <v>0</v>
      </c>
      <c r="CL118" s="611" t="s">
        <v>671</v>
      </c>
      <c r="CM118" s="428" t="s">
        <v>475</v>
      </c>
      <c r="CN118" s="428" t="s">
        <v>475</v>
      </c>
      <c r="CO118" s="428" t="s">
        <v>38</v>
      </c>
      <c r="CP118" s="570" t="s">
        <v>170</v>
      </c>
      <c r="CQ118" s="1167" t="s">
        <v>894</v>
      </c>
      <c r="CS118" s="1069">
        <f t="shared" si="79"/>
        <v>0</v>
      </c>
      <c r="CT118" s="1069">
        <f t="shared" si="80"/>
        <v>0</v>
      </c>
      <c r="CU118" s="1066">
        <f t="shared" si="81"/>
        <v>0</v>
      </c>
      <c r="CV118" s="1066">
        <f t="shared" si="82"/>
        <v>0</v>
      </c>
      <c r="CW118" s="1082">
        <f t="shared" si="83"/>
        <v>3.9575</v>
      </c>
      <c r="CX118" s="1082">
        <f t="shared" si="84"/>
        <v>6.3319999999999999</v>
      </c>
    </row>
    <row r="119" spans="1:102" s="322" customFormat="1" ht="21" customHeight="1">
      <c r="A119" s="358"/>
      <c r="B119" s="402" t="s">
        <v>749</v>
      </c>
      <c r="C119" s="603" t="s">
        <v>1042</v>
      </c>
      <c r="D119" s="603" t="s">
        <v>799</v>
      </c>
      <c r="E119" s="1058" t="s">
        <v>1046</v>
      </c>
      <c r="F119" s="733" t="s">
        <v>801</v>
      </c>
      <c r="G119" s="1051"/>
      <c r="H119" s="1051"/>
      <c r="I119" s="560" t="s">
        <v>33</v>
      </c>
      <c r="J119" s="560" t="s">
        <v>34</v>
      </c>
      <c r="K119" s="604" t="s">
        <v>607</v>
      </c>
      <c r="L119" s="585">
        <v>0</v>
      </c>
      <c r="M119" s="473">
        <v>0</v>
      </c>
      <c r="N119" s="617">
        <v>430</v>
      </c>
      <c r="O119" s="328"/>
      <c r="P119" s="718" t="str">
        <f t="shared" si="43"/>
        <v>1. Small</v>
      </c>
      <c r="Q119" s="965" t="s">
        <v>926</v>
      </c>
      <c r="R119" s="1138"/>
      <c r="S119" s="622" t="s">
        <v>143</v>
      </c>
      <c r="T119" s="323" t="str">
        <f t="shared" si="44"/>
        <v>Covered</v>
      </c>
      <c r="U119" s="561">
        <v>42376</v>
      </c>
      <c r="V119" s="1143"/>
      <c r="W119" s="558" t="s">
        <v>152</v>
      </c>
      <c r="X119" s="627">
        <v>0</v>
      </c>
      <c r="Y119" s="473">
        <v>0</v>
      </c>
      <c r="Z119" s="617" t="s">
        <v>43</v>
      </c>
      <c r="AA119" s="627">
        <v>0</v>
      </c>
      <c r="AB119" s="473">
        <v>2</v>
      </c>
      <c r="AC119" s="473">
        <v>0</v>
      </c>
      <c r="AD119" s="428">
        <v>0</v>
      </c>
      <c r="AE119" s="570"/>
      <c r="AF119" s="599">
        <v>0</v>
      </c>
      <c r="AG119" s="325">
        <v>0</v>
      </c>
      <c r="AH119" s="630">
        <f t="shared" si="45"/>
        <v>1</v>
      </c>
      <c r="AI119" s="574">
        <f t="shared" si="46"/>
        <v>430</v>
      </c>
      <c r="AJ119" s="605">
        <f t="shared" si="47"/>
        <v>1</v>
      </c>
      <c r="AK119" s="574">
        <f t="shared" si="48"/>
        <v>430</v>
      </c>
      <c r="AL119" s="605">
        <f t="shared" si="49"/>
        <v>1</v>
      </c>
      <c r="AM119" s="574">
        <f t="shared" si="50"/>
        <v>430</v>
      </c>
      <c r="AN119" s="605" t="str">
        <f t="shared" si="51"/>
        <v>80-100%</v>
      </c>
      <c r="AO119" s="605">
        <f t="shared" si="52"/>
        <v>0</v>
      </c>
      <c r="AP119" s="574">
        <f t="shared" si="53"/>
        <v>0</v>
      </c>
      <c r="AQ119" s="574" t="str">
        <f t="shared" si="54"/>
        <v>no</v>
      </c>
      <c r="AR119" s="574">
        <f t="shared" si="55"/>
        <v>0</v>
      </c>
      <c r="AS119" s="574">
        <f t="shared" si="56"/>
        <v>0</v>
      </c>
      <c r="AT119" s="574">
        <f t="shared" si="57"/>
        <v>0</v>
      </c>
      <c r="AU119" s="1123">
        <v>1</v>
      </c>
      <c r="AV119" s="635">
        <f t="shared" si="58"/>
        <v>430</v>
      </c>
      <c r="AW119" s="638"/>
      <c r="AX119" s="740">
        <v>0</v>
      </c>
      <c r="AY119" s="428">
        <v>14</v>
      </c>
      <c r="AZ119" s="428">
        <v>42</v>
      </c>
      <c r="BA119" s="473" t="s">
        <v>526</v>
      </c>
      <c r="BB119" s="548">
        <f t="shared" si="59"/>
        <v>1</v>
      </c>
      <c r="BC119" s="606">
        <f t="shared" si="60"/>
        <v>430</v>
      </c>
      <c r="BD119" s="548">
        <f t="shared" si="61"/>
        <v>1</v>
      </c>
      <c r="BE119" s="606">
        <f t="shared" si="62"/>
        <v>430</v>
      </c>
      <c r="BF119" s="549">
        <f t="shared" si="63"/>
        <v>0</v>
      </c>
      <c r="BG119" s="606">
        <f t="shared" si="64"/>
        <v>0</v>
      </c>
      <c r="BH119" s="601" t="s">
        <v>475</v>
      </c>
      <c r="BI119" s="600" t="s">
        <v>475</v>
      </c>
      <c r="BJ119" s="606">
        <f t="shared" si="87"/>
        <v>0</v>
      </c>
      <c r="BK119" s="606" t="str">
        <f t="shared" si="66"/>
        <v>n/a</v>
      </c>
      <c r="BL119" s="428" t="s">
        <v>475</v>
      </c>
      <c r="BM119" s="548" t="str">
        <f t="shared" si="67"/>
        <v>n/a</v>
      </c>
      <c r="BN119" s="606" t="str">
        <f t="shared" si="68"/>
        <v>n/a</v>
      </c>
      <c r="BO119" s="606" t="str">
        <f t="shared" si="69"/>
        <v>n/a</v>
      </c>
      <c r="BP119" s="578" t="s">
        <v>475</v>
      </c>
      <c r="BQ119" s="606" t="s">
        <v>475</v>
      </c>
      <c r="BR119" s="519" t="s">
        <v>475</v>
      </c>
      <c r="BS119" s="548" t="str">
        <f t="shared" si="70"/>
        <v>n/a</v>
      </c>
      <c r="BT119" s="607" t="str">
        <f t="shared" si="71"/>
        <v>n/a</v>
      </c>
      <c r="BU119" s="325">
        <v>1</v>
      </c>
      <c r="BV119" s="650" t="str">
        <f t="shared" si="72"/>
        <v>n/a</v>
      </c>
      <c r="BW119" s="325" t="s">
        <v>567</v>
      </c>
      <c r="BX119" s="602" t="s">
        <v>475</v>
      </c>
      <c r="BY119" s="1189"/>
      <c r="BZ119" s="1189"/>
      <c r="CA119" s="608" t="str">
        <f t="shared" si="73"/>
        <v>n/a</v>
      </c>
      <c r="CB119" s="428">
        <v>0</v>
      </c>
      <c r="CC119" s="428">
        <v>0</v>
      </c>
      <c r="CD119" s="609" t="str">
        <f t="shared" si="74"/>
        <v>n/a</v>
      </c>
      <c r="CE119" s="610" t="str">
        <f t="shared" si="75"/>
        <v>n/a</v>
      </c>
      <c r="CF119" s="609" t="str">
        <f t="shared" si="76"/>
        <v>n/a</v>
      </c>
      <c r="CG119" s="658" t="str">
        <f t="shared" si="77"/>
        <v>n/a</v>
      </c>
      <c r="CH119" s="328" t="s">
        <v>809</v>
      </c>
      <c r="CI119" s="330">
        <v>0.8</v>
      </c>
      <c r="CJ119" s="664">
        <f t="shared" si="78"/>
        <v>344</v>
      </c>
      <c r="CK119" s="328">
        <v>2</v>
      </c>
      <c r="CL119" s="611" t="s">
        <v>671</v>
      </c>
      <c r="CM119" s="428" t="s">
        <v>475</v>
      </c>
      <c r="CN119" s="428" t="s">
        <v>475</v>
      </c>
      <c r="CO119" s="428" t="s">
        <v>38</v>
      </c>
      <c r="CP119" s="570" t="s">
        <v>170</v>
      </c>
      <c r="CQ119" s="672"/>
      <c r="CS119" s="1069">
        <f t="shared" si="79"/>
        <v>1</v>
      </c>
      <c r="CT119" s="1069">
        <f t="shared" si="80"/>
        <v>1</v>
      </c>
      <c r="CU119" s="1066">
        <f t="shared" si="81"/>
        <v>1</v>
      </c>
      <c r="CV119" s="1066">
        <f t="shared" si="82"/>
        <v>1</v>
      </c>
      <c r="CW119" s="1082">
        <f t="shared" si="83"/>
        <v>0</v>
      </c>
      <c r="CX119" s="1082">
        <f t="shared" si="84"/>
        <v>0</v>
      </c>
    </row>
    <row r="120" spans="1:102" s="322" customFormat="1" ht="21" customHeight="1">
      <c r="A120" s="358"/>
      <c r="B120" s="715" t="s">
        <v>749</v>
      </c>
      <c r="C120" s="1075"/>
      <c r="D120" s="1075"/>
      <c r="E120" s="1058"/>
      <c r="F120" s="1086" t="s">
        <v>859</v>
      </c>
      <c r="G120" s="1051"/>
      <c r="H120" s="1051"/>
      <c r="I120" s="560" t="s">
        <v>33</v>
      </c>
      <c r="J120" s="560" t="s">
        <v>859</v>
      </c>
      <c r="K120" s="604" t="s">
        <v>607</v>
      </c>
      <c r="L120" s="585">
        <v>0</v>
      </c>
      <c r="M120" s="473">
        <v>0</v>
      </c>
      <c r="N120" s="716">
        <v>516</v>
      </c>
      <c r="O120" s="328"/>
      <c r="P120" s="718" t="str">
        <f t="shared" si="43"/>
        <v>2. Medium</v>
      </c>
      <c r="Q120" s="965" t="s">
        <v>926</v>
      </c>
      <c r="R120" s="1138"/>
      <c r="S120" s="622" t="s">
        <v>811</v>
      </c>
      <c r="T120" s="323" t="str">
        <f t="shared" si="44"/>
        <v>Covered</v>
      </c>
      <c r="U120" s="561">
        <v>42376</v>
      </c>
      <c r="V120" s="1143"/>
      <c r="W120" s="558" t="s">
        <v>152</v>
      </c>
      <c r="X120" s="627">
        <v>0</v>
      </c>
      <c r="Y120" s="473">
        <v>0</v>
      </c>
      <c r="Z120" s="617" t="s">
        <v>43</v>
      </c>
      <c r="AA120" s="627">
        <v>0</v>
      </c>
      <c r="AB120" s="473">
        <v>2</v>
      </c>
      <c r="AC120" s="473">
        <v>0</v>
      </c>
      <c r="AD120" s="473">
        <v>1</v>
      </c>
      <c r="AE120" s="617"/>
      <c r="AF120" s="599">
        <v>0</v>
      </c>
      <c r="AG120" s="325">
        <v>0</v>
      </c>
      <c r="AH120" s="630">
        <f t="shared" si="45"/>
        <v>0.96899224806201545</v>
      </c>
      <c r="AI120" s="574">
        <f t="shared" si="46"/>
        <v>500</v>
      </c>
      <c r="AJ120" s="605">
        <f t="shared" si="47"/>
        <v>0.96899224806201545</v>
      </c>
      <c r="AK120" s="574">
        <f t="shared" si="48"/>
        <v>500</v>
      </c>
      <c r="AL120" s="605">
        <f t="shared" si="49"/>
        <v>0.96899224806201545</v>
      </c>
      <c r="AM120" s="574">
        <f t="shared" si="50"/>
        <v>500</v>
      </c>
      <c r="AN120" s="605" t="str">
        <f t="shared" si="51"/>
        <v>80-100%</v>
      </c>
      <c r="AO120" s="605">
        <f t="shared" si="52"/>
        <v>0</v>
      </c>
      <c r="AP120" s="574">
        <f t="shared" si="53"/>
        <v>0</v>
      </c>
      <c r="AQ120" s="574" t="str">
        <f t="shared" si="54"/>
        <v>yes</v>
      </c>
      <c r="AR120" s="574">
        <f t="shared" si="55"/>
        <v>6.4000000000000057E-2</v>
      </c>
      <c r="AS120" s="574">
        <f t="shared" si="56"/>
        <v>0</v>
      </c>
      <c r="AT120" s="574">
        <f t="shared" si="57"/>
        <v>0</v>
      </c>
      <c r="AU120" s="330">
        <v>0.9</v>
      </c>
      <c r="AV120" s="635">
        <f t="shared" si="58"/>
        <v>464.40000000000003</v>
      </c>
      <c r="AW120" s="1155" t="s">
        <v>884</v>
      </c>
      <c r="AX120" s="740">
        <v>0</v>
      </c>
      <c r="AY120" s="428"/>
      <c r="AZ120" s="428">
        <v>42</v>
      </c>
      <c r="BA120" s="473"/>
      <c r="BB120" s="548">
        <f t="shared" si="59"/>
        <v>0</v>
      </c>
      <c r="BC120" s="606">
        <f t="shared" si="60"/>
        <v>0</v>
      </c>
      <c r="BD120" s="548">
        <f t="shared" si="61"/>
        <v>0</v>
      </c>
      <c r="BE120" s="606">
        <f t="shared" si="62"/>
        <v>0</v>
      </c>
      <c r="BF120" s="549">
        <f t="shared" si="63"/>
        <v>0</v>
      </c>
      <c r="BG120" s="606">
        <f t="shared" si="64"/>
        <v>0</v>
      </c>
      <c r="BH120" s="600" t="s">
        <v>475</v>
      </c>
      <c r="BI120" s="600" t="s">
        <v>475</v>
      </c>
      <c r="BJ120" s="606">
        <f t="shared" si="87"/>
        <v>0</v>
      </c>
      <c r="BK120" s="606" t="str">
        <f t="shared" si="66"/>
        <v>n/a</v>
      </c>
      <c r="BL120" s="428" t="s">
        <v>475</v>
      </c>
      <c r="BM120" s="548" t="str">
        <f t="shared" si="67"/>
        <v>n/a</v>
      </c>
      <c r="BN120" s="606" t="str">
        <f t="shared" si="68"/>
        <v>n/a</v>
      </c>
      <c r="BO120" s="606" t="str">
        <f t="shared" si="69"/>
        <v>n/a</v>
      </c>
      <c r="BP120" s="428" t="s">
        <v>475</v>
      </c>
      <c r="BQ120" s="606" t="s">
        <v>475</v>
      </c>
      <c r="BR120" s="428" t="s">
        <v>475</v>
      </c>
      <c r="BS120" s="548" t="str">
        <f t="shared" si="70"/>
        <v>n/a</v>
      </c>
      <c r="BT120" s="607" t="str">
        <f t="shared" si="71"/>
        <v>n/a</v>
      </c>
      <c r="BU120" s="325">
        <v>0.7</v>
      </c>
      <c r="BV120" s="650" t="str">
        <f t="shared" si="72"/>
        <v>n/a</v>
      </c>
      <c r="BW120" s="1165" t="s">
        <v>891</v>
      </c>
      <c r="BX120" s="602" t="s">
        <v>475</v>
      </c>
      <c r="BY120" s="1189"/>
      <c r="BZ120" s="1189"/>
      <c r="CA120" s="608" t="str">
        <f t="shared" si="73"/>
        <v>n/a</v>
      </c>
      <c r="CB120" s="428">
        <v>0</v>
      </c>
      <c r="CC120" s="428">
        <v>0</v>
      </c>
      <c r="CD120" s="609" t="str">
        <f t="shared" si="74"/>
        <v>n/a</v>
      </c>
      <c r="CE120" s="610" t="str">
        <f t="shared" si="75"/>
        <v>n/a</v>
      </c>
      <c r="CF120" s="609" t="str">
        <f t="shared" si="76"/>
        <v>n/a</v>
      </c>
      <c r="CG120" s="658" t="str">
        <f t="shared" si="77"/>
        <v>n/a</v>
      </c>
      <c r="CH120" s="743" t="s">
        <v>893</v>
      </c>
      <c r="CI120" s="330">
        <v>0</v>
      </c>
      <c r="CJ120" s="664">
        <f t="shared" si="78"/>
        <v>0</v>
      </c>
      <c r="CK120" s="328">
        <v>0</v>
      </c>
      <c r="CL120" s="611" t="s">
        <v>671</v>
      </c>
      <c r="CM120" s="428" t="s">
        <v>475</v>
      </c>
      <c r="CN120" s="428" t="s">
        <v>475</v>
      </c>
      <c r="CO120" s="428" t="s">
        <v>38</v>
      </c>
      <c r="CP120" s="570" t="s">
        <v>170</v>
      </c>
      <c r="CQ120" s="1167" t="s">
        <v>894</v>
      </c>
      <c r="CS120" s="1069">
        <f t="shared" si="79"/>
        <v>1</v>
      </c>
      <c r="CT120" s="1069">
        <f t="shared" si="80"/>
        <v>0.96899224806201545</v>
      </c>
      <c r="CU120" s="1066">
        <f t="shared" si="81"/>
        <v>1</v>
      </c>
      <c r="CV120" s="1066">
        <f t="shared" si="82"/>
        <v>0.96899224806201545</v>
      </c>
      <c r="CW120" s="1082">
        <f t="shared" si="83"/>
        <v>0</v>
      </c>
      <c r="CX120" s="1082">
        <f t="shared" si="84"/>
        <v>6.4000000000000057E-2</v>
      </c>
    </row>
    <row r="121" spans="1:102" s="322" customFormat="1" ht="21" customHeight="1">
      <c r="A121" s="358"/>
      <c r="B121" s="402" t="s">
        <v>749</v>
      </c>
      <c r="C121" s="603"/>
      <c r="D121" s="603"/>
      <c r="E121" s="1058"/>
      <c r="F121" s="733" t="s">
        <v>800</v>
      </c>
      <c r="G121" s="1051"/>
      <c r="H121" s="1051"/>
      <c r="I121" s="560" t="s">
        <v>33</v>
      </c>
      <c r="J121" s="560" t="s">
        <v>45</v>
      </c>
      <c r="K121" s="604" t="s">
        <v>607</v>
      </c>
      <c r="L121" s="585">
        <v>0</v>
      </c>
      <c r="M121" s="473">
        <v>0</v>
      </c>
      <c r="N121" s="617">
        <v>816</v>
      </c>
      <c r="O121" s="328"/>
      <c r="P121" s="718" t="str">
        <f t="shared" si="43"/>
        <v>2. Medium</v>
      </c>
      <c r="Q121" s="965" t="s">
        <v>926</v>
      </c>
      <c r="R121" s="1138"/>
      <c r="S121" s="622" t="s">
        <v>143</v>
      </c>
      <c r="T121" s="323" t="str">
        <f t="shared" si="44"/>
        <v>Covered</v>
      </c>
      <c r="U121" s="561">
        <v>42376</v>
      </c>
      <c r="V121" s="1143"/>
      <c r="W121" s="558" t="s">
        <v>152</v>
      </c>
      <c r="X121" s="627">
        <v>0</v>
      </c>
      <c r="Y121" s="473">
        <v>0</v>
      </c>
      <c r="Z121" s="617" t="s">
        <v>43</v>
      </c>
      <c r="AA121" s="627">
        <v>0</v>
      </c>
      <c r="AB121" s="473">
        <v>1</v>
      </c>
      <c r="AC121" s="473">
        <v>0</v>
      </c>
      <c r="AD121" s="428">
        <v>0</v>
      </c>
      <c r="AE121" s="570"/>
      <c r="AF121" s="599">
        <v>0</v>
      </c>
      <c r="AG121" s="325">
        <v>0</v>
      </c>
      <c r="AH121" s="630">
        <f t="shared" si="45"/>
        <v>0.30637254901960786</v>
      </c>
      <c r="AI121" s="574">
        <f t="shared" si="46"/>
        <v>250.00000000000003</v>
      </c>
      <c r="AJ121" s="605">
        <f t="shared" si="47"/>
        <v>0.30637254901960786</v>
      </c>
      <c r="AK121" s="574">
        <f t="shared" si="48"/>
        <v>250.00000000000003</v>
      </c>
      <c r="AL121" s="605">
        <f t="shared" si="49"/>
        <v>0.30637254901960786</v>
      </c>
      <c r="AM121" s="574">
        <f t="shared" si="50"/>
        <v>250.00000000000003</v>
      </c>
      <c r="AN121" s="605" t="str">
        <f t="shared" si="51"/>
        <v>30-45%</v>
      </c>
      <c r="AO121" s="605">
        <f t="shared" si="52"/>
        <v>0</v>
      </c>
      <c r="AP121" s="574">
        <f t="shared" si="53"/>
        <v>0</v>
      </c>
      <c r="AQ121" s="574" t="str">
        <f t="shared" si="54"/>
        <v>no</v>
      </c>
      <c r="AR121" s="574">
        <f t="shared" si="55"/>
        <v>2.2639999999999998</v>
      </c>
      <c r="AS121" s="574">
        <f t="shared" si="56"/>
        <v>0</v>
      </c>
      <c r="AT121" s="574">
        <f t="shared" si="57"/>
        <v>0</v>
      </c>
      <c r="AU121" s="1123">
        <v>0.31</v>
      </c>
      <c r="AV121" s="635">
        <f t="shared" si="58"/>
        <v>252.96</v>
      </c>
      <c r="AW121" s="638"/>
      <c r="AX121" s="740">
        <v>0</v>
      </c>
      <c r="AY121" s="428">
        <v>73</v>
      </c>
      <c r="AZ121" s="428">
        <v>42</v>
      </c>
      <c r="BA121" s="473" t="s">
        <v>963</v>
      </c>
      <c r="BB121" s="548">
        <f t="shared" si="59"/>
        <v>1</v>
      </c>
      <c r="BC121" s="606">
        <f t="shared" si="60"/>
        <v>816</v>
      </c>
      <c r="BD121" s="548">
        <f t="shared" si="61"/>
        <v>1</v>
      </c>
      <c r="BE121" s="606">
        <f t="shared" si="62"/>
        <v>816</v>
      </c>
      <c r="BF121" s="549">
        <f t="shared" si="63"/>
        <v>0</v>
      </c>
      <c r="BG121" s="606">
        <f t="shared" si="64"/>
        <v>0</v>
      </c>
      <c r="BH121" s="601" t="s">
        <v>475</v>
      </c>
      <c r="BI121" s="600" t="s">
        <v>475</v>
      </c>
      <c r="BJ121" s="606">
        <f t="shared" si="87"/>
        <v>0</v>
      </c>
      <c r="BK121" s="606" t="str">
        <f t="shared" si="66"/>
        <v>n/a</v>
      </c>
      <c r="BL121" s="428" t="s">
        <v>475</v>
      </c>
      <c r="BM121" s="548" t="str">
        <f t="shared" si="67"/>
        <v>n/a</v>
      </c>
      <c r="BN121" s="606" t="str">
        <f t="shared" si="68"/>
        <v>n/a</v>
      </c>
      <c r="BO121" s="606" t="str">
        <f t="shared" si="69"/>
        <v>n/a</v>
      </c>
      <c r="BP121" s="578" t="s">
        <v>475</v>
      </c>
      <c r="BQ121" s="606" t="s">
        <v>475</v>
      </c>
      <c r="BR121" s="519" t="s">
        <v>475</v>
      </c>
      <c r="BS121" s="548" t="str">
        <f t="shared" si="70"/>
        <v>n/a</v>
      </c>
      <c r="BT121" s="607" t="str">
        <f t="shared" si="71"/>
        <v>n/a</v>
      </c>
      <c r="BU121" s="325">
        <v>1</v>
      </c>
      <c r="BV121" s="650" t="str">
        <f t="shared" si="72"/>
        <v>n/a</v>
      </c>
      <c r="BW121" s="325" t="s">
        <v>567</v>
      </c>
      <c r="BX121" s="602" t="s">
        <v>475</v>
      </c>
      <c r="BY121" s="1189"/>
      <c r="BZ121" s="1189"/>
      <c r="CA121" s="608" t="str">
        <f t="shared" si="73"/>
        <v>n/a</v>
      </c>
      <c r="CB121" s="428">
        <v>0</v>
      </c>
      <c r="CC121" s="428">
        <v>0</v>
      </c>
      <c r="CD121" s="609" t="str">
        <f t="shared" si="74"/>
        <v>n/a</v>
      </c>
      <c r="CE121" s="610" t="str">
        <f t="shared" si="75"/>
        <v>n/a</v>
      </c>
      <c r="CF121" s="609" t="str">
        <f t="shared" si="76"/>
        <v>n/a</v>
      </c>
      <c r="CG121" s="658" t="str">
        <f t="shared" si="77"/>
        <v>n/a</v>
      </c>
      <c r="CH121" s="328" t="s">
        <v>809</v>
      </c>
      <c r="CI121" s="330">
        <v>0.8</v>
      </c>
      <c r="CJ121" s="664">
        <f t="shared" si="78"/>
        <v>652.80000000000007</v>
      </c>
      <c r="CK121" s="328">
        <v>2</v>
      </c>
      <c r="CL121" s="611" t="s">
        <v>671</v>
      </c>
      <c r="CM121" s="428" t="s">
        <v>475</v>
      </c>
      <c r="CN121" s="428" t="s">
        <v>475</v>
      </c>
      <c r="CO121" s="428" t="s">
        <v>38</v>
      </c>
      <c r="CP121" s="570" t="s">
        <v>170</v>
      </c>
      <c r="CQ121" s="672"/>
      <c r="CS121" s="1069">
        <f t="shared" si="79"/>
        <v>0.61274509803921573</v>
      </c>
      <c r="CT121" s="1069">
        <f t="shared" si="80"/>
        <v>0.30637254901960786</v>
      </c>
      <c r="CU121" s="1066">
        <f t="shared" si="81"/>
        <v>0.61274509803921573</v>
      </c>
      <c r="CV121" s="1066">
        <f t="shared" si="82"/>
        <v>0.30637254901960786</v>
      </c>
      <c r="CW121" s="1082">
        <f t="shared" si="83"/>
        <v>1.04</v>
      </c>
      <c r="CX121" s="1082">
        <f t="shared" si="84"/>
        <v>2.2639999999999998</v>
      </c>
    </row>
    <row r="122" spans="1:102" s="322" customFormat="1" ht="21" customHeight="1">
      <c r="A122" s="358"/>
      <c r="B122" s="402" t="s">
        <v>749</v>
      </c>
      <c r="C122" s="603" t="s">
        <v>1028</v>
      </c>
      <c r="D122" s="603" t="s">
        <v>1029</v>
      </c>
      <c r="E122" s="1058" t="s">
        <v>1031</v>
      </c>
      <c r="F122" s="731" t="s">
        <v>783</v>
      </c>
      <c r="G122" s="1051"/>
      <c r="H122" s="1051"/>
      <c r="I122" s="560" t="s">
        <v>33</v>
      </c>
      <c r="J122" s="560" t="s">
        <v>34</v>
      </c>
      <c r="K122" s="604" t="s">
        <v>607</v>
      </c>
      <c r="L122" s="585">
        <v>0</v>
      </c>
      <c r="M122" s="473">
        <v>0</v>
      </c>
      <c r="N122" s="617">
        <v>1169</v>
      </c>
      <c r="O122" s="328" t="s">
        <v>983</v>
      </c>
      <c r="P122" s="718" t="str">
        <f t="shared" si="43"/>
        <v>3. Large</v>
      </c>
      <c r="Q122" s="965" t="s">
        <v>926</v>
      </c>
      <c r="R122" s="1138"/>
      <c r="S122" s="622" t="s">
        <v>143</v>
      </c>
      <c r="T122" s="323" t="str">
        <f t="shared" si="44"/>
        <v>Covered</v>
      </c>
      <c r="U122" s="561">
        <v>42376</v>
      </c>
      <c r="V122" s="1143"/>
      <c r="W122" s="558" t="s">
        <v>152</v>
      </c>
      <c r="X122" s="627">
        <v>0</v>
      </c>
      <c r="Y122" s="473">
        <v>0</v>
      </c>
      <c r="Z122" s="617" t="s">
        <v>43</v>
      </c>
      <c r="AA122" s="627">
        <v>2</v>
      </c>
      <c r="AB122" s="473">
        <v>4</v>
      </c>
      <c r="AC122" s="473">
        <v>4</v>
      </c>
      <c r="AD122" s="473">
        <v>1</v>
      </c>
      <c r="AE122" s="617"/>
      <c r="AF122" s="599">
        <v>0</v>
      </c>
      <c r="AG122" s="325">
        <v>0</v>
      </c>
      <c r="AH122" s="630">
        <f t="shared" si="45"/>
        <v>1</v>
      </c>
      <c r="AI122" s="574">
        <f t="shared" si="46"/>
        <v>1169</v>
      </c>
      <c r="AJ122" s="605">
        <f t="shared" si="47"/>
        <v>1</v>
      </c>
      <c r="AK122" s="574">
        <f t="shared" si="48"/>
        <v>1169</v>
      </c>
      <c r="AL122" s="605">
        <f t="shared" si="49"/>
        <v>1</v>
      </c>
      <c r="AM122" s="574">
        <f t="shared" si="50"/>
        <v>1169</v>
      </c>
      <c r="AN122" s="605" t="str">
        <f t="shared" si="51"/>
        <v>80-100%</v>
      </c>
      <c r="AO122" s="605">
        <f t="shared" si="52"/>
        <v>0</v>
      </c>
      <c r="AP122" s="574">
        <f t="shared" si="53"/>
        <v>0</v>
      </c>
      <c r="AQ122" s="574" t="str">
        <f t="shared" si="54"/>
        <v>yes</v>
      </c>
      <c r="AR122" s="574">
        <f t="shared" si="55"/>
        <v>0</v>
      </c>
      <c r="AS122" s="574">
        <f t="shared" si="56"/>
        <v>0</v>
      </c>
      <c r="AT122" s="574">
        <f t="shared" si="57"/>
        <v>0</v>
      </c>
      <c r="AU122" s="1123">
        <v>1</v>
      </c>
      <c r="AV122" s="635">
        <f t="shared" si="58"/>
        <v>1169</v>
      </c>
      <c r="AW122" s="638"/>
      <c r="AX122" s="740">
        <v>0</v>
      </c>
      <c r="AY122" s="428">
        <v>99</v>
      </c>
      <c r="AZ122" s="428">
        <v>42</v>
      </c>
      <c r="BA122" s="473" t="s">
        <v>963</v>
      </c>
      <c r="BB122" s="548">
        <f t="shared" si="59"/>
        <v>1</v>
      </c>
      <c r="BC122" s="606">
        <f t="shared" si="60"/>
        <v>1169</v>
      </c>
      <c r="BD122" s="548">
        <f t="shared" si="61"/>
        <v>1</v>
      </c>
      <c r="BE122" s="606">
        <f t="shared" si="62"/>
        <v>1169</v>
      </c>
      <c r="BF122" s="549">
        <f t="shared" si="63"/>
        <v>0</v>
      </c>
      <c r="BG122" s="606">
        <f t="shared" si="64"/>
        <v>0</v>
      </c>
      <c r="BH122" s="601" t="s">
        <v>475</v>
      </c>
      <c r="BI122" s="600" t="s">
        <v>475</v>
      </c>
      <c r="BJ122" s="606">
        <f t="shared" si="87"/>
        <v>0</v>
      </c>
      <c r="BK122" s="606" t="str">
        <f t="shared" si="66"/>
        <v>n/a</v>
      </c>
      <c r="BL122" s="428" t="s">
        <v>475</v>
      </c>
      <c r="BM122" s="548" t="str">
        <f t="shared" si="67"/>
        <v>n/a</v>
      </c>
      <c r="BN122" s="606" t="str">
        <f t="shared" si="68"/>
        <v>n/a</v>
      </c>
      <c r="BO122" s="606" t="str">
        <f t="shared" si="69"/>
        <v>n/a</v>
      </c>
      <c r="BP122" s="578" t="s">
        <v>475</v>
      </c>
      <c r="BQ122" s="606" t="s">
        <v>475</v>
      </c>
      <c r="BR122" s="519" t="s">
        <v>475</v>
      </c>
      <c r="BS122" s="548" t="str">
        <f t="shared" si="70"/>
        <v>n/a</v>
      </c>
      <c r="BT122" s="607" t="str">
        <f t="shared" si="71"/>
        <v>n/a</v>
      </c>
      <c r="BU122" s="325">
        <v>1</v>
      </c>
      <c r="BV122" s="650" t="str">
        <f t="shared" si="72"/>
        <v>n/a</v>
      </c>
      <c r="BW122" s="325" t="s">
        <v>567</v>
      </c>
      <c r="BX122" s="602" t="s">
        <v>475</v>
      </c>
      <c r="BY122" s="1189"/>
      <c r="BZ122" s="1189"/>
      <c r="CA122" s="608" t="str">
        <f t="shared" si="73"/>
        <v>n/a</v>
      </c>
      <c r="CB122" s="428">
        <v>0</v>
      </c>
      <c r="CC122" s="428">
        <v>0</v>
      </c>
      <c r="CD122" s="609" t="str">
        <f t="shared" si="74"/>
        <v>n/a</v>
      </c>
      <c r="CE122" s="610" t="str">
        <f t="shared" si="75"/>
        <v>n/a</v>
      </c>
      <c r="CF122" s="609" t="str">
        <f t="shared" si="76"/>
        <v>n/a</v>
      </c>
      <c r="CG122" s="658" t="str">
        <f t="shared" si="77"/>
        <v>n/a</v>
      </c>
      <c r="CH122" s="328" t="s">
        <v>809</v>
      </c>
      <c r="CI122" s="330">
        <v>1</v>
      </c>
      <c r="CJ122" s="664">
        <f t="shared" si="78"/>
        <v>1169</v>
      </c>
      <c r="CK122" s="328">
        <v>2</v>
      </c>
      <c r="CL122" s="611" t="s">
        <v>671</v>
      </c>
      <c r="CM122" s="428" t="s">
        <v>475</v>
      </c>
      <c r="CN122" s="428" t="s">
        <v>475</v>
      </c>
      <c r="CO122" s="428" t="s">
        <v>38</v>
      </c>
      <c r="CP122" s="570" t="s">
        <v>170</v>
      </c>
      <c r="CQ122" s="672"/>
      <c r="CS122" s="1069">
        <f t="shared" si="79"/>
        <v>1</v>
      </c>
      <c r="CT122" s="1069">
        <f t="shared" si="80"/>
        <v>1</v>
      </c>
      <c r="CU122" s="1066">
        <f t="shared" si="81"/>
        <v>1</v>
      </c>
      <c r="CV122" s="1066">
        <f t="shared" si="82"/>
        <v>1</v>
      </c>
      <c r="CW122" s="1082">
        <f t="shared" si="83"/>
        <v>0</v>
      </c>
      <c r="CX122" s="1082">
        <f t="shared" si="84"/>
        <v>0</v>
      </c>
    </row>
    <row r="123" spans="1:102" s="322" customFormat="1" ht="21" customHeight="1">
      <c r="A123" s="358"/>
      <c r="B123" s="402" t="s">
        <v>749</v>
      </c>
      <c r="C123" s="603" t="s">
        <v>1028</v>
      </c>
      <c r="D123" s="603" t="s">
        <v>1029</v>
      </c>
      <c r="E123" s="1058" t="s">
        <v>1030</v>
      </c>
      <c r="F123" s="731" t="s">
        <v>781</v>
      </c>
      <c r="G123" s="1051"/>
      <c r="H123" s="1051"/>
      <c r="I123" s="560" t="s">
        <v>33</v>
      </c>
      <c r="J123" s="560" t="s">
        <v>34</v>
      </c>
      <c r="K123" s="604" t="s">
        <v>607</v>
      </c>
      <c r="L123" s="585">
        <v>0</v>
      </c>
      <c r="M123" s="473">
        <v>0</v>
      </c>
      <c r="N123" s="617">
        <v>2466</v>
      </c>
      <c r="O123" s="328" t="s">
        <v>983</v>
      </c>
      <c r="P123" s="718" t="str">
        <f t="shared" si="43"/>
        <v>3. Large</v>
      </c>
      <c r="Q123" s="965" t="s">
        <v>926</v>
      </c>
      <c r="R123" s="1138"/>
      <c r="S123" s="622" t="s">
        <v>143</v>
      </c>
      <c r="T123" s="323" t="str">
        <f t="shared" si="44"/>
        <v>Covered</v>
      </c>
      <c r="U123" s="561">
        <v>42376</v>
      </c>
      <c r="V123" s="1143"/>
      <c r="W123" s="558" t="s">
        <v>152</v>
      </c>
      <c r="X123" s="627">
        <v>0</v>
      </c>
      <c r="Y123" s="473">
        <v>0</v>
      </c>
      <c r="Z123" s="617" t="s">
        <v>43</v>
      </c>
      <c r="AA123" s="627">
        <v>1</v>
      </c>
      <c r="AB123" s="473">
        <v>1</v>
      </c>
      <c r="AC123" s="473">
        <v>5</v>
      </c>
      <c r="AD123" s="473">
        <v>2</v>
      </c>
      <c r="AE123" s="617"/>
      <c r="AF123" s="599">
        <v>0</v>
      </c>
      <c r="AG123" s="325">
        <v>0</v>
      </c>
      <c r="AH123" s="630">
        <f t="shared" si="45"/>
        <v>0.33792917004595835</v>
      </c>
      <c r="AI123" s="574">
        <f t="shared" si="46"/>
        <v>833.33333333333326</v>
      </c>
      <c r="AJ123" s="605">
        <f t="shared" si="47"/>
        <v>0.33792917004595835</v>
      </c>
      <c r="AK123" s="574">
        <f t="shared" si="48"/>
        <v>833.33333333333326</v>
      </c>
      <c r="AL123" s="605">
        <f t="shared" si="49"/>
        <v>0.33792917004595835</v>
      </c>
      <c r="AM123" s="574">
        <f t="shared" si="50"/>
        <v>833.33333333333326</v>
      </c>
      <c r="AN123" s="605" t="str">
        <f t="shared" si="51"/>
        <v>30-45%</v>
      </c>
      <c r="AO123" s="605">
        <f t="shared" si="52"/>
        <v>0</v>
      </c>
      <c r="AP123" s="574">
        <f t="shared" si="53"/>
        <v>0</v>
      </c>
      <c r="AQ123" s="574" t="str">
        <f t="shared" si="54"/>
        <v>yes</v>
      </c>
      <c r="AR123" s="574">
        <f t="shared" si="55"/>
        <v>7.8640000000000008</v>
      </c>
      <c r="AS123" s="574">
        <f t="shared" si="56"/>
        <v>0</v>
      </c>
      <c r="AT123" s="574">
        <f t="shared" si="57"/>
        <v>0</v>
      </c>
      <c r="AU123" s="1123">
        <v>0.34</v>
      </c>
      <c r="AV123" s="635">
        <f t="shared" si="58"/>
        <v>838.44</v>
      </c>
      <c r="AW123" s="638"/>
      <c r="AX123" s="740">
        <v>0</v>
      </c>
      <c r="AY123" s="428">
        <v>292</v>
      </c>
      <c r="AZ123" s="428">
        <v>42</v>
      </c>
      <c r="BA123" s="473" t="s">
        <v>526</v>
      </c>
      <c r="BB123" s="548">
        <f t="shared" si="59"/>
        <v>1</v>
      </c>
      <c r="BC123" s="606">
        <f t="shared" si="60"/>
        <v>2466</v>
      </c>
      <c r="BD123" s="548">
        <f t="shared" si="61"/>
        <v>1</v>
      </c>
      <c r="BE123" s="606">
        <f t="shared" si="62"/>
        <v>2466</v>
      </c>
      <c r="BF123" s="549">
        <f t="shared" si="63"/>
        <v>0</v>
      </c>
      <c r="BG123" s="606">
        <f t="shared" si="64"/>
        <v>0</v>
      </c>
      <c r="BH123" s="601" t="s">
        <v>475</v>
      </c>
      <c r="BI123" s="600" t="s">
        <v>475</v>
      </c>
      <c r="BJ123" s="606">
        <f t="shared" si="87"/>
        <v>0</v>
      </c>
      <c r="BK123" s="606" t="str">
        <f t="shared" si="66"/>
        <v>n/a</v>
      </c>
      <c r="BL123" s="428" t="s">
        <v>475</v>
      </c>
      <c r="BM123" s="548" t="str">
        <f t="shared" si="67"/>
        <v>n/a</v>
      </c>
      <c r="BN123" s="606" t="str">
        <f t="shared" si="68"/>
        <v>n/a</v>
      </c>
      <c r="BO123" s="606" t="str">
        <f t="shared" si="69"/>
        <v>n/a</v>
      </c>
      <c r="BP123" s="578" t="s">
        <v>475</v>
      </c>
      <c r="BQ123" s="606" t="s">
        <v>475</v>
      </c>
      <c r="BR123" s="519" t="s">
        <v>475</v>
      </c>
      <c r="BS123" s="548" t="str">
        <f t="shared" si="70"/>
        <v>n/a</v>
      </c>
      <c r="BT123" s="607" t="str">
        <f t="shared" si="71"/>
        <v>n/a</v>
      </c>
      <c r="BU123" s="325">
        <v>1</v>
      </c>
      <c r="BV123" s="650" t="str">
        <f t="shared" si="72"/>
        <v>n/a</v>
      </c>
      <c r="BW123" s="325" t="s">
        <v>567</v>
      </c>
      <c r="BX123" s="602" t="s">
        <v>475</v>
      </c>
      <c r="BY123" s="1189"/>
      <c r="BZ123" s="1189"/>
      <c r="CA123" s="608" t="str">
        <f t="shared" si="73"/>
        <v>n/a</v>
      </c>
      <c r="CB123" s="428">
        <v>0</v>
      </c>
      <c r="CC123" s="428">
        <v>0</v>
      </c>
      <c r="CD123" s="609" t="str">
        <f t="shared" si="74"/>
        <v>n/a</v>
      </c>
      <c r="CE123" s="610" t="str">
        <f t="shared" si="75"/>
        <v>n/a</v>
      </c>
      <c r="CF123" s="609" t="str">
        <f t="shared" si="76"/>
        <v>n/a</v>
      </c>
      <c r="CG123" s="658" t="str">
        <f t="shared" si="77"/>
        <v>n/a</v>
      </c>
      <c r="CH123" s="328" t="s">
        <v>809</v>
      </c>
      <c r="CI123" s="330">
        <v>0.3</v>
      </c>
      <c r="CJ123" s="664">
        <f t="shared" si="78"/>
        <v>739.8</v>
      </c>
      <c r="CK123" s="328">
        <v>2</v>
      </c>
      <c r="CL123" s="611" t="s">
        <v>671</v>
      </c>
      <c r="CM123" s="428" t="s">
        <v>475</v>
      </c>
      <c r="CN123" s="428" t="s">
        <v>475</v>
      </c>
      <c r="CO123" s="428" t="s">
        <v>38</v>
      </c>
      <c r="CP123" s="570" t="s">
        <v>170</v>
      </c>
      <c r="CQ123" s="672"/>
      <c r="CS123" s="1069">
        <f t="shared" si="79"/>
        <v>0.50013517166801835</v>
      </c>
      <c r="CT123" s="1069">
        <f t="shared" si="80"/>
        <v>0.33792917004595835</v>
      </c>
      <c r="CU123" s="1066">
        <f t="shared" si="81"/>
        <v>0.50013517166801835</v>
      </c>
      <c r="CV123" s="1066">
        <f t="shared" si="82"/>
        <v>0.33792917004595835</v>
      </c>
      <c r="CW123" s="1082">
        <f t="shared" si="83"/>
        <v>4.165</v>
      </c>
      <c r="CX123" s="1082">
        <f t="shared" si="84"/>
        <v>7.8640000000000008</v>
      </c>
    </row>
    <row r="124" spans="1:102" ht="21" customHeight="1">
      <c r="A124" s="358"/>
      <c r="B124" s="402" t="s">
        <v>749</v>
      </c>
      <c r="C124" s="603" t="s">
        <v>1033</v>
      </c>
      <c r="D124" s="603" t="s">
        <v>1034</v>
      </c>
      <c r="E124" s="1058" t="s">
        <v>1035</v>
      </c>
      <c r="F124" s="732" t="s">
        <v>788</v>
      </c>
      <c r="G124" s="1051"/>
      <c r="H124" s="1051"/>
      <c r="I124" s="560" t="s">
        <v>33</v>
      </c>
      <c r="J124" s="560" t="s">
        <v>45</v>
      </c>
      <c r="K124" s="604" t="s">
        <v>607</v>
      </c>
      <c r="L124" s="585">
        <v>0</v>
      </c>
      <c r="M124" s="473">
        <v>0</v>
      </c>
      <c r="N124" s="617">
        <v>226</v>
      </c>
      <c r="O124" s="328"/>
      <c r="P124" s="718" t="str">
        <f t="shared" si="43"/>
        <v>1. Small</v>
      </c>
      <c r="Q124" s="965" t="s">
        <v>926</v>
      </c>
      <c r="R124" s="1138"/>
      <c r="S124" s="622" t="s">
        <v>143</v>
      </c>
      <c r="T124" s="323" t="str">
        <f t="shared" si="44"/>
        <v>Covered</v>
      </c>
      <c r="U124" s="561">
        <v>42376</v>
      </c>
      <c r="V124" s="1143"/>
      <c r="W124" s="558" t="s">
        <v>152</v>
      </c>
      <c r="X124" s="627">
        <v>0</v>
      </c>
      <c r="Y124" s="473">
        <v>0</v>
      </c>
      <c r="Z124" s="617" t="s">
        <v>43</v>
      </c>
      <c r="AA124" s="627">
        <v>2</v>
      </c>
      <c r="AB124" s="473">
        <v>0</v>
      </c>
      <c r="AC124" s="473">
        <v>0</v>
      </c>
      <c r="AD124" s="473">
        <v>0</v>
      </c>
      <c r="AE124" s="617"/>
      <c r="AF124" s="599">
        <v>0</v>
      </c>
      <c r="AG124" s="325">
        <v>0</v>
      </c>
      <c r="AH124" s="630">
        <f t="shared" si="45"/>
        <v>1</v>
      </c>
      <c r="AI124" s="574">
        <f t="shared" si="46"/>
        <v>226</v>
      </c>
      <c r="AJ124" s="605">
        <f t="shared" si="47"/>
        <v>1</v>
      </c>
      <c r="AK124" s="574">
        <f t="shared" si="48"/>
        <v>226</v>
      </c>
      <c r="AL124" s="605">
        <f t="shared" si="49"/>
        <v>1</v>
      </c>
      <c r="AM124" s="574">
        <f t="shared" si="50"/>
        <v>226</v>
      </c>
      <c r="AN124" s="605" t="str">
        <f t="shared" si="51"/>
        <v>80-100%</v>
      </c>
      <c r="AO124" s="605">
        <f t="shared" si="52"/>
        <v>0</v>
      </c>
      <c r="AP124" s="574">
        <f t="shared" si="53"/>
        <v>0</v>
      </c>
      <c r="AQ124" s="574" t="str">
        <f t="shared" si="54"/>
        <v>no</v>
      </c>
      <c r="AR124" s="574">
        <f t="shared" si="55"/>
        <v>0</v>
      </c>
      <c r="AS124" s="574">
        <f t="shared" si="56"/>
        <v>0</v>
      </c>
      <c r="AT124" s="574">
        <f t="shared" si="57"/>
        <v>0</v>
      </c>
      <c r="AU124" s="1123">
        <v>1</v>
      </c>
      <c r="AV124" s="635">
        <f t="shared" si="58"/>
        <v>226</v>
      </c>
      <c r="AW124" s="638"/>
      <c r="AX124" s="740">
        <v>0</v>
      </c>
      <c r="AY124" s="428">
        <v>12</v>
      </c>
      <c r="AZ124" s="428">
        <v>42</v>
      </c>
      <c r="BA124" s="473" t="s">
        <v>963</v>
      </c>
      <c r="BB124" s="548">
        <f t="shared" si="59"/>
        <v>1</v>
      </c>
      <c r="BC124" s="606">
        <f t="shared" si="60"/>
        <v>226</v>
      </c>
      <c r="BD124" s="548">
        <f t="shared" si="61"/>
        <v>1</v>
      </c>
      <c r="BE124" s="606">
        <f t="shared" si="62"/>
        <v>226</v>
      </c>
      <c r="BF124" s="549">
        <f t="shared" si="63"/>
        <v>0</v>
      </c>
      <c r="BG124" s="606">
        <f t="shared" si="64"/>
        <v>0</v>
      </c>
      <c r="BH124" s="601" t="s">
        <v>475</v>
      </c>
      <c r="BI124" s="600" t="s">
        <v>475</v>
      </c>
      <c r="BJ124" s="606">
        <f t="shared" si="87"/>
        <v>0</v>
      </c>
      <c r="BK124" s="606" t="str">
        <f t="shared" si="66"/>
        <v>n/a</v>
      </c>
      <c r="BL124" s="428" t="s">
        <v>475</v>
      </c>
      <c r="BM124" s="548" t="str">
        <f t="shared" si="67"/>
        <v>n/a</v>
      </c>
      <c r="BN124" s="606" t="str">
        <f t="shared" si="68"/>
        <v>n/a</v>
      </c>
      <c r="BO124" s="606" t="str">
        <f t="shared" si="69"/>
        <v>n/a</v>
      </c>
      <c r="BP124" s="578" t="s">
        <v>475</v>
      </c>
      <c r="BQ124" s="606" t="s">
        <v>475</v>
      </c>
      <c r="BR124" s="519" t="s">
        <v>475</v>
      </c>
      <c r="BS124" s="548" t="str">
        <f t="shared" si="70"/>
        <v>n/a</v>
      </c>
      <c r="BT124" s="607" t="str">
        <f t="shared" si="71"/>
        <v>n/a</v>
      </c>
      <c r="BU124" s="325">
        <v>1</v>
      </c>
      <c r="BV124" s="650" t="str">
        <f t="shared" si="72"/>
        <v>n/a</v>
      </c>
      <c r="BW124" s="325" t="s">
        <v>567</v>
      </c>
      <c r="BX124" s="602" t="s">
        <v>475</v>
      </c>
      <c r="BY124" s="1189"/>
      <c r="BZ124" s="1189"/>
      <c r="CA124" s="608" t="str">
        <f t="shared" si="73"/>
        <v>n/a</v>
      </c>
      <c r="CB124" s="428">
        <v>0</v>
      </c>
      <c r="CC124" s="428">
        <v>0</v>
      </c>
      <c r="CD124" s="609" t="str">
        <f t="shared" si="74"/>
        <v>n/a</v>
      </c>
      <c r="CE124" s="610" t="str">
        <f t="shared" si="75"/>
        <v>n/a</v>
      </c>
      <c r="CF124" s="609" t="str">
        <f t="shared" si="76"/>
        <v>n/a</v>
      </c>
      <c r="CG124" s="658" t="str">
        <f t="shared" si="77"/>
        <v>n/a</v>
      </c>
      <c r="CH124" s="328" t="s">
        <v>809</v>
      </c>
      <c r="CI124" s="330">
        <v>0.5</v>
      </c>
      <c r="CJ124" s="664">
        <f t="shared" si="78"/>
        <v>113</v>
      </c>
      <c r="CK124" s="328">
        <v>2</v>
      </c>
      <c r="CL124" s="611" t="s">
        <v>671</v>
      </c>
      <c r="CM124" s="428" t="s">
        <v>475</v>
      </c>
      <c r="CN124" s="428" t="s">
        <v>475</v>
      </c>
      <c r="CO124" s="428" t="s">
        <v>38</v>
      </c>
      <c r="CP124" s="570" t="s">
        <v>170</v>
      </c>
      <c r="CQ124" s="672"/>
      <c r="CS124" s="1069">
        <f t="shared" si="79"/>
        <v>1</v>
      </c>
      <c r="CT124" s="1069">
        <f t="shared" si="80"/>
        <v>1</v>
      </c>
      <c r="CU124" s="1066">
        <f t="shared" si="81"/>
        <v>1</v>
      </c>
      <c r="CV124" s="1066">
        <f t="shared" si="82"/>
        <v>1</v>
      </c>
      <c r="CW124" s="1082">
        <f t="shared" si="83"/>
        <v>0</v>
      </c>
      <c r="CX124" s="1082">
        <f t="shared" si="84"/>
        <v>0</v>
      </c>
    </row>
    <row r="125" spans="1:102" s="322" customFormat="1" ht="21" customHeight="1">
      <c r="A125" s="575"/>
      <c r="B125" s="402" t="s">
        <v>749</v>
      </c>
      <c r="C125" s="603" t="s">
        <v>1033</v>
      </c>
      <c r="D125" s="603" t="s">
        <v>1034</v>
      </c>
      <c r="E125" s="1058" t="s">
        <v>1038</v>
      </c>
      <c r="F125" s="731" t="s">
        <v>792</v>
      </c>
      <c r="G125" s="1051"/>
      <c r="H125" s="1051"/>
      <c r="I125" s="560" t="s">
        <v>33</v>
      </c>
      <c r="J125" s="560" t="s">
        <v>45</v>
      </c>
      <c r="K125" s="604" t="s">
        <v>607</v>
      </c>
      <c r="L125" s="585">
        <v>0</v>
      </c>
      <c r="M125" s="473">
        <v>0</v>
      </c>
      <c r="N125" s="617">
        <v>239</v>
      </c>
      <c r="O125" s="328"/>
      <c r="P125" s="718" t="str">
        <f t="shared" si="43"/>
        <v>1. Small</v>
      </c>
      <c r="Q125" s="965" t="s">
        <v>926</v>
      </c>
      <c r="R125" s="1138"/>
      <c r="S125" s="622" t="s">
        <v>143</v>
      </c>
      <c r="T125" s="323" t="str">
        <f t="shared" si="44"/>
        <v>Covered</v>
      </c>
      <c r="U125" s="561">
        <v>42376</v>
      </c>
      <c r="V125" s="1143"/>
      <c r="W125" s="558" t="s">
        <v>152</v>
      </c>
      <c r="X125" s="627">
        <v>0</v>
      </c>
      <c r="Y125" s="473">
        <v>0</v>
      </c>
      <c r="Z125" s="617" t="s">
        <v>43</v>
      </c>
      <c r="AA125" s="627">
        <v>0</v>
      </c>
      <c r="AB125" s="473">
        <v>1</v>
      </c>
      <c r="AC125" s="473">
        <v>0</v>
      </c>
      <c r="AD125" s="473">
        <v>0</v>
      </c>
      <c r="AE125" s="617"/>
      <c r="AF125" s="599">
        <v>0</v>
      </c>
      <c r="AG125" s="325">
        <v>0</v>
      </c>
      <c r="AH125" s="630">
        <f t="shared" si="45"/>
        <v>1</v>
      </c>
      <c r="AI125" s="574">
        <f t="shared" si="46"/>
        <v>239</v>
      </c>
      <c r="AJ125" s="605">
        <f t="shared" si="47"/>
        <v>1</v>
      </c>
      <c r="AK125" s="574">
        <f t="shared" si="48"/>
        <v>239</v>
      </c>
      <c r="AL125" s="605">
        <f t="shared" si="49"/>
        <v>1</v>
      </c>
      <c r="AM125" s="574">
        <f t="shared" si="50"/>
        <v>239</v>
      </c>
      <c r="AN125" s="605" t="str">
        <f t="shared" si="51"/>
        <v>80-100%</v>
      </c>
      <c r="AO125" s="605">
        <f t="shared" si="52"/>
        <v>0</v>
      </c>
      <c r="AP125" s="574">
        <f t="shared" si="53"/>
        <v>0</v>
      </c>
      <c r="AQ125" s="574" t="str">
        <f t="shared" si="54"/>
        <v>no</v>
      </c>
      <c r="AR125" s="574">
        <f t="shared" si="55"/>
        <v>0</v>
      </c>
      <c r="AS125" s="574">
        <f t="shared" si="56"/>
        <v>0</v>
      </c>
      <c r="AT125" s="574">
        <f t="shared" si="57"/>
        <v>0</v>
      </c>
      <c r="AU125" s="1123">
        <v>1</v>
      </c>
      <c r="AV125" s="635">
        <f t="shared" si="58"/>
        <v>239</v>
      </c>
      <c r="AW125" s="638"/>
      <c r="AX125" s="740">
        <v>0</v>
      </c>
      <c r="AY125" s="428">
        <v>53</v>
      </c>
      <c r="AZ125" s="428">
        <v>42</v>
      </c>
      <c r="BA125" s="473" t="s">
        <v>963</v>
      </c>
      <c r="BB125" s="548">
        <f t="shared" si="59"/>
        <v>1</v>
      </c>
      <c r="BC125" s="606">
        <f t="shared" si="60"/>
        <v>239</v>
      </c>
      <c r="BD125" s="548">
        <f t="shared" si="61"/>
        <v>1</v>
      </c>
      <c r="BE125" s="606">
        <f t="shared" si="62"/>
        <v>239</v>
      </c>
      <c r="BF125" s="549">
        <f t="shared" si="63"/>
        <v>0</v>
      </c>
      <c r="BG125" s="606">
        <f t="shared" si="64"/>
        <v>0</v>
      </c>
      <c r="BH125" s="601" t="s">
        <v>475</v>
      </c>
      <c r="BI125" s="600" t="s">
        <v>475</v>
      </c>
      <c r="BJ125" s="606">
        <f t="shared" si="87"/>
        <v>0</v>
      </c>
      <c r="BK125" s="606" t="str">
        <f t="shared" si="66"/>
        <v>n/a</v>
      </c>
      <c r="BL125" s="428" t="s">
        <v>475</v>
      </c>
      <c r="BM125" s="548" t="str">
        <f t="shared" si="67"/>
        <v>n/a</v>
      </c>
      <c r="BN125" s="606" t="str">
        <f t="shared" si="68"/>
        <v>n/a</v>
      </c>
      <c r="BO125" s="606" t="str">
        <f t="shared" si="69"/>
        <v>n/a</v>
      </c>
      <c r="BP125" s="578" t="s">
        <v>475</v>
      </c>
      <c r="BQ125" s="606" t="s">
        <v>475</v>
      </c>
      <c r="BR125" s="519" t="s">
        <v>475</v>
      </c>
      <c r="BS125" s="548" t="str">
        <f t="shared" si="70"/>
        <v>n/a</v>
      </c>
      <c r="BT125" s="607" t="str">
        <f t="shared" si="71"/>
        <v>n/a</v>
      </c>
      <c r="BU125" s="325">
        <v>1</v>
      </c>
      <c r="BV125" s="650" t="str">
        <f t="shared" si="72"/>
        <v>n/a</v>
      </c>
      <c r="BW125" s="325" t="s">
        <v>567</v>
      </c>
      <c r="BX125" s="602" t="s">
        <v>475</v>
      </c>
      <c r="BY125" s="1189"/>
      <c r="BZ125" s="1189"/>
      <c r="CA125" s="608" t="str">
        <f t="shared" si="73"/>
        <v>n/a</v>
      </c>
      <c r="CB125" s="428">
        <v>0</v>
      </c>
      <c r="CC125" s="428">
        <v>0</v>
      </c>
      <c r="CD125" s="609" t="str">
        <f t="shared" si="74"/>
        <v>n/a</v>
      </c>
      <c r="CE125" s="610" t="str">
        <f t="shared" si="75"/>
        <v>n/a</v>
      </c>
      <c r="CF125" s="609" t="str">
        <f t="shared" si="76"/>
        <v>n/a</v>
      </c>
      <c r="CG125" s="658" t="str">
        <f t="shared" si="77"/>
        <v>n/a</v>
      </c>
      <c r="CH125" s="328" t="s">
        <v>809</v>
      </c>
      <c r="CI125" s="330">
        <v>0.5</v>
      </c>
      <c r="CJ125" s="664">
        <f t="shared" si="78"/>
        <v>119.5</v>
      </c>
      <c r="CK125" s="328">
        <v>2</v>
      </c>
      <c r="CL125" s="611" t="s">
        <v>671</v>
      </c>
      <c r="CM125" s="428" t="s">
        <v>475</v>
      </c>
      <c r="CN125" s="428" t="s">
        <v>475</v>
      </c>
      <c r="CO125" s="428" t="s">
        <v>38</v>
      </c>
      <c r="CP125" s="570" t="s">
        <v>170</v>
      </c>
      <c r="CQ125" s="672"/>
      <c r="CS125" s="1069">
        <f t="shared" si="79"/>
        <v>1</v>
      </c>
      <c r="CT125" s="1069">
        <f t="shared" si="80"/>
        <v>1</v>
      </c>
      <c r="CU125" s="1066">
        <f t="shared" si="81"/>
        <v>1</v>
      </c>
      <c r="CV125" s="1066">
        <f t="shared" si="82"/>
        <v>1</v>
      </c>
      <c r="CW125" s="1082">
        <f t="shared" si="83"/>
        <v>0</v>
      </c>
      <c r="CX125" s="1082">
        <f t="shared" si="84"/>
        <v>0</v>
      </c>
    </row>
    <row r="126" spans="1:102" s="70" customFormat="1" ht="21" customHeight="1">
      <c r="A126" s="358"/>
      <c r="B126" s="402" t="s">
        <v>749</v>
      </c>
      <c r="C126" s="603"/>
      <c r="D126" s="603"/>
      <c r="E126" s="1058"/>
      <c r="F126" s="731" t="s">
        <v>784</v>
      </c>
      <c r="G126" s="1051"/>
      <c r="H126" s="1051"/>
      <c r="I126" s="560" t="s">
        <v>33</v>
      </c>
      <c r="J126" s="560" t="s">
        <v>45</v>
      </c>
      <c r="K126" s="604" t="s">
        <v>607</v>
      </c>
      <c r="L126" s="585">
        <v>0</v>
      </c>
      <c r="M126" s="473">
        <v>0</v>
      </c>
      <c r="N126" s="617">
        <v>1200</v>
      </c>
      <c r="O126" s="328"/>
      <c r="P126" s="718" t="str">
        <f t="shared" si="43"/>
        <v>3. Large</v>
      </c>
      <c r="Q126" s="965" t="s">
        <v>926</v>
      </c>
      <c r="R126" s="1138"/>
      <c r="S126" s="622" t="s">
        <v>143</v>
      </c>
      <c r="T126" s="323" t="str">
        <f t="shared" si="44"/>
        <v>Covered</v>
      </c>
      <c r="U126" s="561">
        <v>42376</v>
      </c>
      <c r="V126" s="1143"/>
      <c r="W126" s="558" t="s">
        <v>152</v>
      </c>
      <c r="X126" s="627">
        <v>0</v>
      </c>
      <c r="Y126" s="473">
        <v>0</v>
      </c>
      <c r="Z126" s="617" t="s">
        <v>43</v>
      </c>
      <c r="AA126" s="627">
        <v>0</v>
      </c>
      <c r="AB126" s="473">
        <v>3</v>
      </c>
      <c r="AC126" s="473">
        <v>0</v>
      </c>
      <c r="AD126" s="473">
        <v>0</v>
      </c>
      <c r="AE126" s="617"/>
      <c r="AF126" s="599">
        <v>0</v>
      </c>
      <c r="AG126" s="325">
        <v>0</v>
      </c>
      <c r="AH126" s="630">
        <f t="shared" si="45"/>
        <v>0.625</v>
      </c>
      <c r="AI126" s="574">
        <f t="shared" si="46"/>
        <v>750</v>
      </c>
      <c r="AJ126" s="605">
        <f t="shared" si="47"/>
        <v>0.625</v>
      </c>
      <c r="AK126" s="574">
        <f t="shared" si="48"/>
        <v>750</v>
      </c>
      <c r="AL126" s="605">
        <f t="shared" si="49"/>
        <v>0.625</v>
      </c>
      <c r="AM126" s="574">
        <f t="shared" si="50"/>
        <v>750</v>
      </c>
      <c r="AN126" s="605" t="str">
        <f t="shared" si="51"/>
        <v>60-80%</v>
      </c>
      <c r="AO126" s="605">
        <f t="shared" si="52"/>
        <v>0</v>
      </c>
      <c r="AP126" s="574">
        <f t="shared" si="53"/>
        <v>0</v>
      </c>
      <c r="AQ126" s="574" t="str">
        <f t="shared" si="54"/>
        <v>no</v>
      </c>
      <c r="AR126" s="574">
        <f t="shared" si="55"/>
        <v>1.7999999999999998</v>
      </c>
      <c r="AS126" s="574">
        <f t="shared" si="56"/>
        <v>0</v>
      </c>
      <c r="AT126" s="574">
        <f t="shared" si="57"/>
        <v>0</v>
      </c>
      <c r="AU126" s="1123">
        <v>0.63</v>
      </c>
      <c r="AV126" s="635">
        <f t="shared" si="58"/>
        <v>756</v>
      </c>
      <c r="AW126" s="638"/>
      <c r="AX126" s="740">
        <v>0</v>
      </c>
      <c r="AY126" s="428">
        <v>196</v>
      </c>
      <c r="AZ126" s="428">
        <v>42</v>
      </c>
      <c r="BA126" s="473" t="s">
        <v>963</v>
      </c>
      <c r="BB126" s="548">
        <f t="shared" si="59"/>
        <v>1</v>
      </c>
      <c r="BC126" s="606">
        <f t="shared" si="60"/>
        <v>1200</v>
      </c>
      <c r="BD126" s="548">
        <f t="shared" si="61"/>
        <v>1</v>
      </c>
      <c r="BE126" s="606">
        <f t="shared" si="62"/>
        <v>1200</v>
      </c>
      <c r="BF126" s="549">
        <f t="shared" si="63"/>
        <v>0</v>
      </c>
      <c r="BG126" s="606">
        <f t="shared" si="64"/>
        <v>0</v>
      </c>
      <c r="BH126" s="601" t="s">
        <v>475</v>
      </c>
      <c r="BI126" s="600" t="s">
        <v>475</v>
      </c>
      <c r="BJ126" s="606">
        <f t="shared" si="87"/>
        <v>0</v>
      </c>
      <c r="BK126" s="606" t="str">
        <f t="shared" si="66"/>
        <v>n/a</v>
      </c>
      <c r="BL126" s="428" t="s">
        <v>475</v>
      </c>
      <c r="BM126" s="548" t="str">
        <f t="shared" si="67"/>
        <v>n/a</v>
      </c>
      <c r="BN126" s="606" t="str">
        <f t="shared" si="68"/>
        <v>n/a</v>
      </c>
      <c r="BO126" s="606" t="str">
        <f t="shared" si="69"/>
        <v>n/a</v>
      </c>
      <c r="BP126" s="578" t="s">
        <v>475</v>
      </c>
      <c r="BQ126" s="606" t="s">
        <v>475</v>
      </c>
      <c r="BR126" s="519" t="s">
        <v>475</v>
      </c>
      <c r="BS126" s="548" t="str">
        <f t="shared" si="70"/>
        <v>n/a</v>
      </c>
      <c r="BT126" s="607" t="str">
        <f t="shared" si="71"/>
        <v>n/a</v>
      </c>
      <c r="BU126" s="325">
        <v>1</v>
      </c>
      <c r="BV126" s="650" t="str">
        <f t="shared" si="72"/>
        <v>n/a</v>
      </c>
      <c r="BW126" s="325" t="s">
        <v>567</v>
      </c>
      <c r="BX126" s="602" t="s">
        <v>475</v>
      </c>
      <c r="BY126" s="1189"/>
      <c r="BZ126" s="1189"/>
      <c r="CA126" s="608" t="str">
        <f t="shared" si="73"/>
        <v>n/a</v>
      </c>
      <c r="CB126" s="428">
        <v>0</v>
      </c>
      <c r="CC126" s="428">
        <v>0</v>
      </c>
      <c r="CD126" s="609" t="str">
        <f t="shared" si="74"/>
        <v>n/a</v>
      </c>
      <c r="CE126" s="610" t="str">
        <f t="shared" si="75"/>
        <v>n/a</v>
      </c>
      <c r="CF126" s="609" t="str">
        <f t="shared" si="76"/>
        <v>n/a</v>
      </c>
      <c r="CG126" s="658" t="str">
        <f t="shared" si="77"/>
        <v>n/a</v>
      </c>
      <c r="CH126" s="328" t="s">
        <v>809</v>
      </c>
      <c r="CI126" s="330">
        <v>0.2</v>
      </c>
      <c r="CJ126" s="664">
        <f t="shared" si="78"/>
        <v>240</v>
      </c>
      <c r="CK126" s="328">
        <v>2</v>
      </c>
      <c r="CL126" s="611" t="s">
        <v>671</v>
      </c>
      <c r="CM126" s="428" t="s">
        <v>475</v>
      </c>
      <c r="CN126" s="428" t="s">
        <v>475</v>
      </c>
      <c r="CO126" s="428" t="s">
        <v>38</v>
      </c>
      <c r="CP126" s="570" t="s">
        <v>170</v>
      </c>
      <c r="CQ126" s="672"/>
      <c r="CR126" s="322"/>
      <c r="CS126" s="1069">
        <f t="shared" si="79"/>
        <v>1</v>
      </c>
      <c r="CT126" s="1069">
        <f t="shared" si="80"/>
        <v>0.625</v>
      </c>
      <c r="CU126" s="1066">
        <f t="shared" si="81"/>
        <v>1</v>
      </c>
      <c r="CV126" s="1066">
        <f t="shared" si="82"/>
        <v>0.625</v>
      </c>
      <c r="CW126" s="1082">
        <f t="shared" si="83"/>
        <v>0</v>
      </c>
      <c r="CX126" s="1082">
        <f t="shared" si="84"/>
        <v>1.7999999999999998</v>
      </c>
    </row>
    <row r="127" spans="1:102" s="322" customFormat="1" ht="21" customHeight="1">
      <c r="A127" s="575"/>
      <c r="B127" s="715" t="s">
        <v>749</v>
      </c>
      <c r="C127" s="1075" t="s">
        <v>1120</v>
      </c>
      <c r="D127" s="1075" t="s">
        <v>1121</v>
      </c>
      <c r="E127" s="1058" t="s">
        <v>1122</v>
      </c>
      <c r="F127" s="1086" t="s">
        <v>858</v>
      </c>
      <c r="G127" s="1051"/>
      <c r="H127" s="1051"/>
      <c r="I127" s="560" t="s">
        <v>33</v>
      </c>
      <c r="J127" s="560" t="s">
        <v>45</v>
      </c>
      <c r="K127" s="604" t="s">
        <v>607</v>
      </c>
      <c r="L127" s="585">
        <v>0</v>
      </c>
      <c r="M127" s="473">
        <v>0</v>
      </c>
      <c r="N127" s="716">
        <v>102</v>
      </c>
      <c r="O127" s="328"/>
      <c r="P127" s="718" t="str">
        <f t="shared" si="43"/>
        <v>1. Small</v>
      </c>
      <c r="Q127" s="965" t="s">
        <v>926</v>
      </c>
      <c r="R127" s="1138"/>
      <c r="S127" s="622" t="s">
        <v>811</v>
      </c>
      <c r="T127" s="323" t="str">
        <f t="shared" si="44"/>
        <v>Covered</v>
      </c>
      <c r="U127" s="561">
        <v>42376</v>
      </c>
      <c r="V127" s="1143"/>
      <c r="W127" s="558" t="s">
        <v>152</v>
      </c>
      <c r="X127" s="627">
        <v>0</v>
      </c>
      <c r="Y127" s="473">
        <v>0</v>
      </c>
      <c r="Z127" s="617" t="s">
        <v>43</v>
      </c>
      <c r="AA127" s="627">
        <v>0</v>
      </c>
      <c r="AB127" s="473">
        <v>0</v>
      </c>
      <c r="AC127" s="473">
        <v>0</v>
      </c>
      <c r="AD127" s="473">
        <v>1</v>
      </c>
      <c r="AE127" s="617"/>
      <c r="AF127" s="599">
        <v>0</v>
      </c>
      <c r="AG127" s="325">
        <v>0</v>
      </c>
      <c r="AH127" s="630">
        <f t="shared" si="45"/>
        <v>0</v>
      </c>
      <c r="AI127" s="574">
        <f t="shared" si="46"/>
        <v>0</v>
      </c>
      <c r="AJ127" s="605">
        <f t="shared" si="47"/>
        <v>0</v>
      </c>
      <c r="AK127" s="574">
        <f t="shared" si="48"/>
        <v>0</v>
      </c>
      <c r="AL127" s="605">
        <f t="shared" si="49"/>
        <v>0</v>
      </c>
      <c r="AM127" s="574">
        <f t="shared" si="50"/>
        <v>0</v>
      </c>
      <c r="AN127" s="605" t="str">
        <f t="shared" si="51"/>
        <v>0-10%</v>
      </c>
      <c r="AO127" s="605">
        <f t="shared" si="52"/>
        <v>0</v>
      </c>
      <c r="AP127" s="574">
        <f t="shared" si="53"/>
        <v>0</v>
      </c>
      <c r="AQ127" s="574" t="str">
        <f t="shared" si="54"/>
        <v>yes</v>
      </c>
      <c r="AR127" s="574">
        <f t="shared" si="55"/>
        <v>0.40799999999999997</v>
      </c>
      <c r="AS127" s="574">
        <f t="shared" si="56"/>
        <v>0</v>
      </c>
      <c r="AT127" s="574">
        <f t="shared" si="57"/>
        <v>0</v>
      </c>
      <c r="AU127" s="330">
        <v>0.9</v>
      </c>
      <c r="AV127" s="635">
        <f t="shared" si="58"/>
        <v>91.8</v>
      </c>
      <c r="AW127" s="1155" t="s">
        <v>890</v>
      </c>
      <c r="AX127" s="740">
        <v>0</v>
      </c>
      <c r="AY127" s="428"/>
      <c r="AZ127" s="428">
        <v>42</v>
      </c>
      <c r="BA127" s="473"/>
      <c r="BB127" s="548">
        <f t="shared" si="59"/>
        <v>0</v>
      </c>
      <c r="BC127" s="606">
        <f t="shared" si="60"/>
        <v>0</v>
      </c>
      <c r="BD127" s="548">
        <f t="shared" si="61"/>
        <v>0</v>
      </c>
      <c r="BE127" s="606">
        <f t="shared" si="62"/>
        <v>0</v>
      </c>
      <c r="BF127" s="549">
        <f t="shared" si="63"/>
        <v>0</v>
      </c>
      <c r="BG127" s="606">
        <f t="shared" si="64"/>
        <v>0</v>
      </c>
      <c r="BH127" s="600" t="s">
        <v>475</v>
      </c>
      <c r="BI127" s="600" t="s">
        <v>475</v>
      </c>
      <c r="BJ127" s="606">
        <f t="shared" si="87"/>
        <v>0</v>
      </c>
      <c r="BK127" s="606" t="str">
        <f t="shared" si="66"/>
        <v>n/a</v>
      </c>
      <c r="BL127" s="428" t="s">
        <v>475</v>
      </c>
      <c r="BM127" s="548" t="str">
        <f t="shared" si="67"/>
        <v>n/a</v>
      </c>
      <c r="BN127" s="606" t="str">
        <f t="shared" si="68"/>
        <v>n/a</v>
      </c>
      <c r="BO127" s="606" t="str">
        <f t="shared" si="69"/>
        <v>n/a</v>
      </c>
      <c r="BP127" s="428" t="s">
        <v>475</v>
      </c>
      <c r="BQ127" s="606" t="s">
        <v>475</v>
      </c>
      <c r="BR127" s="428" t="s">
        <v>475</v>
      </c>
      <c r="BS127" s="548" t="str">
        <f t="shared" si="70"/>
        <v>n/a</v>
      </c>
      <c r="BT127" s="607" t="str">
        <f t="shared" si="71"/>
        <v>n/a</v>
      </c>
      <c r="BU127" s="325">
        <v>0.7</v>
      </c>
      <c r="BV127" s="650" t="str">
        <f t="shared" si="72"/>
        <v>n/a</v>
      </c>
      <c r="BW127" s="1165" t="s">
        <v>891</v>
      </c>
      <c r="BX127" s="602" t="s">
        <v>475</v>
      </c>
      <c r="BY127" s="1189"/>
      <c r="BZ127" s="1189"/>
      <c r="CA127" s="608" t="str">
        <f t="shared" si="73"/>
        <v>n/a</v>
      </c>
      <c r="CB127" s="428">
        <v>0</v>
      </c>
      <c r="CC127" s="428">
        <v>0</v>
      </c>
      <c r="CD127" s="609" t="str">
        <f t="shared" si="74"/>
        <v>n/a</v>
      </c>
      <c r="CE127" s="610" t="str">
        <f t="shared" si="75"/>
        <v>n/a</v>
      </c>
      <c r="CF127" s="609" t="str">
        <f t="shared" si="76"/>
        <v>n/a</v>
      </c>
      <c r="CG127" s="658" t="str">
        <f t="shared" si="77"/>
        <v>n/a</v>
      </c>
      <c r="CH127" s="743" t="s">
        <v>893</v>
      </c>
      <c r="CI127" s="330">
        <v>0</v>
      </c>
      <c r="CJ127" s="664">
        <f t="shared" si="78"/>
        <v>0</v>
      </c>
      <c r="CK127" s="328">
        <v>0</v>
      </c>
      <c r="CL127" s="611" t="s">
        <v>671</v>
      </c>
      <c r="CM127" s="428" t="s">
        <v>475</v>
      </c>
      <c r="CN127" s="428" t="s">
        <v>475</v>
      </c>
      <c r="CO127" s="428" t="s">
        <v>38</v>
      </c>
      <c r="CP127" s="570" t="s">
        <v>170</v>
      </c>
      <c r="CQ127" s="1167" t="s">
        <v>894</v>
      </c>
      <c r="CS127" s="1069">
        <f t="shared" si="79"/>
        <v>0</v>
      </c>
      <c r="CT127" s="1069">
        <f t="shared" si="80"/>
        <v>0</v>
      </c>
      <c r="CU127" s="1066">
        <f t="shared" si="81"/>
        <v>0</v>
      </c>
      <c r="CV127" s="1066">
        <f t="shared" si="82"/>
        <v>0</v>
      </c>
      <c r="CW127" s="1082">
        <f t="shared" si="83"/>
        <v>0.255</v>
      </c>
      <c r="CX127" s="1082">
        <f t="shared" si="84"/>
        <v>0.40799999999999997</v>
      </c>
    </row>
    <row r="128" spans="1:102" s="322" customFormat="1" ht="21" customHeight="1">
      <c r="A128" s="575"/>
      <c r="B128" s="715" t="s">
        <v>749</v>
      </c>
      <c r="C128" s="1075" t="s">
        <v>1137</v>
      </c>
      <c r="D128" s="1075" t="s">
        <v>1138</v>
      </c>
      <c r="E128" s="1058" t="s">
        <v>1139</v>
      </c>
      <c r="F128" s="1086" t="s">
        <v>877</v>
      </c>
      <c r="G128" s="1051"/>
      <c r="H128" s="1051"/>
      <c r="I128" s="560" t="s">
        <v>33</v>
      </c>
      <c r="J128" s="560" t="s">
        <v>34</v>
      </c>
      <c r="K128" s="604" t="s">
        <v>607</v>
      </c>
      <c r="L128" s="585">
        <v>0</v>
      </c>
      <c r="M128" s="473">
        <v>0</v>
      </c>
      <c r="N128" s="570">
        <v>1158</v>
      </c>
      <c r="O128" s="328"/>
      <c r="P128" s="718" t="str">
        <f t="shared" si="43"/>
        <v>3. Large</v>
      </c>
      <c r="Q128" s="965" t="s">
        <v>926</v>
      </c>
      <c r="R128" s="1138"/>
      <c r="S128" s="622" t="s">
        <v>811</v>
      </c>
      <c r="T128" s="323" t="str">
        <f t="shared" si="44"/>
        <v>Covered</v>
      </c>
      <c r="U128" s="561">
        <v>42376</v>
      </c>
      <c r="V128" s="1143"/>
      <c r="W128" s="558" t="s">
        <v>152</v>
      </c>
      <c r="X128" s="627">
        <v>0</v>
      </c>
      <c r="Y128" s="473">
        <v>0</v>
      </c>
      <c r="Z128" s="617" t="s">
        <v>43</v>
      </c>
      <c r="AA128" s="627">
        <v>6</v>
      </c>
      <c r="AB128" s="473">
        <v>30</v>
      </c>
      <c r="AC128" s="473">
        <v>0</v>
      </c>
      <c r="AD128" s="473">
        <v>1</v>
      </c>
      <c r="AE128" s="617"/>
      <c r="AF128" s="599">
        <v>0</v>
      </c>
      <c r="AG128" s="325">
        <v>0</v>
      </c>
      <c r="AH128" s="630">
        <f t="shared" si="45"/>
        <v>1</v>
      </c>
      <c r="AI128" s="574">
        <f t="shared" si="46"/>
        <v>1158</v>
      </c>
      <c r="AJ128" s="605">
        <f t="shared" si="47"/>
        <v>1</v>
      </c>
      <c r="AK128" s="574">
        <f t="shared" si="48"/>
        <v>1158</v>
      </c>
      <c r="AL128" s="605">
        <f t="shared" si="49"/>
        <v>1</v>
      </c>
      <c r="AM128" s="574">
        <f t="shared" si="50"/>
        <v>1158</v>
      </c>
      <c r="AN128" s="605" t="str">
        <f t="shared" si="51"/>
        <v>80-100%</v>
      </c>
      <c r="AO128" s="605">
        <f t="shared" si="52"/>
        <v>0</v>
      </c>
      <c r="AP128" s="574">
        <f t="shared" si="53"/>
        <v>0</v>
      </c>
      <c r="AQ128" s="574" t="str">
        <f t="shared" si="54"/>
        <v>yes</v>
      </c>
      <c r="AR128" s="574">
        <f t="shared" si="55"/>
        <v>0</v>
      </c>
      <c r="AS128" s="574">
        <f t="shared" si="56"/>
        <v>0</v>
      </c>
      <c r="AT128" s="574">
        <f t="shared" si="57"/>
        <v>0</v>
      </c>
      <c r="AU128" s="330">
        <v>1</v>
      </c>
      <c r="AV128" s="635">
        <f t="shared" si="58"/>
        <v>1158</v>
      </c>
      <c r="AW128" s="1155" t="s">
        <v>884</v>
      </c>
      <c r="AX128" s="740">
        <v>0</v>
      </c>
      <c r="AY128" s="428"/>
      <c r="AZ128" s="428">
        <v>42</v>
      </c>
      <c r="BA128" s="473"/>
      <c r="BB128" s="548">
        <f t="shared" si="59"/>
        <v>0</v>
      </c>
      <c r="BC128" s="606">
        <f t="shared" si="60"/>
        <v>0</v>
      </c>
      <c r="BD128" s="548">
        <f t="shared" si="61"/>
        <v>0</v>
      </c>
      <c r="BE128" s="606">
        <f t="shared" si="62"/>
        <v>0</v>
      </c>
      <c r="BF128" s="549">
        <f t="shared" si="63"/>
        <v>0</v>
      </c>
      <c r="BG128" s="606">
        <f t="shared" si="64"/>
        <v>0</v>
      </c>
      <c r="BH128" s="600" t="s">
        <v>475</v>
      </c>
      <c r="BI128" s="600" t="s">
        <v>475</v>
      </c>
      <c r="BJ128" s="606">
        <f t="shared" si="87"/>
        <v>0</v>
      </c>
      <c r="BK128" s="606" t="str">
        <f t="shared" si="66"/>
        <v>n/a</v>
      </c>
      <c r="BL128" s="428" t="s">
        <v>475</v>
      </c>
      <c r="BM128" s="548" t="str">
        <f t="shared" si="67"/>
        <v>n/a</v>
      </c>
      <c r="BN128" s="606" t="str">
        <f t="shared" si="68"/>
        <v>n/a</v>
      </c>
      <c r="BO128" s="606" t="str">
        <f t="shared" si="69"/>
        <v>n/a</v>
      </c>
      <c r="BP128" s="428" t="s">
        <v>475</v>
      </c>
      <c r="BQ128" s="606" t="s">
        <v>475</v>
      </c>
      <c r="BR128" s="428" t="s">
        <v>475</v>
      </c>
      <c r="BS128" s="548" t="str">
        <f t="shared" si="70"/>
        <v>n/a</v>
      </c>
      <c r="BT128" s="607" t="str">
        <f t="shared" si="71"/>
        <v>n/a</v>
      </c>
      <c r="BU128" s="325">
        <v>0.7</v>
      </c>
      <c r="BV128" s="650" t="str">
        <f t="shared" si="72"/>
        <v>n/a</v>
      </c>
      <c r="BW128" s="1165" t="s">
        <v>891</v>
      </c>
      <c r="BX128" s="602" t="s">
        <v>475</v>
      </c>
      <c r="BY128" s="1189"/>
      <c r="BZ128" s="1189"/>
      <c r="CA128" s="608" t="str">
        <f t="shared" si="73"/>
        <v>n/a</v>
      </c>
      <c r="CB128" s="428">
        <v>0</v>
      </c>
      <c r="CC128" s="428">
        <v>0</v>
      </c>
      <c r="CD128" s="609" t="str">
        <f t="shared" si="74"/>
        <v>n/a</v>
      </c>
      <c r="CE128" s="610" t="str">
        <f t="shared" si="75"/>
        <v>n/a</v>
      </c>
      <c r="CF128" s="609" t="str">
        <f t="shared" si="76"/>
        <v>n/a</v>
      </c>
      <c r="CG128" s="658" t="str">
        <f t="shared" si="77"/>
        <v>n/a</v>
      </c>
      <c r="CH128" s="743" t="s">
        <v>893</v>
      </c>
      <c r="CI128" s="330">
        <v>0</v>
      </c>
      <c r="CJ128" s="664">
        <f t="shared" si="78"/>
        <v>0</v>
      </c>
      <c r="CK128" s="328">
        <v>0</v>
      </c>
      <c r="CL128" s="611" t="s">
        <v>671</v>
      </c>
      <c r="CM128" s="428" t="s">
        <v>475</v>
      </c>
      <c r="CN128" s="428" t="s">
        <v>475</v>
      </c>
      <c r="CO128" s="428" t="s">
        <v>38</v>
      </c>
      <c r="CP128" s="570" t="s">
        <v>170</v>
      </c>
      <c r="CQ128" s="1167" t="s">
        <v>894</v>
      </c>
      <c r="CS128" s="1069">
        <f t="shared" si="79"/>
        <v>1</v>
      </c>
      <c r="CT128" s="1069">
        <f t="shared" si="80"/>
        <v>1</v>
      </c>
      <c r="CU128" s="1066">
        <f t="shared" si="81"/>
        <v>1</v>
      </c>
      <c r="CV128" s="1066">
        <f t="shared" si="82"/>
        <v>1</v>
      </c>
      <c r="CW128" s="1082">
        <f t="shared" si="83"/>
        <v>0</v>
      </c>
      <c r="CX128" s="1082">
        <f t="shared" si="84"/>
        <v>0</v>
      </c>
    </row>
    <row r="129" spans="1:102" s="322" customFormat="1" ht="21" customHeight="1">
      <c r="A129" s="575"/>
      <c r="B129" s="402" t="s">
        <v>749</v>
      </c>
      <c r="C129" s="603" t="s">
        <v>1048</v>
      </c>
      <c r="D129" s="603" t="s">
        <v>1049</v>
      </c>
      <c r="E129" s="1058" t="s">
        <v>1050</v>
      </c>
      <c r="F129" s="731" t="s">
        <v>803</v>
      </c>
      <c r="G129" s="1051"/>
      <c r="H129" s="1051"/>
      <c r="I129" s="560" t="s">
        <v>33</v>
      </c>
      <c r="J129" s="560" t="s">
        <v>45</v>
      </c>
      <c r="K129" s="604" t="s">
        <v>607</v>
      </c>
      <c r="L129" s="585">
        <v>0</v>
      </c>
      <c r="M129" s="473">
        <v>0</v>
      </c>
      <c r="N129" s="617">
        <v>232</v>
      </c>
      <c r="O129" s="328"/>
      <c r="P129" s="718" t="str">
        <f t="shared" si="43"/>
        <v>1. Small</v>
      </c>
      <c r="Q129" s="965" t="s">
        <v>926</v>
      </c>
      <c r="R129" s="1138"/>
      <c r="S129" s="622" t="s">
        <v>143</v>
      </c>
      <c r="T129" s="323" t="str">
        <f t="shared" si="44"/>
        <v>Covered</v>
      </c>
      <c r="U129" s="561">
        <v>42376</v>
      </c>
      <c r="V129" s="1143"/>
      <c r="W129" s="558" t="s">
        <v>152</v>
      </c>
      <c r="X129" s="627">
        <v>0</v>
      </c>
      <c r="Y129" s="473">
        <v>0</v>
      </c>
      <c r="Z129" s="617" t="s">
        <v>43</v>
      </c>
      <c r="AA129" s="627">
        <v>1</v>
      </c>
      <c r="AB129" s="473">
        <v>0</v>
      </c>
      <c r="AC129" s="473">
        <v>0</v>
      </c>
      <c r="AD129" s="473">
        <v>0</v>
      </c>
      <c r="AE129" s="617"/>
      <c r="AF129" s="599">
        <v>0</v>
      </c>
      <c r="AG129" s="325">
        <v>0</v>
      </c>
      <c r="AH129" s="630">
        <f t="shared" si="45"/>
        <v>1</v>
      </c>
      <c r="AI129" s="574">
        <f t="shared" si="46"/>
        <v>232</v>
      </c>
      <c r="AJ129" s="605">
        <f t="shared" si="47"/>
        <v>1</v>
      </c>
      <c r="AK129" s="574">
        <f t="shared" si="48"/>
        <v>232</v>
      </c>
      <c r="AL129" s="605">
        <f t="shared" si="49"/>
        <v>1</v>
      </c>
      <c r="AM129" s="574">
        <f t="shared" si="50"/>
        <v>232</v>
      </c>
      <c r="AN129" s="605" t="str">
        <f t="shared" si="51"/>
        <v>80-100%</v>
      </c>
      <c r="AO129" s="605">
        <f t="shared" si="52"/>
        <v>0</v>
      </c>
      <c r="AP129" s="574">
        <f t="shared" si="53"/>
        <v>0</v>
      </c>
      <c r="AQ129" s="574" t="str">
        <f t="shared" si="54"/>
        <v>no</v>
      </c>
      <c r="AR129" s="574">
        <f t="shared" si="55"/>
        <v>0</v>
      </c>
      <c r="AS129" s="574">
        <f t="shared" si="56"/>
        <v>0</v>
      </c>
      <c r="AT129" s="574">
        <f t="shared" si="57"/>
        <v>0</v>
      </c>
      <c r="AU129" s="1123">
        <v>1</v>
      </c>
      <c r="AV129" s="635">
        <f t="shared" si="58"/>
        <v>232</v>
      </c>
      <c r="AW129" s="638"/>
      <c r="AX129" s="740">
        <v>0</v>
      </c>
      <c r="AY129" s="428">
        <v>44</v>
      </c>
      <c r="AZ129" s="428">
        <v>42</v>
      </c>
      <c r="BA129" s="473" t="s">
        <v>963</v>
      </c>
      <c r="BB129" s="548">
        <f t="shared" si="59"/>
        <v>1</v>
      </c>
      <c r="BC129" s="606">
        <f t="shared" si="60"/>
        <v>232</v>
      </c>
      <c r="BD129" s="548">
        <f t="shared" si="61"/>
        <v>1</v>
      </c>
      <c r="BE129" s="606">
        <f t="shared" si="62"/>
        <v>232</v>
      </c>
      <c r="BF129" s="549">
        <f t="shared" si="63"/>
        <v>0</v>
      </c>
      <c r="BG129" s="606">
        <f t="shared" si="64"/>
        <v>0</v>
      </c>
      <c r="BH129" s="601" t="s">
        <v>475</v>
      </c>
      <c r="BI129" s="600" t="s">
        <v>475</v>
      </c>
      <c r="BJ129" s="606">
        <f t="shared" si="87"/>
        <v>0</v>
      </c>
      <c r="BK129" s="606" t="str">
        <f t="shared" si="66"/>
        <v>n/a</v>
      </c>
      <c r="BL129" s="428" t="s">
        <v>475</v>
      </c>
      <c r="BM129" s="548" t="str">
        <f t="shared" si="67"/>
        <v>n/a</v>
      </c>
      <c r="BN129" s="606" t="str">
        <f t="shared" si="68"/>
        <v>n/a</v>
      </c>
      <c r="BO129" s="606" t="str">
        <f t="shared" si="69"/>
        <v>n/a</v>
      </c>
      <c r="BP129" s="578" t="s">
        <v>475</v>
      </c>
      <c r="BQ129" s="606" t="s">
        <v>475</v>
      </c>
      <c r="BR129" s="519" t="s">
        <v>475</v>
      </c>
      <c r="BS129" s="548" t="str">
        <f t="shared" si="70"/>
        <v>n/a</v>
      </c>
      <c r="BT129" s="607" t="str">
        <f t="shared" si="71"/>
        <v>n/a</v>
      </c>
      <c r="BU129" s="325">
        <v>1</v>
      </c>
      <c r="BV129" s="650" t="str">
        <f t="shared" si="72"/>
        <v>n/a</v>
      </c>
      <c r="BW129" s="325" t="s">
        <v>567</v>
      </c>
      <c r="BX129" s="602" t="s">
        <v>475</v>
      </c>
      <c r="BY129" s="1189"/>
      <c r="BZ129" s="1189"/>
      <c r="CA129" s="608" t="str">
        <f t="shared" si="73"/>
        <v>n/a</v>
      </c>
      <c r="CB129" s="428">
        <v>0</v>
      </c>
      <c r="CC129" s="428">
        <v>0</v>
      </c>
      <c r="CD129" s="609" t="str">
        <f t="shared" si="74"/>
        <v>n/a</v>
      </c>
      <c r="CE129" s="610" t="str">
        <f t="shared" si="75"/>
        <v>n/a</v>
      </c>
      <c r="CF129" s="609" t="str">
        <f t="shared" si="76"/>
        <v>n/a</v>
      </c>
      <c r="CG129" s="658" t="str">
        <f t="shared" si="77"/>
        <v>n/a</v>
      </c>
      <c r="CH129" s="328" t="s">
        <v>809</v>
      </c>
      <c r="CI129" s="330">
        <v>0</v>
      </c>
      <c r="CJ129" s="664">
        <f t="shared" si="78"/>
        <v>0</v>
      </c>
      <c r="CK129" s="328">
        <v>2</v>
      </c>
      <c r="CL129" s="611" t="s">
        <v>671</v>
      </c>
      <c r="CM129" s="428" t="s">
        <v>475</v>
      </c>
      <c r="CN129" s="428" t="s">
        <v>475</v>
      </c>
      <c r="CO129" s="428" t="s">
        <v>38</v>
      </c>
      <c r="CP129" s="570" t="s">
        <v>170</v>
      </c>
      <c r="CQ129" s="672"/>
      <c r="CS129" s="1069">
        <f t="shared" si="79"/>
        <v>1</v>
      </c>
      <c r="CT129" s="1069">
        <f t="shared" si="80"/>
        <v>1</v>
      </c>
      <c r="CU129" s="1066">
        <f t="shared" si="81"/>
        <v>1</v>
      </c>
      <c r="CV129" s="1066">
        <f t="shared" si="82"/>
        <v>1</v>
      </c>
      <c r="CW129" s="1082">
        <f t="shared" si="83"/>
        <v>0</v>
      </c>
      <c r="CX129" s="1082">
        <f t="shared" si="84"/>
        <v>0</v>
      </c>
    </row>
    <row r="130" spans="1:102" s="322" customFormat="1" ht="21" customHeight="1">
      <c r="A130" s="575"/>
      <c r="B130" s="715" t="s">
        <v>749</v>
      </c>
      <c r="C130" s="1075" t="s">
        <v>1134</v>
      </c>
      <c r="D130" s="1075" t="s">
        <v>870</v>
      </c>
      <c r="E130" s="1058" t="s">
        <v>1135</v>
      </c>
      <c r="F130" s="1086" t="s">
        <v>870</v>
      </c>
      <c r="G130" s="1051"/>
      <c r="H130" s="1051"/>
      <c r="I130" s="560" t="s">
        <v>33</v>
      </c>
      <c r="J130" s="560" t="s">
        <v>34</v>
      </c>
      <c r="K130" s="604" t="s">
        <v>607</v>
      </c>
      <c r="L130" s="585">
        <v>0</v>
      </c>
      <c r="M130" s="473">
        <v>0</v>
      </c>
      <c r="N130" s="570">
        <v>2025</v>
      </c>
      <c r="O130" s="328"/>
      <c r="P130" s="718" t="str">
        <f t="shared" si="43"/>
        <v>3. Large</v>
      </c>
      <c r="Q130" s="965" t="s">
        <v>926</v>
      </c>
      <c r="R130" s="1138"/>
      <c r="S130" s="622" t="s">
        <v>811</v>
      </c>
      <c r="T130" s="323" t="str">
        <f t="shared" si="44"/>
        <v>Covered</v>
      </c>
      <c r="U130" s="561">
        <v>42376</v>
      </c>
      <c r="V130" s="1143"/>
      <c r="W130" s="558" t="s">
        <v>152</v>
      </c>
      <c r="X130" s="627">
        <v>0</v>
      </c>
      <c r="Y130" s="473">
        <v>0</v>
      </c>
      <c r="Z130" s="617" t="s">
        <v>43</v>
      </c>
      <c r="AA130" s="627">
        <v>5</v>
      </c>
      <c r="AB130" s="428">
        <v>70</v>
      </c>
      <c r="AC130" s="473">
        <v>0</v>
      </c>
      <c r="AD130" s="473">
        <v>4</v>
      </c>
      <c r="AE130" s="617"/>
      <c r="AF130" s="599">
        <v>0</v>
      </c>
      <c r="AG130" s="325">
        <v>0</v>
      </c>
      <c r="AH130" s="630">
        <f t="shared" si="45"/>
        <v>1</v>
      </c>
      <c r="AI130" s="574">
        <f t="shared" si="46"/>
        <v>2025</v>
      </c>
      <c r="AJ130" s="605">
        <f t="shared" si="47"/>
        <v>1</v>
      </c>
      <c r="AK130" s="574">
        <f t="shared" si="48"/>
        <v>2025</v>
      </c>
      <c r="AL130" s="605">
        <f t="shared" si="49"/>
        <v>1</v>
      </c>
      <c r="AM130" s="574">
        <f t="shared" si="50"/>
        <v>2025</v>
      </c>
      <c r="AN130" s="605" t="str">
        <f t="shared" si="51"/>
        <v>80-100%</v>
      </c>
      <c r="AO130" s="605">
        <f t="shared" si="52"/>
        <v>0</v>
      </c>
      <c r="AP130" s="574">
        <f t="shared" si="53"/>
        <v>0</v>
      </c>
      <c r="AQ130" s="574" t="str">
        <f t="shared" si="54"/>
        <v>yes</v>
      </c>
      <c r="AR130" s="574">
        <f t="shared" si="55"/>
        <v>0</v>
      </c>
      <c r="AS130" s="574">
        <f t="shared" si="56"/>
        <v>0</v>
      </c>
      <c r="AT130" s="574">
        <f t="shared" si="57"/>
        <v>0</v>
      </c>
      <c r="AU130" s="330">
        <v>1</v>
      </c>
      <c r="AV130" s="635">
        <f t="shared" si="58"/>
        <v>2025</v>
      </c>
      <c r="AW130" s="1155" t="s">
        <v>884</v>
      </c>
      <c r="AX130" s="740">
        <v>0</v>
      </c>
      <c r="AY130" s="428"/>
      <c r="AZ130" s="428">
        <v>42</v>
      </c>
      <c r="BA130" s="473"/>
      <c r="BB130" s="548">
        <f t="shared" si="59"/>
        <v>0</v>
      </c>
      <c r="BC130" s="606">
        <f t="shared" si="60"/>
        <v>0</v>
      </c>
      <c r="BD130" s="548">
        <f t="shared" si="61"/>
        <v>0</v>
      </c>
      <c r="BE130" s="606">
        <f t="shared" si="62"/>
        <v>0</v>
      </c>
      <c r="BF130" s="549">
        <f t="shared" si="63"/>
        <v>0</v>
      </c>
      <c r="BG130" s="606">
        <f t="shared" si="64"/>
        <v>0</v>
      </c>
      <c r="BH130" s="600" t="s">
        <v>475</v>
      </c>
      <c r="BI130" s="600" t="s">
        <v>475</v>
      </c>
      <c r="BJ130" s="606">
        <f t="shared" si="87"/>
        <v>0</v>
      </c>
      <c r="BK130" s="606" t="str">
        <f t="shared" si="66"/>
        <v>n/a</v>
      </c>
      <c r="BL130" s="428" t="s">
        <v>475</v>
      </c>
      <c r="BM130" s="548" t="str">
        <f t="shared" si="67"/>
        <v>n/a</v>
      </c>
      <c r="BN130" s="606" t="str">
        <f t="shared" si="68"/>
        <v>n/a</v>
      </c>
      <c r="BO130" s="606" t="str">
        <f t="shared" si="69"/>
        <v>n/a</v>
      </c>
      <c r="BP130" s="428" t="s">
        <v>475</v>
      </c>
      <c r="BQ130" s="606" t="s">
        <v>475</v>
      </c>
      <c r="BR130" s="428" t="s">
        <v>475</v>
      </c>
      <c r="BS130" s="548" t="str">
        <f t="shared" si="70"/>
        <v>n/a</v>
      </c>
      <c r="BT130" s="607" t="str">
        <f t="shared" si="71"/>
        <v>n/a</v>
      </c>
      <c r="BU130" s="325">
        <v>0.7</v>
      </c>
      <c r="BV130" s="650" t="str">
        <f t="shared" si="72"/>
        <v>n/a</v>
      </c>
      <c r="BW130" s="1165" t="s">
        <v>891</v>
      </c>
      <c r="BX130" s="602" t="s">
        <v>475</v>
      </c>
      <c r="BY130" s="1189"/>
      <c r="BZ130" s="1189"/>
      <c r="CA130" s="608" t="str">
        <f t="shared" si="73"/>
        <v>n/a</v>
      </c>
      <c r="CB130" s="428">
        <v>0</v>
      </c>
      <c r="CC130" s="428">
        <v>0</v>
      </c>
      <c r="CD130" s="609" t="str">
        <f t="shared" si="74"/>
        <v>n/a</v>
      </c>
      <c r="CE130" s="610" t="str">
        <f t="shared" si="75"/>
        <v>n/a</v>
      </c>
      <c r="CF130" s="609" t="str">
        <f t="shared" si="76"/>
        <v>n/a</v>
      </c>
      <c r="CG130" s="658" t="str">
        <f t="shared" si="77"/>
        <v>n/a</v>
      </c>
      <c r="CH130" s="743" t="s">
        <v>893</v>
      </c>
      <c r="CI130" s="330">
        <v>0</v>
      </c>
      <c r="CJ130" s="664">
        <f t="shared" si="78"/>
        <v>0</v>
      </c>
      <c r="CK130" s="328">
        <v>0</v>
      </c>
      <c r="CL130" s="611" t="s">
        <v>671</v>
      </c>
      <c r="CM130" s="428" t="s">
        <v>475</v>
      </c>
      <c r="CN130" s="428" t="s">
        <v>475</v>
      </c>
      <c r="CO130" s="428" t="s">
        <v>38</v>
      </c>
      <c r="CP130" s="570" t="s">
        <v>170</v>
      </c>
      <c r="CQ130" s="1167" t="s">
        <v>894</v>
      </c>
      <c r="CS130" s="1069">
        <f t="shared" si="79"/>
        <v>1</v>
      </c>
      <c r="CT130" s="1069">
        <f t="shared" si="80"/>
        <v>1</v>
      </c>
      <c r="CU130" s="1066">
        <f t="shared" si="81"/>
        <v>1</v>
      </c>
      <c r="CV130" s="1066">
        <f t="shared" si="82"/>
        <v>1</v>
      </c>
      <c r="CW130" s="1082">
        <f t="shared" si="83"/>
        <v>0</v>
      </c>
      <c r="CX130" s="1082">
        <f t="shared" si="84"/>
        <v>0</v>
      </c>
    </row>
    <row r="131" spans="1:102" s="322" customFormat="1" ht="21" customHeight="1">
      <c r="A131" s="575"/>
      <c r="B131" s="715" t="s">
        <v>749</v>
      </c>
      <c r="C131" s="1075" t="s">
        <v>1123</v>
      </c>
      <c r="D131" s="1075" t="s">
        <v>1124</v>
      </c>
      <c r="E131" s="1058" t="s">
        <v>1125</v>
      </c>
      <c r="F131" s="1086" t="s">
        <v>864</v>
      </c>
      <c r="G131" s="1051"/>
      <c r="H131" s="1051"/>
      <c r="I131" s="560" t="s">
        <v>33</v>
      </c>
      <c r="J131" s="560" t="s">
        <v>34</v>
      </c>
      <c r="K131" s="604" t="s">
        <v>607</v>
      </c>
      <c r="L131" s="585">
        <v>0</v>
      </c>
      <c r="M131" s="473">
        <v>0</v>
      </c>
      <c r="N131" s="716">
        <v>566</v>
      </c>
      <c r="O131" s="328"/>
      <c r="P131" s="718" t="str">
        <f t="shared" si="43"/>
        <v>2. Medium</v>
      </c>
      <c r="Q131" s="965" t="s">
        <v>926</v>
      </c>
      <c r="R131" s="1138"/>
      <c r="S131" s="622" t="s">
        <v>811</v>
      </c>
      <c r="T131" s="323" t="str">
        <f t="shared" si="44"/>
        <v>Covered</v>
      </c>
      <c r="U131" s="561">
        <v>42376</v>
      </c>
      <c r="V131" s="1143"/>
      <c r="W131" s="558" t="s">
        <v>152</v>
      </c>
      <c r="X131" s="627">
        <v>0</v>
      </c>
      <c r="Y131" s="473">
        <v>0</v>
      </c>
      <c r="Z131" s="617" t="s">
        <v>43</v>
      </c>
      <c r="AA131" s="627">
        <v>0</v>
      </c>
      <c r="AB131" s="473">
        <v>3</v>
      </c>
      <c r="AC131" s="473">
        <v>0</v>
      </c>
      <c r="AD131" s="473">
        <v>3</v>
      </c>
      <c r="AE131" s="617"/>
      <c r="AF131" s="599">
        <v>0</v>
      </c>
      <c r="AG131" s="325">
        <v>0</v>
      </c>
      <c r="AH131" s="630">
        <f t="shared" si="45"/>
        <v>1</v>
      </c>
      <c r="AI131" s="574">
        <f t="shared" si="46"/>
        <v>566</v>
      </c>
      <c r="AJ131" s="605">
        <f t="shared" si="47"/>
        <v>1</v>
      </c>
      <c r="AK131" s="574">
        <f t="shared" si="48"/>
        <v>566</v>
      </c>
      <c r="AL131" s="605">
        <f t="shared" si="49"/>
        <v>1</v>
      </c>
      <c r="AM131" s="574">
        <f t="shared" si="50"/>
        <v>566</v>
      </c>
      <c r="AN131" s="605" t="str">
        <f t="shared" si="51"/>
        <v>80-100%</v>
      </c>
      <c r="AO131" s="605">
        <f t="shared" si="52"/>
        <v>0</v>
      </c>
      <c r="AP131" s="574">
        <f t="shared" si="53"/>
        <v>0</v>
      </c>
      <c r="AQ131" s="574" t="str">
        <f t="shared" si="54"/>
        <v>yes</v>
      </c>
      <c r="AR131" s="574">
        <f t="shared" si="55"/>
        <v>0</v>
      </c>
      <c r="AS131" s="574">
        <f t="shared" si="56"/>
        <v>0</v>
      </c>
      <c r="AT131" s="574">
        <f t="shared" si="57"/>
        <v>0</v>
      </c>
      <c r="AU131" s="330">
        <v>1</v>
      </c>
      <c r="AV131" s="635">
        <f t="shared" si="58"/>
        <v>566</v>
      </c>
      <c r="AW131" s="1155" t="s">
        <v>884</v>
      </c>
      <c r="AX131" s="740">
        <v>0</v>
      </c>
      <c r="AY131" s="428"/>
      <c r="AZ131" s="428">
        <v>42</v>
      </c>
      <c r="BA131" s="473"/>
      <c r="BB131" s="548">
        <f t="shared" si="59"/>
        <v>0</v>
      </c>
      <c r="BC131" s="606">
        <f t="shared" si="60"/>
        <v>0</v>
      </c>
      <c r="BD131" s="548">
        <f t="shared" si="61"/>
        <v>0</v>
      </c>
      <c r="BE131" s="606">
        <f t="shared" si="62"/>
        <v>0</v>
      </c>
      <c r="BF131" s="549">
        <f t="shared" si="63"/>
        <v>0</v>
      </c>
      <c r="BG131" s="606">
        <f t="shared" si="64"/>
        <v>0</v>
      </c>
      <c r="BH131" s="600" t="s">
        <v>475</v>
      </c>
      <c r="BI131" s="600" t="s">
        <v>475</v>
      </c>
      <c r="BJ131" s="606">
        <f t="shared" si="87"/>
        <v>0</v>
      </c>
      <c r="BK131" s="606" t="str">
        <f t="shared" si="66"/>
        <v>n/a</v>
      </c>
      <c r="BL131" s="428" t="s">
        <v>475</v>
      </c>
      <c r="BM131" s="548" t="str">
        <f t="shared" si="67"/>
        <v>n/a</v>
      </c>
      <c r="BN131" s="606" t="str">
        <f t="shared" si="68"/>
        <v>n/a</v>
      </c>
      <c r="BO131" s="606" t="str">
        <f t="shared" si="69"/>
        <v>n/a</v>
      </c>
      <c r="BP131" s="428" t="s">
        <v>475</v>
      </c>
      <c r="BQ131" s="606" t="s">
        <v>475</v>
      </c>
      <c r="BR131" s="428" t="s">
        <v>475</v>
      </c>
      <c r="BS131" s="548" t="str">
        <f t="shared" si="70"/>
        <v>n/a</v>
      </c>
      <c r="BT131" s="607" t="str">
        <f t="shared" si="71"/>
        <v>n/a</v>
      </c>
      <c r="BU131" s="325">
        <v>0.7</v>
      </c>
      <c r="BV131" s="650" t="str">
        <f t="shared" si="72"/>
        <v>n/a</v>
      </c>
      <c r="BW131" s="1165" t="s">
        <v>891</v>
      </c>
      <c r="BX131" s="602" t="s">
        <v>475</v>
      </c>
      <c r="BY131" s="1189"/>
      <c r="BZ131" s="1189"/>
      <c r="CA131" s="608" t="str">
        <f t="shared" si="73"/>
        <v>n/a</v>
      </c>
      <c r="CB131" s="428">
        <v>0</v>
      </c>
      <c r="CC131" s="428">
        <v>0</v>
      </c>
      <c r="CD131" s="609" t="str">
        <f t="shared" si="74"/>
        <v>n/a</v>
      </c>
      <c r="CE131" s="610" t="str">
        <f t="shared" si="75"/>
        <v>n/a</v>
      </c>
      <c r="CF131" s="609" t="str">
        <f t="shared" si="76"/>
        <v>n/a</v>
      </c>
      <c r="CG131" s="658" t="str">
        <f t="shared" si="77"/>
        <v>n/a</v>
      </c>
      <c r="CH131" s="743" t="s">
        <v>893</v>
      </c>
      <c r="CI131" s="330">
        <v>0</v>
      </c>
      <c r="CJ131" s="664">
        <f t="shared" si="78"/>
        <v>0</v>
      </c>
      <c r="CK131" s="328">
        <v>0</v>
      </c>
      <c r="CL131" s="611" t="s">
        <v>671</v>
      </c>
      <c r="CM131" s="428" t="s">
        <v>475</v>
      </c>
      <c r="CN131" s="428" t="s">
        <v>475</v>
      </c>
      <c r="CO131" s="428" t="s">
        <v>38</v>
      </c>
      <c r="CP131" s="570" t="s">
        <v>170</v>
      </c>
      <c r="CQ131" s="1167" t="s">
        <v>894</v>
      </c>
      <c r="CS131" s="1069">
        <f t="shared" si="79"/>
        <v>1</v>
      </c>
      <c r="CT131" s="1069">
        <f t="shared" si="80"/>
        <v>1</v>
      </c>
      <c r="CU131" s="1066">
        <f t="shared" si="81"/>
        <v>1</v>
      </c>
      <c r="CV131" s="1066">
        <f t="shared" si="82"/>
        <v>1</v>
      </c>
      <c r="CW131" s="1082">
        <f t="shared" si="83"/>
        <v>0</v>
      </c>
      <c r="CX131" s="1082">
        <f t="shared" si="84"/>
        <v>0</v>
      </c>
    </row>
    <row r="132" spans="1:102" s="322" customFormat="1" ht="21" customHeight="1">
      <c r="A132" s="575"/>
      <c r="B132" s="402" t="s">
        <v>749</v>
      </c>
      <c r="C132" s="603" t="s">
        <v>1042</v>
      </c>
      <c r="D132" s="603" t="s">
        <v>799</v>
      </c>
      <c r="E132" s="1058" t="s">
        <v>1044</v>
      </c>
      <c r="F132" s="731" t="s">
        <v>797</v>
      </c>
      <c r="G132" s="1051"/>
      <c r="H132" s="1051"/>
      <c r="I132" s="560" t="s">
        <v>33</v>
      </c>
      <c r="J132" s="560" t="s">
        <v>34</v>
      </c>
      <c r="K132" s="604" t="s">
        <v>607</v>
      </c>
      <c r="L132" s="585">
        <v>0</v>
      </c>
      <c r="M132" s="473">
        <v>0</v>
      </c>
      <c r="N132" s="617">
        <v>750</v>
      </c>
      <c r="O132" s="328"/>
      <c r="P132" s="718" t="str">
        <f t="shared" si="43"/>
        <v>2. Medium</v>
      </c>
      <c r="Q132" s="965" t="s">
        <v>926</v>
      </c>
      <c r="R132" s="1138"/>
      <c r="S132" s="622" t="s">
        <v>143</v>
      </c>
      <c r="T132" s="323" t="str">
        <f t="shared" si="44"/>
        <v>Covered</v>
      </c>
      <c r="U132" s="561">
        <v>42376</v>
      </c>
      <c r="V132" s="1143"/>
      <c r="W132" s="558" t="s">
        <v>152</v>
      </c>
      <c r="X132" s="627">
        <v>0</v>
      </c>
      <c r="Y132" s="473">
        <v>0</v>
      </c>
      <c r="Z132" s="617" t="s">
        <v>43</v>
      </c>
      <c r="AA132" s="627">
        <v>4</v>
      </c>
      <c r="AB132" s="473">
        <v>50</v>
      </c>
      <c r="AC132" s="473">
        <v>0</v>
      </c>
      <c r="AD132" s="473">
        <v>0</v>
      </c>
      <c r="AE132" s="617"/>
      <c r="AF132" s="599">
        <v>0</v>
      </c>
      <c r="AG132" s="325">
        <v>0</v>
      </c>
      <c r="AH132" s="630">
        <f t="shared" si="45"/>
        <v>1</v>
      </c>
      <c r="AI132" s="574">
        <f t="shared" si="46"/>
        <v>750</v>
      </c>
      <c r="AJ132" s="605">
        <f t="shared" si="47"/>
        <v>1</v>
      </c>
      <c r="AK132" s="574">
        <f t="shared" si="48"/>
        <v>750</v>
      </c>
      <c r="AL132" s="605">
        <f t="shared" si="49"/>
        <v>1</v>
      </c>
      <c r="AM132" s="574">
        <f t="shared" si="50"/>
        <v>750</v>
      </c>
      <c r="AN132" s="605" t="str">
        <f t="shared" si="51"/>
        <v>80-100%</v>
      </c>
      <c r="AO132" s="605">
        <f t="shared" si="52"/>
        <v>0</v>
      </c>
      <c r="AP132" s="574">
        <f t="shared" si="53"/>
        <v>0</v>
      </c>
      <c r="AQ132" s="574" t="str">
        <f t="shared" si="54"/>
        <v>no</v>
      </c>
      <c r="AR132" s="574">
        <f t="shared" si="55"/>
        <v>0</v>
      </c>
      <c r="AS132" s="574">
        <f t="shared" si="56"/>
        <v>0</v>
      </c>
      <c r="AT132" s="574">
        <f t="shared" si="57"/>
        <v>0</v>
      </c>
      <c r="AU132" s="1123">
        <v>1</v>
      </c>
      <c r="AV132" s="635">
        <f t="shared" si="58"/>
        <v>750</v>
      </c>
      <c r="AW132" s="638"/>
      <c r="AX132" s="740">
        <v>0</v>
      </c>
      <c r="AY132" s="428">
        <v>65</v>
      </c>
      <c r="AZ132" s="428">
        <v>42</v>
      </c>
      <c r="BA132" s="473" t="s">
        <v>526</v>
      </c>
      <c r="BB132" s="548">
        <f t="shared" si="59"/>
        <v>1</v>
      </c>
      <c r="BC132" s="606">
        <f t="shared" si="60"/>
        <v>750</v>
      </c>
      <c r="BD132" s="548">
        <f t="shared" si="61"/>
        <v>1</v>
      </c>
      <c r="BE132" s="606">
        <f t="shared" si="62"/>
        <v>750</v>
      </c>
      <c r="BF132" s="549">
        <f t="shared" si="63"/>
        <v>0</v>
      </c>
      <c r="BG132" s="606">
        <f t="shared" si="64"/>
        <v>0</v>
      </c>
      <c r="BH132" s="601" t="s">
        <v>475</v>
      </c>
      <c r="BI132" s="600" t="s">
        <v>475</v>
      </c>
      <c r="BJ132" s="606">
        <f t="shared" si="87"/>
        <v>0</v>
      </c>
      <c r="BK132" s="606" t="str">
        <f t="shared" si="66"/>
        <v>n/a</v>
      </c>
      <c r="BL132" s="428" t="s">
        <v>475</v>
      </c>
      <c r="BM132" s="548" t="str">
        <f t="shared" si="67"/>
        <v>n/a</v>
      </c>
      <c r="BN132" s="606" t="str">
        <f t="shared" si="68"/>
        <v>n/a</v>
      </c>
      <c r="BO132" s="606" t="str">
        <f t="shared" si="69"/>
        <v>n/a</v>
      </c>
      <c r="BP132" s="578" t="s">
        <v>475</v>
      </c>
      <c r="BQ132" s="606" t="s">
        <v>475</v>
      </c>
      <c r="BR132" s="519" t="s">
        <v>475</v>
      </c>
      <c r="BS132" s="548" t="str">
        <f t="shared" si="70"/>
        <v>n/a</v>
      </c>
      <c r="BT132" s="607" t="str">
        <f t="shared" si="71"/>
        <v>n/a</v>
      </c>
      <c r="BU132" s="325">
        <v>1</v>
      </c>
      <c r="BV132" s="650" t="str">
        <f t="shared" si="72"/>
        <v>n/a</v>
      </c>
      <c r="BW132" s="325" t="s">
        <v>567</v>
      </c>
      <c r="BX132" s="602" t="s">
        <v>475</v>
      </c>
      <c r="BY132" s="1189"/>
      <c r="BZ132" s="1189"/>
      <c r="CA132" s="608" t="str">
        <f t="shared" si="73"/>
        <v>n/a</v>
      </c>
      <c r="CB132" s="428">
        <v>0</v>
      </c>
      <c r="CC132" s="428">
        <v>0</v>
      </c>
      <c r="CD132" s="609" t="str">
        <f t="shared" si="74"/>
        <v>n/a</v>
      </c>
      <c r="CE132" s="610" t="str">
        <f t="shared" si="75"/>
        <v>n/a</v>
      </c>
      <c r="CF132" s="609" t="str">
        <f t="shared" si="76"/>
        <v>n/a</v>
      </c>
      <c r="CG132" s="658" t="str">
        <f t="shared" si="77"/>
        <v>n/a</v>
      </c>
      <c r="CH132" s="328" t="s">
        <v>809</v>
      </c>
      <c r="CI132" s="330">
        <v>0.5</v>
      </c>
      <c r="CJ132" s="664">
        <f t="shared" si="78"/>
        <v>375</v>
      </c>
      <c r="CK132" s="328">
        <v>2</v>
      </c>
      <c r="CL132" s="611" t="s">
        <v>671</v>
      </c>
      <c r="CM132" s="428" t="s">
        <v>475</v>
      </c>
      <c r="CN132" s="428" t="s">
        <v>475</v>
      </c>
      <c r="CO132" s="428" t="s">
        <v>38</v>
      </c>
      <c r="CP132" s="570" t="s">
        <v>170</v>
      </c>
      <c r="CQ132" s="672"/>
      <c r="CS132" s="1069">
        <f t="shared" si="79"/>
        <v>1</v>
      </c>
      <c r="CT132" s="1069">
        <f t="shared" si="80"/>
        <v>1</v>
      </c>
      <c r="CU132" s="1066">
        <f t="shared" si="81"/>
        <v>1</v>
      </c>
      <c r="CV132" s="1066">
        <f t="shared" si="82"/>
        <v>1</v>
      </c>
      <c r="CW132" s="1082">
        <f t="shared" si="83"/>
        <v>0</v>
      </c>
      <c r="CX132" s="1082">
        <f t="shared" si="84"/>
        <v>0</v>
      </c>
    </row>
    <row r="133" spans="1:102" ht="21" customHeight="1">
      <c r="A133" s="358"/>
      <c r="B133" s="715" t="s">
        <v>749</v>
      </c>
      <c r="C133" s="1075" t="s">
        <v>1123</v>
      </c>
      <c r="D133" s="1075" t="s">
        <v>1124</v>
      </c>
      <c r="E133" s="1058" t="s">
        <v>1126</v>
      </c>
      <c r="F133" s="1086" t="s">
        <v>865</v>
      </c>
      <c r="G133" s="1051"/>
      <c r="H133" s="1051"/>
      <c r="I133" s="560" t="s">
        <v>33</v>
      </c>
      <c r="J133" s="560" t="s">
        <v>34</v>
      </c>
      <c r="K133" s="604" t="s">
        <v>607</v>
      </c>
      <c r="L133" s="585">
        <v>0</v>
      </c>
      <c r="M133" s="473">
        <v>0</v>
      </c>
      <c r="N133" s="716">
        <v>2701</v>
      </c>
      <c r="O133" s="328"/>
      <c r="P133" s="718" t="str">
        <f t="shared" ref="P133:P196" si="88">IF(I133="Village",IF(N133&gt;1000,"3. Large",IF(N133&gt;500,"2. Medium","1. Small")),IF(L133&gt;50,IF(L133&gt;250,IF(L133&gt;500,IF(L133&gt;1000,"5. Massive","4. Big"),"3. Large"),"2. Medium"),"1. Small"))</f>
        <v>3. Large</v>
      </c>
      <c r="Q133" s="965" t="s">
        <v>926</v>
      </c>
      <c r="R133" s="1138"/>
      <c r="S133" s="622" t="s">
        <v>811</v>
      </c>
      <c r="T133" s="323" t="str">
        <f t="shared" ref="T133:T196" si="89">IF(S133="None","Not Covered","Covered")</f>
        <v>Covered</v>
      </c>
      <c r="U133" s="561">
        <v>42376</v>
      </c>
      <c r="V133" s="1143"/>
      <c r="W133" s="558" t="s">
        <v>152</v>
      </c>
      <c r="X133" s="627">
        <v>0</v>
      </c>
      <c r="Y133" s="473">
        <v>0</v>
      </c>
      <c r="Z133" s="617" t="s">
        <v>43</v>
      </c>
      <c r="AA133" s="627">
        <v>0</v>
      </c>
      <c r="AB133" s="473">
        <v>5</v>
      </c>
      <c r="AC133" s="473">
        <v>0</v>
      </c>
      <c r="AD133" s="473">
        <v>5</v>
      </c>
      <c r="AE133" s="617"/>
      <c r="AF133" s="599">
        <v>0</v>
      </c>
      <c r="AG133" s="325">
        <v>0</v>
      </c>
      <c r="AH133" s="630">
        <f t="shared" ref="AH133:AH196" si="90">IF(I133="Camp",CS133,CT133)</f>
        <v>0.46279155868196964</v>
      </c>
      <c r="AI133" s="574">
        <f t="shared" ref="AI133:AI196" si="91">AH133*N133</f>
        <v>1250</v>
      </c>
      <c r="AJ133" s="605">
        <f t="shared" ref="AJ133:AJ196" si="92">IF(I133="Camp",CU133,CV133)</f>
        <v>0.46279155868196964</v>
      </c>
      <c r="AK133" s="574">
        <f t="shared" ref="AK133:AK196" si="93">AJ133*N133</f>
        <v>1250</v>
      </c>
      <c r="AL133" s="605">
        <f t="shared" ref="AL133:AL196" si="94">IF(AG133=0,AH133,IF(AG133&lt;AH133,AH133,AG133))</f>
        <v>0.46279155868196964</v>
      </c>
      <c r="AM133" s="574">
        <f t="shared" ref="AM133:AM196" si="95">AL133*N133</f>
        <v>1250</v>
      </c>
      <c r="AN133" s="605" t="str">
        <f t="shared" ref="AN133:AN196" si="96">IF(AH133&gt;0.15,IF(AH133&gt;0.3,IF(AH133&gt;0.45,IF(AH133&gt;0.6,IF(AH133&gt;0.8,"80-100%","60-80%"),"45-60%"),"30-45%"),"15-30%"),"0-10%")</f>
        <v>45-60%</v>
      </c>
      <c r="AO133" s="605">
        <f t="shared" ref="AO133:AO196" si="97">AH133-AJ133</f>
        <v>0</v>
      </c>
      <c r="AP133" s="574">
        <f t="shared" ref="AP133:AP196" si="98">AO133*N133</f>
        <v>0</v>
      </c>
      <c r="AQ133" s="574" t="str">
        <f t="shared" ref="AQ133:AQ196" si="99">IF(AD133=0,"no","yes")</f>
        <v>yes</v>
      </c>
      <c r="AR133" s="574">
        <f t="shared" ref="AR133:AR196" si="100">IF(I133="Camp",CW133,CX133)</f>
        <v>5.8040000000000003</v>
      </c>
      <c r="AS133" s="574">
        <f t="shared" ref="AS133:AS196" si="101">AG133*N133</f>
        <v>0</v>
      </c>
      <c r="AT133" s="574">
        <f t="shared" ref="AT133:AT196" si="102">AF133*N133</f>
        <v>0</v>
      </c>
      <c r="AU133" s="330">
        <v>0.9</v>
      </c>
      <c r="AV133" s="635">
        <f t="shared" ref="AV133:AV196" si="103">AU133*N133</f>
        <v>2430.9</v>
      </c>
      <c r="AW133" s="1155" t="s">
        <v>884</v>
      </c>
      <c r="AX133" s="740">
        <v>0</v>
      </c>
      <c r="AY133" s="428"/>
      <c r="AZ133" s="428">
        <v>42</v>
      </c>
      <c r="BA133" s="473"/>
      <c r="BB133" s="548">
        <f t="shared" ref="BB133:BB196" si="104">IF(I133="Village",IF((((AY133)*AZ133)/N133)&gt;1,1,(((AY133)*AZ133)/N133)),IF((((AX133+AY133)*20)/N133)&gt;1,1,(((AX133+AY133)*20)/N133)))</f>
        <v>0</v>
      </c>
      <c r="BC133" s="606">
        <f t="shared" ref="BC133:BC196" si="105">BB133*N133</f>
        <v>0</v>
      </c>
      <c r="BD133" s="548">
        <f t="shared" ref="BD133:BD196" si="106">IF(I133="Village",IF(((AY133*AZ133)/N133)&gt;1,1,((AY133*AZ133)/N133)),IF(((AY133*20)/N133)&gt;1,1,((AY133*20)/N133)))</f>
        <v>0</v>
      </c>
      <c r="BE133" s="606">
        <f t="shared" ref="BE133:BE196" si="107">IF(I133="Village",BD133*N133,BD133*N133)</f>
        <v>0</v>
      </c>
      <c r="BF133" s="549">
        <f t="shared" ref="BF133:BF196" si="108">IF(I133="Village",BB133-BD133,BB133-BD133)</f>
        <v>0</v>
      </c>
      <c r="BG133" s="606">
        <f t="shared" ref="BG133:BG196" si="109">IF(I133="Village",BF133*N133,BF133*N133)</f>
        <v>0</v>
      </c>
      <c r="BH133" s="600" t="s">
        <v>475</v>
      </c>
      <c r="BI133" s="600" t="s">
        <v>475</v>
      </c>
      <c r="BJ133" s="606">
        <f t="shared" si="87"/>
        <v>0</v>
      </c>
      <c r="BK133" s="606" t="str">
        <f t="shared" ref="BK133:BK196" si="110">IF(I133="Village","n/a",IF((N133/20-AY133)&lt;0,0,(N133/20-AY133)))</f>
        <v>n/a</v>
      </c>
      <c r="BL133" s="428" t="s">
        <v>475</v>
      </c>
      <c r="BM133" s="548" t="str">
        <f t="shared" ref="BM133:BM196" si="111">IF(I133="Village","n/a",IF((BL133*5.6/N133)&gt;1,1,(BL133*5.6/N133)))</f>
        <v>n/a</v>
      </c>
      <c r="BN133" s="606" t="str">
        <f t="shared" ref="BN133:BN196" si="112">IF(I133="Village","n/a",BM133*N133)</f>
        <v>n/a</v>
      </c>
      <c r="BO133" s="606" t="str">
        <f t="shared" ref="BO133:BO196" si="113">IF(I133="Village","n/a",IF(N133/5.6-BL133&lt;0,0,N133/5.6-BL133))</f>
        <v>n/a</v>
      </c>
      <c r="BP133" s="428" t="s">
        <v>475</v>
      </c>
      <c r="BQ133" s="606" t="s">
        <v>475</v>
      </c>
      <c r="BR133" s="428" t="s">
        <v>475</v>
      </c>
      <c r="BS133" s="548" t="str">
        <f t="shared" ref="BS133:BS196" si="114">IF(I133="Village","n/a",IF((BR133*100/N133)&gt;1,1,(BR133*100/N133)))</f>
        <v>n/a</v>
      </c>
      <c r="BT133" s="607" t="str">
        <f t="shared" ref="BT133:BT196" si="115">IF(I133="Village","n/a",IF(N133/100-BR133&lt;0,0,N133/100-BR133))</f>
        <v>n/a</v>
      </c>
      <c r="BU133" s="325">
        <v>0.7</v>
      </c>
      <c r="BV133" s="650" t="str">
        <f t="shared" ref="BV133:BV196" si="116">IF(I133="Village","n/a",BU133*N133)</f>
        <v>n/a</v>
      </c>
      <c r="BW133" s="1165" t="s">
        <v>891</v>
      </c>
      <c r="BX133" s="602" t="s">
        <v>475</v>
      </c>
      <c r="BY133" s="1189"/>
      <c r="BZ133" s="1189"/>
      <c r="CA133" s="608" t="str">
        <f t="shared" ref="CA133:CA196" si="117">IF(I133="Camp",IF(BX133="","To be done",IF(BX133+365&lt;$F$2,"To be done",BX133+365)),"n/a")</f>
        <v>n/a</v>
      </c>
      <c r="CB133" s="428">
        <v>0</v>
      </c>
      <c r="CC133" s="428">
        <v>0</v>
      </c>
      <c r="CD133" s="609" t="str">
        <f t="shared" ref="CD133:CD196" si="118">IF(CA133="n/a","n/a",IF(CA133="To be done",L133,IF((L133-CB133)&lt;0,0,(L133-CB133))))</f>
        <v>n/a</v>
      </c>
      <c r="CE133" s="610" t="str">
        <f t="shared" ref="CE133:CE196" si="119">IF(CA133="n/a","n/a",IF(CD133=0,1,(L133-CD133)/L133))</f>
        <v>n/a</v>
      </c>
      <c r="CF133" s="609" t="str">
        <f t="shared" ref="CF133:CF196" si="120">IF(CE133="n/a","n/a",CE133*N133)</f>
        <v>n/a</v>
      </c>
      <c r="CG133" s="658" t="str">
        <f t="shared" ref="CG133:CG196" si="121">IF(CE133="n/a","n/a",IF(BX133="",IF((CC133-1/1/2014)/30&lt;0,0,ROUND((CC133-(1/1/2014)/30),0)), IF(($F$2-BX133)/30-CC133&lt;0,0,ROUND((($F$2-BX133)/30-CC133),0))))</f>
        <v>n/a</v>
      </c>
      <c r="CH133" s="743" t="s">
        <v>893</v>
      </c>
      <c r="CI133" s="330">
        <v>0</v>
      </c>
      <c r="CJ133" s="664">
        <f t="shared" ref="CJ133:CJ196" si="122">CI133*N133</f>
        <v>0</v>
      </c>
      <c r="CK133" s="328">
        <v>0</v>
      </c>
      <c r="CL133" s="611" t="s">
        <v>671</v>
      </c>
      <c r="CM133" s="428" t="s">
        <v>475</v>
      </c>
      <c r="CN133" s="428" t="s">
        <v>475</v>
      </c>
      <c r="CO133" s="428" t="s">
        <v>38</v>
      </c>
      <c r="CP133" s="570" t="s">
        <v>170</v>
      </c>
      <c r="CQ133" s="1167" t="s">
        <v>894</v>
      </c>
      <c r="CS133" s="1069">
        <f t="shared" ref="CS133:CS196" si="123">IF((((1000*X133/15)+(1000*(Y133/30)/15)+AA133*400+AB133*500+(1000*AC133/15))/N133)&gt;1,1,(((1000*X133/15)+(1000*(Y133/30)/15)+AA133*400+AB133*500+(1000*AC133/15))/N133))</f>
        <v>0.92558311736393928</v>
      </c>
      <c r="CT133" s="1069">
        <f t="shared" ref="CT133:CT196" si="124">IF((((1000*X133/15)+(1000*(Y133/30)/15)+AA133*250+AB133*250+(1000*AC133/15))/N133)&gt;1,1,(((1000*X133/15)+(1000*(Y133/30)/15)+AA133*250+AB133*250+(1000*AC133/15))/N133))</f>
        <v>0.46279155868196964</v>
      </c>
      <c r="CU133" s="1066">
        <f t="shared" ref="CU133:CU196" si="125">IF(((AA133*400+AB133*500+(1000*AC133/15))/N133)&gt;1,1,(AA133*400+AB133*500+(1000*AC133/15))/N133)</f>
        <v>0.92558311736393928</v>
      </c>
      <c r="CV133" s="1066">
        <f t="shared" ref="CV133:CV196" si="126">IF(((AA133*250+AB133*250+(1000*AC133/15))/N133)&gt;1,1,(AA133*250+AB133*250+(1000*AC133/15))/N133)</f>
        <v>0.46279155868196964</v>
      </c>
      <c r="CW133" s="1082">
        <f t="shared" ref="CW133:CW196" si="127">IF(N133/400-(AA133+AB133)&lt;0,0,N133/400-(AA133+AB133))</f>
        <v>1.7525000000000004</v>
      </c>
      <c r="CX133" s="1082">
        <f t="shared" ref="CX133:CX196" si="128">IF(N133/250-(AA133+AB133)&lt;0,0,N133/250-(AA133+AB133))</f>
        <v>5.8040000000000003</v>
      </c>
    </row>
    <row r="134" spans="1:102" s="70" customFormat="1" ht="21" customHeight="1">
      <c r="A134" s="358"/>
      <c r="B134" s="715" t="s">
        <v>749</v>
      </c>
      <c r="C134" s="1075"/>
      <c r="D134" s="1075"/>
      <c r="E134" s="1058"/>
      <c r="F134" s="1086" t="s">
        <v>881</v>
      </c>
      <c r="G134" s="1051"/>
      <c r="H134" s="1051"/>
      <c r="I134" s="560" t="s">
        <v>33</v>
      </c>
      <c r="J134" s="560" t="s">
        <v>45</v>
      </c>
      <c r="K134" s="604" t="s">
        <v>607</v>
      </c>
      <c r="L134" s="585">
        <v>0</v>
      </c>
      <c r="M134" s="473">
        <v>0</v>
      </c>
      <c r="N134" s="570">
        <v>379</v>
      </c>
      <c r="O134" s="328"/>
      <c r="P134" s="718" t="str">
        <f t="shared" si="88"/>
        <v>1. Small</v>
      </c>
      <c r="Q134" s="965" t="s">
        <v>926</v>
      </c>
      <c r="R134" s="1138"/>
      <c r="S134" s="622" t="s">
        <v>811</v>
      </c>
      <c r="T134" s="323" t="str">
        <f t="shared" si="89"/>
        <v>Covered</v>
      </c>
      <c r="U134" s="561">
        <v>42376</v>
      </c>
      <c r="V134" s="1143"/>
      <c r="W134" s="558" t="s">
        <v>152</v>
      </c>
      <c r="X134" s="627">
        <v>0</v>
      </c>
      <c r="Y134" s="473">
        <v>0</v>
      </c>
      <c r="Z134" s="617" t="s">
        <v>43</v>
      </c>
      <c r="AA134" s="627">
        <v>4</v>
      </c>
      <c r="AB134" s="473">
        <v>0</v>
      </c>
      <c r="AC134" s="473">
        <v>0</v>
      </c>
      <c r="AD134" s="473">
        <v>0</v>
      </c>
      <c r="AE134" s="617"/>
      <c r="AF134" s="599">
        <v>0</v>
      </c>
      <c r="AG134" s="325">
        <v>0</v>
      </c>
      <c r="AH134" s="630">
        <f t="shared" si="90"/>
        <v>1</v>
      </c>
      <c r="AI134" s="574">
        <f t="shared" si="91"/>
        <v>379</v>
      </c>
      <c r="AJ134" s="605">
        <f t="shared" si="92"/>
        <v>1</v>
      </c>
      <c r="AK134" s="574">
        <f t="shared" si="93"/>
        <v>379</v>
      </c>
      <c r="AL134" s="605">
        <f t="shared" si="94"/>
        <v>1</v>
      </c>
      <c r="AM134" s="574">
        <f t="shared" si="95"/>
        <v>379</v>
      </c>
      <c r="AN134" s="605" t="str">
        <f t="shared" si="96"/>
        <v>80-100%</v>
      </c>
      <c r="AO134" s="605">
        <f t="shared" si="97"/>
        <v>0</v>
      </c>
      <c r="AP134" s="574">
        <f t="shared" si="98"/>
        <v>0</v>
      </c>
      <c r="AQ134" s="574" t="str">
        <f t="shared" si="99"/>
        <v>no</v>
      </c>
      <c r="AR134" s="574">
        <f t="shared" si="100"/>
        <v>0</v>
      </c>
      <c r="AS134" s="574">
        <f t="shared" si="101"/>
        <v>0</v>
      </c>
      <c r="AT134" s="574">
        <f t="shared" si="102"/>
        <v>0</v>
      </c>
      <c r="AU134" s="330">
        <v>1</v>
      </c>
      <c r="AV134" s="635">
        <f t="shared" si="103"/>
        <v>379</v>
      </c>
      <c r="AW134" s="1155" t="s">
        <v>884</v>
      </c>
      <c r="AX134" s="740">
        <v>0</v>
      </c>
      <c r="AY134" s="428"/>
      <c r="AZ134" s="428">
        <v>42</v>
      </c>
      <c r="BA134" s="473"/>
      <c r="BB134" s="548">
        <f t="shared" si="104"/>
        <v>0</v>
      </c>
      <c r="BC134" s="606">
        <f t="shared" si="105"/>
        <v>0</v>
      </c>
      <c r="BD134" s="548">
        <f t="shared" si="106"/>
        <v>0</v>
      </c>
      <c r="BE134" s="606">
        <f t="shared" si="107"/>
        <v>0</v>
      </c>
      <c r="BF134" s="549">
        <f t="shared" si="108"/>
        <v>0</v>
      </c>
      <c r="BG134" s="606">
        <f t="shared" si="109"/>
        <v>0</v>
      </c>
      <c r="BH134" s="600" t="s">
        <v>475</v>
      </c>
      <c r="BI134" s="600" t="s">
        <v>475</v>
      </c>
      <c r="BJ134" s="606">
        <f t="shared" si="87"/>
        <v>0</v>
      </c>
      <c r="BK134" s="606" t="str">
        <f t="shared" si="110"/>
        <v>n/a</v>
      </c>
      <c r="BL134" s="428" t="s">
        <v>475</v>
      </c>
      <c r="BM134" s="548" t="str">
        <f t="shared" si="111"/>
        <v>n/a</v>
      </c>
      <c r="BN134" s="606" t="str">
        <f t="shared" si="112"/>
        <v>n/a</v>
      </c>
      <c r="BO134" s="606" t="str">
        <f t="shared" si="113"/>
        <v>n/a</v>
      </c>
      <c r="BP134" s="428" t="s">
        <v>475</v>
      </c>
      <c r="BQ134" s="606" t="s">
        <v>475</v>
      </c>
      <c r="BR134" s="428" t="s">
        <v>475</v>
      </c>
      <c r="BS134" s="548" t="str">
        <f t="shared" si="114"/>
        <v>n/a</v>
      </c>
      <c r="BT134" s="607" t="str">
        <f t="shared" si="115"/>
        <v>n/a</v>
      </c>
      <c r="BU134" s="325">
        <v>0.7</v>
      </c>
      <c r="BV134" s="650" t="str">
        <f t="shared" si="116"/>
        <v>n/a</v>
      </c>
      <c r="BW134" s="1165" t="s">
        <v>891</v>
      </c>
      <c r="BX134" s="602" t="s">
        <v>475</v>
      </c>
      <c r="BY134" s="1189"/>
      <c r="BZ134" s="1189"/>
      <c r="CA134" s="608" t="str">
        <f t="shared" si="117"/>
        <v>n/a</v>
      </c>
      <c r="CB134" s="428">
        <v>0</v>
      </c>
      <c r="CC134" s="428">
        <v>0</v>
      </c>
      <c r="CD134" s="609" t="str">
        <f t="shared" si="118"/>
        <v>n/a</v>
      </c>
      <c r="CE134" s="610" t="str">
        <f t="shared" si="119"/>
        <v>n/a</v>
      </c>
      <c r="CF134" s="609" t="str">
        <f t="shared" si="120"/>
        <v>n/a</v>
      </c>
      <c r="CG134" s="658" t="str">
        <f t="shared" si="121"/>
        <v>n/a</v>
      </c>
      <c r="CH134" s="743" t="s">
        <v>893</v>
      </c>
      <c r="CI134" s="330">
        <v>0</v>
      </c>
      <c r="CJ134" s="664">
        <f t="shared" si="122"/>
        <v>0</v>
      </c>
      <c r="CK134" s="328">
        <v>0</v>
      </c>
      <c r="CL134" s="611" t="s">
        <v>671</v>
      </c>
      <c r="CM134" s="428" t="s">
        <v>475</v>
      </c>
      <c r="CN134" s="428" t="s">
        <v>475</v>
      </c>
      <c r="CO134" s="428" t="s">
        <v>38</v>
      </c>
      <c r="CP134" s="570" t="s">
        <v>170</v>
      </c>
      <c r="CQ134" s="1167" t="s">
        <v>894</v>
      </c>
      <c r="CR134" s="322"/>
      <c r="CS134" s="1069">
        <f t="shared" si="123"/>
        <v>1</v>
      </c>
      <c r="CT134" s="1069">
        <f t="shared" si="124"/>
        <v>1</v>
      </c>
      <c r="CU134" s="1066">
        <f t="shared" si="125"/>
        <v>1</v>
      </c>
      <c r="CV134" s="1066">
        <f t="shared" si="126"/>
        <v>1</v>
      </c>
      <c r="CW134" s="1082">
        <f t="shared" si="127"/>
        <v>0</v>
      </c>
      <c r="CX134" s="1082">
        <f t="shared" si="128"/>
        <v>0</v>
      </c>
    </row>
    <row r="135" spans="1:102" s="70" customFormat="1" ht="21" customHeight="1">
      <c r="A135" s="358"/>
      <c r="B135" s="402" t="s">
        <v>749</v>
      </c>
      <c r="C135" s="603" t="s">
        <v>1033</v>
      </c>
      <c r="D135" s="603" t="s">
        <v>1034</v>
      </c>
      <c r="E135" s="1058" t="s">
        <v>1039</v>
      </c>
      <c r="F135" s="731" t="s">
        <v>793</v>
      </c>
      <c r="G135" s="1051"/>
      <c r="H135" s="1051"/>
      <c r="I135" s="560" t="s">
        <v>33</v>
      </c>
      <c r="J135" s="560" t="s">
        <v>34</v>
      </c>
      <c r="K135" s="604" t="s">
        <v>607</v>
      </c>
      <c r="L135" s="585">
        <v>0</v>
      </c>
      <c r="M135" s="473">
        <v>0</v>
      </c>
      <c r="N135" s="617">
        <v>253</v>
      </c>
      <c r="O135" s="328"/>
      <c r="P135" s="718" t="str">
        <f t="shared" si="88"/>
        <v>1. Small</v>
      </c>
      <c r="Q135" s="965" t="s">
        <v>926</v>
      </c>
      <c r="R135" s="1138"/>
      <c r="S135" s="622" t="s">
        <v>143</v>
      </c>
      <c r="T135" s="323" t="str">
        <f t="shared" si="89"/>
        <v>Covered</v>
      </c>
      <c r="U135" s="561">
        <v>42376</v>
      </c>
      <c r="V135" s="1143"/>
      <c r="W135" s="558" t="s">
        <v>152</v>
      </c>
      <c r="X135" s="627">
        <v>0</v>
      </c>
      <c r="Y135" s="473">
        <v>0</v>
      </c>
      <c r="Z135" s="617" t="s">
        <v>43</v>
      </c>
      <c r="AA135" s="627">
        <v>1</v>
      </c>
      <c r="AB135" s="473">
        <v>10</v>
      </c>
      <c r="AC135" s="473">
        <v>0</v>
      </c>
      <c r="AD135" s="473">
        <v>1</v>
      </c>
      <c r="AE135" s="617"/>
      <c r="AF135" s="599">
        <v>0</v>
      </c>
      <c r="AG135" s="325">
        <v>0</v>
      </c>
      <c r="AH135" s="630">
        <f t="shared" si="90"/>
        <v>1</v>
      </c>
      <c r="AI135" s="574">
        <f t="shared" si="91"/>
        <v>253</v>
      </c>
      <c r="AJ135" s="605">
        <f t="shared" si="92"/>
        <v>1</v>
      </c>
      <c r="AK135" s="574">
        <f t="shared" si="93"/>
        <v>253</v>
      </c>
      <c r="AL135" s="605">
        <f t="shared" si="94"/>
        <v>1</v>
      </c>
      <c r="AM135" s="574">
        <f t="shared" si="95"/>
        <v>253</v>
      </c>
      <c r="AN135" s="605" t="str">
        <f t="shared" si="96"/>
        <v>80-100%</v>
      </c>
      <c r="AO135" s="605">
        <f t="shared" si="97"/>
        <v>0</v>
      </c>
      <c r="AP135" s="574">
        <f t="shared" si="98"/>
        <v>0</v>
      </c>
      <c r="AQ135" s="574" t="str">
        <f t="shared" si="99"/>
        <v>yes</v>
      </c>
      <c r="AR135" s="574">
        <f t="shared" si="100"/>
        <v>0</v>
      </c>
      <c r="AS135" s="574">
        <f t="shared" si="101"/>
        <v>0</v>
      </c>
      <c r="AT135" s="574">
        <f t="shared" si="102"/>
        <v>0</v>
      </c>
      <c r="AU135" s="1123">
        <v>1</v>
      </c>
      <c r="AV135" s="635">
        <f t="shared" si="103"/>
        <v>253</v>
      </c>
      <c r="AW135" s="638"/>
      <c r="AX135" s="740">
        <v>0</v>
      </c>
      <c r="AY135" s="428">
        <v>35</v>
      </c>
      <c r="AZ135" s="428">
        <v>42</v>
      </c>
      <c r="BA135" s="473" t="s">
        <v>526</v>
      </c>
      <c r="BB135" s="548">
        <f t="shared" si="104"/>
        <v>1</v>
      </c>
      <c r="BC135" s="606">
        <f t="shared" si="105"/>
        <v>253</v>
      </c>
      <c r="BD135" s="548">
        <f t="shared" si="106"/>
        <v>1</v>
      </c>
      <c r="BE135" s="606">
        <f t="shared" si="107"/>
        <v>253</v>
      </c>
      <c r="BF135" s="549">
        <f t="shared" si="108"/>
        <v>0</v>
      </c>
      <c r="BG135" s="606">
        <f t="shared" si="109"/>
        <v>0</v>
      </c>
      <c r="BH135" s="601" t="s">
        <v>475</v>
      </c>
      <c r="BI135" s="600" t="s">
        <v>475</v>
      </c>
      <c r="BJ135" s="606">
        <f t="shared" si="87"/>
        <v>0</v>
      </c>
      <c r="BK135" s="606" t="str">
        <f t="shared" si="110"/>
        <v>n/a</v>
      </c>
      <c r="BL135" s="428" t="s">
        <v>475</v>
      </c>
      <c r="BM135" s="548" t="str">
        <f t="shared" si="111"/>
        <v>n/a</v>
      </c>
      <c r="BN135" s="606" t="str">
        <f t="shared" si="112"/>
        <v>n/a</v>
      </c>
      <c r="BO135" s="606" t="str">
        <f t="shared" si="113"/>
        <v>n/a</v>
      </c>
      <c r="BP135" s="578" t="s">
        <v>475</v>
      </c>
      <c r="BQ135" s="606" t="s">
        <v>475</v>
      </c>
      <c r="BR135" s="519" t="s">
        <v>475</v>
      </c>
      <c r="BS135" s="548" t="str">
        <f t="shared" si="114"/>
        <v>n/a</v>
      </c>
      <c r="BT135" s="607" t="str">
        <f t="shared" si="115"/>
        <v>n/a</v>
      </c>
      <c r="BU135" s="325">
        <v>1</v>
      </c>
      <c r="BV135" s="650" t="str">
        <f t="shared" si="116"/>
        <v>n/a</v>
      </c>
      <c r="BW135" s="325" t="s">
        <v>567</v>
      </c>
      <c r="BX135" s="602" t="s">
        <v>475</v>
      </c>
      <c r="BY135" s="1189"/>
      <c r="BZ135" s="1189"/>
      <c r="CA135" s="608" t="str">
        <f t="shared" si="117"/>
        <v>n/a</v>
      </c>
      <c r="CB135" s="428">
        <v>0</v>
      </c>
      <c r="CC135" s="428">
        <v>0</v>
      </c>
      <c r="CD135" s="609" t="str">
        <f t="shared" si="118"/>
        <v>n/a</v>
      </c>
      <c r="CE135" s="610" t="str">
        <f t="shared" si="119"/>
        <v>n/a</v>
      </c>
      <c r="CF135" s="609" t="str">
        <f t="shared" si="120"/>
        <v>n/a</v>
      </c>
      <c r="CG135" s="658" t="str">
        <f t="shared" si="121"/>
        <v>n/a</v>
      </c>
      <c r="CH135" s="328" t="s">
        <v>809</v>
      </c>
      <c r="CI135" s="330">
        <v>0.8</v>
      </c>
      <c r="CJ135" s="664">
        <f t="shared" si="122"/>
        <v>202.4</v>
      </c>
      <c r="CK135" s="328">
        <v>2</v>
      </c>
      <c r="CL135" s="611" t="s">
        <v>671</v>
      </c>
      <c r="CM135" s="428" t="s">
        <v>475</v>
      </c>
      <c r="CN135" s="428" t="s">
        <v>475</v>
      </c>
      <c r="CO135" s="428" t="s">
        <v>38</v>
      </c>
      <c r="CP135" s="570" t="s">
        <v>170</v>
      </c>
      <c r="CQ135" s="672"/>
      <c r="CR135" s="322"/>
      <c r="CS135" s="1069">
        <f t="shared" si="123"/>
        <v>1</v>
      </c>
      <c r="CT135" s="1069">
        <f t="shared" si="124"/>
        <v>1</v>
      </c>
      <c r="CU135" s="1066">
        <f t="shared" si="125"/>
        <v>1</v>
      </c>
      <c r="CV135" s="1066">
        <f t="shared" si="126"/>
        <v>1</v>
      </c>
      <c r="CW135" s="1082">
        <f t="shared" si="127"/>
        <v>0</v>
      </c>
      <c r="CX135" s="1082">
        <f t="shared" si="128"/>
        <v>0</v>
      </c>
    </row>
    <row r="136" spans="1:102" ht="21" customHeight="1">
      <c r="A136" s="358"/>
      <c r="B136" s="402" t="s">
        <v>749</v>
      </c>
      <c r="C136" s="603" t="s">
        <v>1051</v>
      </c>
      <c r="D136" s="603" t="s">
        <v>1052</v>
      </c>
      <c r="E136" s="1058" t="s">
        <v>1054</v>
      </c>
      <c r="F136" s="731" t="s">
        <v>805</v>
      </c>
      <c r="G136" s="1051"/>
      <c r="H136" s="1051"/>
      <c r="I136" s="560" t="s">
        <v>33</v>
      </c>
      <c r="J136" s="560" t="s">
        <v>34</v>
      </c>
      <c r="K136" s="604" t="s">
        <v>607</v>
      </c>
      <c r="L136" s="585">
        <v>0</v>
      </c>
      <c r="M136" s="473">
        <v>0</v>
      </c>
      <c r="N136" s="617">
        <v>578</v>
      </c>
      <c r="O136" s="328"/>
      <c r="P136" s="718" t="str">
        <f t="shared" si="88"/>
        <v>2. Medium</v>
      </c>
      <c r="Q136" s="965" t="s">
        <v>926</v>
      </c>
      <c r="R136" s="1138"/>
      <c r="S136" s="622" t="s">
        <v>143</v>
      </c>
      <c r="T136" s="323" t="str">
        <f t="shared" si="89"/>
        <v>Covered</v>
      </c>
      <c r="U136" s="561">
        <v>42376</v>
      </c>
      <c r="V136" s="1143"/>
      <c r="W136" s="558" t="s">
        <v>152</v>
      </c>
      <c r="X136" s="627">
        <v>0</v>
      </c>
      <c r="Y136" s="473">
        <v>0</v>
      </c>
      <c r="Z136" s="617" t="s">
        <v>43</v>
      </c>
      <c r="AA136" s="627">
        <v>6</v>
      </c>
      <c r="AB136" s="473">
        <v>7</v>
      </c>
      <c r="AC136" s="473">
        <v>0</v>
      </c>
      <c r="AD136" s="473">
        <v>2</v>
      </c>
      <c r="AE136" s="617"/>
      <c r="AF136" s="599">
        <v>0</v>
      </c>
      <c r="AG136" s="325">
        <v>0</v>
      </c>
      <c r="AH136" s="630">
        <f t="shared" si="90"/>
        <v>1</v>
      </c>
      <c r="AI136" s="574">
        <f t="shared" si="91"/>
        <v>578</v>
      </c>
      <c r="AJ136" s="605">
        <f t="shared" si="92"/>
        <v>1</v>
      </c>
      <c r="AK136" s="574">
        <f t="shared" si="93"/>
        <v>578</v>
      </c>
      <c r="AL136" s="605">
        <f t="shared" si="94"/>
        <v>1</v>
      </c>
      <c r="AM136" s="574">
        <f t="shared" si="95"/>
        <v>578</v>
      </c>
      <c r="AN136" s="605" t="str">
        <f t="shared" si="96"/>
        <v>80-100%</v>
      </c>
      <c r="AO136" s="605">
        <f t="shared" si="97"/>
        <v>0</v>
      </c>
      <c r="AP136" s="574">
        <f t="shared" si="98"/>
        <v>0</v>
      </c>
      <c r="AQ136" s="574" t="str">
        <f t="shared" si="99"/>
        <v>yes</v>
      </c>
      <c r="AR136" s="574">
        <f t="shared" si="100"/>
        <v>0</v>
      </c>
      <c r="AS136" s="574">
        <f t="shared" si="101"/>
        <v>0</v>
      </c>
      <c r="AT136" s="574">
        <f t="shared" si="102"/>
        <v>0</v>
      </c>
      <c r="AU136" s="1123">
        <v>1</v>
      </c>
      <c r="AV136" s="635">
        <f t="shared" si="103"/>
        <v>578</v>
      </c>
      <c r="AW136" s="638"/>
      <c r="AX136" s="740">
        <v>0</v>
      </c>
      <c r="AY136" s="428">
        <v>29</v>
      </c>
      <c r="AZ136" s="428">
        <v>42</v>
      </c>
      <c r="BA136" s="473" t="s">
        <v>526</v>
      </c>
      <c r="BB136" s="548">
        <f t="shared" si="104"/>
        <v>1</v>
      </c>
      <c r="BC136" s="606">
        <f t="shared" si="105"/>
        <v>578</v>
      </c>
      <c r="BD136" s="548">
        <f t="shared" si="106"/>
        <v>1</v>
      </c>
      <c r="BE136" s="606">
        <f t="shared" si="107"/>
        <v>578</v>
      </c>
      <c r="BF136" s="549">
        <f t="shared" si="108"/>
        <v>0</v>
      </c>
      <c r="BG136" s="606">
        <f t="shared" si="109"/>
        <v>0</v>
      </c>
      <c r="BH136" s="601" t="s">
        <v>475</v>
      </c>
      <c r="BI136" s="600" t="s">
        <v>475</v>
      </c>
      <c r="BJ136" s="606">
        <f t="shared" si="87"/>
        <v>0</v>
      </c>
      <c r="BK136" s="606" t="str">
        <f t="shared" si="110"/>
        <v>n/a</v>
      </c>
      <c r="BL136" s="428" t="s">
        <v>475</v>
      </c>
      <c r="BM136" s="548" t="str">
        <f t="shared" si="111"/>
        <v>n/a</v>
      </c>
      <c r="BN136" s="606" t="str">
        <f t="shared" si="112"/>
        <v>n/a</v>
      </c>
      <c r="BO136" s="606" t="str">
        <f t="shared" si="113"/>
        <v>n/a</v>
      </c>
      <c r="BP136" s="578" t="s">
        <v>475</v>
      </c>
      <c r="BQ136" s="606" t="s">
        <v>475</v>
      </c>
      <c r="BR136" s="519" t="s">
        <v>475</v>
      </c>
      <c r="BS136" s="548" t="str">
        <f t="shared" si="114"/>
        <v>n/a</v>
      </c>
      <c r="BT136" s="607" t="str">
        <f t="shared" si="115"/>
        <v>n/a</v>
      </c>
      <c r="BU136" s="325">
        <v>1</v>
      </c>
      <c r="BV136" s="650" t="str">
        <f t="shared" si="116"/>
        <v>n/a</v>
      </c>
      <c r="BW136" s="325" t="s">
        <v>567</v>
      </c>
      <c r="BX136" s="602" t="s">
        <v>475</v>
      </c>
      <c r="BY136" s="1189"/>
      <c r="BZ136" s="1189"/>
      <c r="CA136" s="608" t="str">
        <f t="shared" si="117"/>
        <v>n/a</v>
      </c>
      <c r="CB136" s="428">
        <v>0</v>
      </c>
      <c r="CC136" s="428">
        <v>0</v>
      </c>
      <c r="CD136" s="609" t="str">
        <f t="shared" si="118"/>
        <v>n/a</v>
      </c>
      <c r="CE136" s="610" t="str">
        <f t="shared" si="119"/>
        <v>n/a</v>
      </c>
      <c r="CF136" s="609" t="str">
        <f t="shared" si="120"/>
        <v>n/a</v>
      </c>
      <c r="CG136" s="658" t="str">
        <f t="shared" si="121"/>
        <v>n/a</v>
      </c>
      <c r="CH136" s="328" t="s">
        <v>809</v>
      </c>
      <c r="CI136" s="330">
        <v>0.2</v>
      </c>
      <c r="CJ136" s="664">
        <f t="shared" si="122"/>
        <v>115.60000000000001</v>
      </c>
      <c r="CK136" s="328">
        <v>2</v>
      </c>
      <c r="CL136" s="611" t="s">
        <v>671</v>
      </c>
      <c r="CM136" s="428" t="s">
        <v>475</v>
      </c>
      <c r="CN136" s="428" t="s">
        <v>475</v>
      </c>
      <c r="CO136" s="428" t="s">
        <v>38</v>
      </c>
      <c r="CP136" s="570" t="s">
        <v>170</v>
      </c>
      <c r="CQ136" s="1172"/>
      <c r="CS136" s="1069">
        <f t="shared" si="123"/>
        <v>1</v>
      </c>
      <c r="CT136" s="1069">
        <f t="shared" si="124"/>
        <v>1</v>
      </c>
      <c r="CU136" s="1066">
        <f t="shared" si="125"/>
        <v>1</v>
      </c>
      <c r="CV136" s="1066">
        <f t="shared" si="126"/>
        <v>1</v>
      </c>
      <c r="CW136" s="1082">
        <f t="shared" si="127"/>
        <v>0</v>
      </c>
      <c r="CX136" s="1082">
        <f t="shared" si="128"/>
        <v>0</v>
      </c>
    </row>
    <row r="137" spans="1:102" ht="21" customHeight="1">
      <c r="A137" s="358"/>
      <c r="B137" s="715" t="s">
        <v>749</v>
      </c>
      <c r="C137" s="1075"/>
      <c r="D137" s="1075"/>
      <c r="E137" s="1058"/>
      <c r="F137" s="1087" t="s">
        <v>860</v>
      </c>
      <c r="G137" s="1051"/>
      <c r="H137" s="1051"/>
      <c r="I137" s="560" t="s">
        <v>33</v>
      </c>
      <c r="J137" s="560" t="s">
        <v>34</v>
      </c>
      <c r="K137" s="604" t="s">
        <v>607</v>
      </c>
      <c r="L137" s="585">
        <v>0</v>
      </c>
      <c r="M137" s="473">
        <v>0</v>
      </c>
      <c r="N137" s="716">
        <v>2936</v>
      </c>
      <c r="O137" s="328"/>
      <c r="P137" s="718" t="str">
        <f t="shared" si="88"/>
        <v>3. Large</v>
      </c>
      <c r="Q137" s="965" t="s">
        <v>926</v>
      </c>
      <c r="R137" s="1138"/>
      <c r="S137" s="622" t="s">
        <v>811</v>
      </c>
      <c r="T137" s="323" t="str">
        <f t="shared" si="89"/>
        <v>Covered</v>
      </c>
      <c r="U137" s="561">
        <v>42376</v>
      </c>
      <c r="V137" s="1143"/>
      <c r="W137" s="558" t="s">
        <v>152</v>
      </c>
      <c r="X137" s="627">
        <v>0</v>
      </c>
      <c r="Y137" s="473">
        <v>0</v>
      </c>
      <c r="Z137" s="617" t="s">
        <v>43</v>
      </c>
      <c r="AA137" s="627">
        <v>3</v>
      </c>
      <c r="AB137" s="473">
        <v>10</v>
      </c>
      <c r="AC137" s="473">
        <v>0</v>
      </c>
      <c r="AD137" s="473">
        <v>8</v>
      </c>
      <c r="AE137" s="617"/>
      <c r="AF137" s="599">
        <v>0</v>
      </c>
      <c r="AG137" s="325">
        <v>0</v>
      </c>
      <c r="AH137" s="630">
        <f t="shared" si="90"/>
        <v>1</v>
      </c>
      <c r="AI137" s="574">
        <f t="shared" si="91"/>
        <v>2936</v>
      </c>
      <c r="AJ137" s="605">
        <f t="shared" si="92"/>
        <v>1</v>
      </c>
      <c r="AK137" s="574">
        <f t="shared" si="93"/>
        <v>2936</v>
      </c>
      <c r="AL137" s="605">
        <f t="shared" si="94"/>
        <v>1</v>
      </c>
      <c r="AM137" s="574">
        <f t="shared" si="95"/>
        <v>2936</v>
      </c>
      <c r="AN137" s="605" t="str">
        <f t="shared" si="96"/>
        <v>80-100%</v>
      </c>
      <c r="AO137" s="605">
        <f t="shared" si="97"/>
        <v>0</v>
      </c>
      <c r="AP137" s="574">
        <f t="shared" si="98"/>
        <v>0</v>
      </c>
      <c r="AQ137" s="574" t="str">
        <f t="shared" si="99"/>
        <v>yes</v>
      </c>
      <c r="AR137" s="574">
        <f t="shared" si="100"/>
        <v>0</v>
      </c>
      <c r="AS137" s="574">
        <f t="shared" si="101"/>
        <v>0</v>
      </c>
      <c r="AT137" s="574">
        <f t="shared" si="102"/>
        <v>0</v>
      </c>
      <c r="AU137" s="330">
        <v>1</v>
      </c>
      <c r="AV137" s="635">
        <f t="shared" si="103"/>
        <v>2936</v>
      </c>
      <c r="AW137" s="1155" t="s">
        <v>884</v>
      </c>
      <c r="AX137" s="740">
        <v>0</v>
      </c>
      <c r="AY137" s="428"/>
      <c r="AZ137" s="428">
        <v>42</v>
      </c>
      <c r="BA137" s="473"/>
      <c r="BB137" s="548">
        <f t="shared" si="104"/>
        <v>0</v>
      </c>
      <c r="BC137" s="606">
        <f t="shared" si="105"/>
        <v>0</v>
      </c>
      <c r="BD137" s="548">
        <f t="shared" si="106"/>
        <v>0</v>
      </c>
      <c r="BE137" s="606">
        <f t="shared" si="107"/>
        <v>0</v>
      </c>
      <c r="BF137" s="549">
        <f t="shared" si="108"/>
        <v>0</v>
      </c>
      <c r="BG137" s="606">
        <f t="shared" si="109"/>
        <v>0</v>
      </c>
      <c r="BH137" s="600" t="s">
        <v>475</v>
      </c>
      <c r="BI137" s="600" t="s">
        <v>475</v>
      </c>
      <c r="BJ137" s="606">
        <f t="shared" si="87"/>
        <v>0</v>
      </c>
      <c r="BK137" s="606" t="str">
        <f t="shared" si="110"/>
        <v>n/a</v>
      </c>
      <c r="BL137" s="428" t="s">
        <v>475</v>
      </c>
      <c r="BM137" s="548" t="str">
        <f t="shared" si="111"/>
        <v>n/a</v>
      </c>
      <c r="BN137" s="606" t="str">
        <f t="shared" si="112"/>
        <v>n/a</v>
      </c>
      <c r="BO137" s="606" t="str">
        <f t="shared" si="113"/>
        <v>n/a</v>
      </c>
      <c r="BP137" s="428" t="s">
        <v>475</v>
      </c>
      <c r="BQ137" s="606" t="s">
        <v>475</v>
      </c>
      <c r="BR137" s="428" t="s">
        <v>475</v>
      </c>
      <c r="BS137" s="548" t="str">
        <f t="shared" si="114"/>
        <v>n/a</v>
      </c>
      <c r="BT137" s="607" t="str">
        <f t="shared" si="115"/>
        <v>n/a</v>
      </c>
      <c r="BU137" s="325">
        <v>0.7</v>
      </c>
      <c r="BV137" s="650" t="str">
        <f t="shared" si="116"/>
        <v>n/a</v>
      </c>
      <c r="BW137" s="1165" t="s">
        <v>891</v>
      </c>
      <c r="BX137" s="602" t="s">
        <v>475</v>
      </c>
      <c r="BY137" s="1189"/>
      <c r="BZ137" s="1189"/>
      <c r="CA137" s="608" t="str">
        <f t="shared" si="117"/>
        <v>n/a</v>
      </c>
      <c r="CB137" s="428">
        <v>0</v>
      </c>
      <c r="CC137" s="428">
        <v>0</v>
      </c>
      <c r="CD137" s="609" t="str">
        <f t="shared" si="118"/>
        <v>n/a</v>
      </c>
      <c r="CE137" s="610" t="str">
        <f t="shared" si="119"/>
        <v>n/a</v>
      </c>
      <c r="CF137" s="609" t="str">
        <f t="shared" si="120"/>
        <v>n/a</v>
      </c>
      <c r="CG137" s="658" t="str">
        <f t="shared" si="121"/>
        <v>n/a</v>
      </c>
      <c r="CH137" s="743" t="s">
        <v>893</v>
      </c>
      <c r="CI137" s="330">
        <v>0</v>
      </c>
      <c r="CJ137" s="664">
        <f t="shared" si="122"/>
        <v>0</v>
      </c>
      <c r="CK137" s="328">
        <v>0</v>
      </c>
      <c r="CL137" s="611" t="s">
        <v>671</v>
      </c>
      <c r="CM137" s="428" t="s">
        <v>475</v>
      </c>
      <c r="CN137" s="428" t="s">
        <v>475</v>
      </c>
      <c r="CO137" s="428" t="s">
        <v>38</v>
      </c>
      <c r="CP137" s="570" t="s">
        <v>170</v>
      </c>
      <c r="CQ137" s="1167" t="s">
        <v>894</v>
      </c>
      <c r="CS137" s="1069">
        <f t="shared" si="123"/>
        <v>1</v>
      </c>
      <c r="CT137" s="1069">
        <f t="shared" si="124"/>
        <v>1</v>
      </c>
      <c r="CU137" s="1066">
        <f t="shared" si="125"/>
        <v>1</v>
      </c>
      <c r="CV137" s="1066">
        <f t="shared" si="126"/>
        <v>1</v>
      </c>
      <c r="CW137" s="1082">
        <f t="shared" si="127"/>
        <v>0</v>
      </c>
      <c r="CX137" s="1082">
        <f t="shared" si="128"/>
        <v>0</v>
      </c>
    </row>
    <row r="138" spans="1:102" ht="21" customHeight="1">
      <c r="A138" s="358"/>
      <c r="B138" s="715" t="s">
        <v>749</v>
      </c>
      <c r="C138" s="1075"/>
      <c r="D138" s="1075"/>
      <c r="E138" s="1058"/>
      <c r="F138" s="1087" t="s">
        <v>862</v>
      </c>
      <c r="G138" s="1051"/>
      <c r="H138" s="1051"/>
      <c r="I138" s="560" t="s">
        <v>33</v>
      </c>
      <c r="J138" s="560" t="s">
        <v>34</v>
      </c>
      <c r="K138" s="604" t="s">
        <v>607</v>
      </c>
      <c r="L138" s="585">
        <v>0</v>
      </c>
      <c r="M138" s="473">
        <v>0</v>
      </c>
      <c r="N138" s="716">
        <v>2317</v>
      </c>
      <c r="O138" s="328"/>
      <c r="P138" s="718" t="str">
        <f t="shared" si="88"/>
        <v>3. Large</v>
      </c>
      <c r="Q138" s="965" t="s">
        <v>926</v>
      </c>
      <c r="R138" s="1138"/>
      <c r="S138" s="622" t="s">
        <v>811</v>
      </c>
      <c r="T138" s="323" t="str">
        <f t="shared" si="89"/>
        <v>Covered</v>
      </c>
      <c r="U138" s="561">
        <v>42376</v>
      </c>
      <c r="V138" s="1143"/>
      <c r="W138" s="558" t="s">
        <v>152</v>
      </c>
      <c r="X138" s="627">
        <v>0</v>
      </c>
      <c r="Y138" s="473">
        <v>0</v>
      </c>
      <c r="Z138" s="617" t="s">
        <v>43</v>
      </c>
      <c r="AA138" s="627">
        <v>4</v>
      </c>
      <c r="AB138" s="473">
        <v>5</v>
      </c>
      <c r="AC138" s="473">
        <v>0</v>
      </c>
      <c r="AD138" s="473">
        <v>3</v>
      </c>
      <c r="AE138" s="617"/>
      <c r="AF138" s="599">
        <v>0</v>
      </c>
      <c r="AG138" s="325">
        <v>0</v>
      </c>
      <c r="AH138" s="630">
        <f t="shared" si="90"/>
        <v>0.97108329736728527</v>
      </c>
      <c r="AI138" s="574">
        <f t="shared" si="91"/>
        <v>2250</v>
      </c>
      <c r="AJ138" s="605">
        <f t="shared" si="92"/>
        <v>0.97108329736728527</v>
      </c>
      <c r="AK138" s="574">
        <f t="shared" si="93"/>
        <v>2250</v>
      </c>
      <c r="AL138" s="605">
        <f t="shared" si="94"/>
        <v>0.97108329736728527</v>
      </c>
      <c r="AM138" s="574">
        <f t="shared" si="95"/>
        <v>2250</v>
      </c>
      <c r="AN138" s="605" t="str">
        <f t="shared" si="96"/>
        <v>80-100%</v>
      </c>
      <c r="AO138" s="605">
        <f t="shared" si="97"/>
        <v>0</v>
      </c>
      <c r="AP138" s="574">
        <f t="shared" si="98"/>
        <v>0</v>
      </c>
      <c r="AQ138" s="574" t="str">
        <f t="shared" si="99"/>
        <v>yes</v>
      </c>
      <c r="AR138" s="574">
        <f t="shared" si="100"/>
        <v>0.26800000000000068</v>
      </c>
      <c r="AS138" s="574">
        <f t="shared" si="101"/>
        <v>0</v>
      </c>
      <c r="AT138" s="574">
        <f t="shared" si="102"/>
        <v>0</v>
      </c>
      <c r="AU138" s="330">
        <v>0.97</v>
      </c>
      <c r="AV138" s="635">
        <f t="shared" si="103"/>
        <v>2247.4899999999998</v>
      </c>
      <c r="AW138" s="1155" t="s">
        <v>884</v>
      </c>
      <c r="AX138" s="740">
        <v>0</v>
      </c>
      <c r="AY138" s="428"/>
      <c r="AZ138" s="428">
        <v>42</v>
      </c>
      <c r="BA138" s="473"/>
      <c r="BB138" s="548">
        <f t="shared" si="104"/>
        <v>0</v>
      </c>
      <c r="BC138" s="606">
        <f t="shared" si="105"/>
        <v>0</v>
      </c>
      <c r="BD138" s="548">
        <f t="shared" si="106"/>
        <v>0</v>
      </c>
      <c r="BE138" s="606">
        <f t="shared" si="107"/>
        <v>0</v>
      </c>
      <c r="BF138" s="549">
        <f t="shared" si="108"/>
        <v>0</v>
      </c>
      <c r="BG138" s="606">
        <f t="shared" si="109"/>
        <v>0</v>
      </c>
      <c r="BH138" s="600" t="s">
        <v>475</v>
      </c>
      <c r="BI138" s="600" t="s">
        <v>475</v>
      </c>
      <c r="BJ138" s="606">
        <f t="shared" si="87"/>
        <v>0</v>
      </c>
      <c r="BK138" s="606" t="str">
        <f t="shared" si="110"/>
        <v>n/a</v>
      </c>
      <c r="BL138" s="428" t="s">
        <v>475</v>
      </c>
      <c r="BM138" s="548" t="str">
        <f t="shared" si="111"/>
        <v>n/a</v>
      </c>
      <c r="BN138" s="606" t="str">
        <f t="shared" si="112"/>
        <v>n/a</v>
      </c>
      <c r="BO138" s="606" t="str">
        <f t="shared" si="113"/>
        <v>n/a</v>
      </c>
      <c r="BP138" s="428" t="s">
        <v>475</v>
      </c>
      <c r="BQ138" s="606" t="s">
        <v>475</v>
      </c>
      <c r="BR138" s="428" t="s">
        <v>475</v>
      </c>
      <c r="BS138" s="548" t="str">
        <f t="shared" si="114"/>
        <v>n/a</v>
      </c>
      <c r="BT138" s="607" t="str">
        <f t="shared" si="115"/>
        <v>n/a</v>
      </c>
      <c r="BU138" s="325">
        <v>0.7</v>
      </c>
      <c r="BV138" s="650" t="str">
        <f t="shared" si="116"/>
        <v>n/a</v>
      </c>
      <c r="BW138" s="1165" t="s">
        <v>891</v>
      </c>
      <c r="BX138" s="602" t="s">
        <v>475</v>
      </c>
      <c r="BY138" s="1189"/>
      <c r="BZ138" s="1189"/>
      <c r="CA138" s="608" t="str">
        <f t="shared" si="117"/>
        <v>n/a</v>
      </c>
      <c r="CB138" s="428">
        <v>0</v>
      </c>
      <c r="CC138" s="428">
        <v>0</v>
      </c>
      <c r="CD138" s="609" t="str">
        <f t="shared" si="118"/>
        <v>n/a</v>
      </c>
      <c r="CE138" s="610" t="str">
        <f t="shared" si="119"/>
        <v>n/a</v>
      </c>
      <c r="CF138" s="609" t="str">
        <f t="shared" si="120"/>
        <v>n/a</v>
      </c>
      <c r="CG138" s="658" t="str">
        <f t="shared" si="121"/>
        <v>n/a</v>
      </c>
      <c r="CH138" s="743" t="s">
        <v>893</v>
      </c>
      <c r="CI138" s="330">
        <v>0</v>
      </c>
      <c r="CJ138" s="664">
        <f t="shared" si="122"/>
        <v>0</v>
      </c>
      <c r="CK138" s="328">
        <v>0</v>
      </c>
      <c r="CL138" s="611" t="s">
        <v>671</v>
      </c>
      <c r="CM138" s="428" t="s">
        <v>475</v>
      </c>
      <c r="CN138" s="428" t="s">
        <v>475</v>
      </c>
      <c r="CO138" s="428" t="s">
        <v>38</v>
      </c>
      <c r="CP138" s="570" t="s">
        <v>170</v>
      </c>
      <c r="CQ138" s="1167" t="s">
        <v>894</v>
      </c>
      <c r="CS138" s="1069">
        <f t="shared" si="123"/>
        <v>1</v>
      </c>
      <c r="CT138" s="1069">
        <f t="shared" si="124"/>
        <v>0.97108329736728527</v>
      </c>
      <c r="CU138" s="1066">
        <f t="shared" si="125"/>
        <v>1</v>
      </c>
      <c r="CV138" s="1066">
        <f t="shared" si="126"/>
        <v>0.97108329736728527</v>
      </c>
      <c r="CW138" s="1082">
        <f t="shared" si="127"/>
        <v>0</v>
      </c>
      <c r="CX138" s="1082">
        <f t="shared" si="128"/>
        <v>0.26800000000000068</v>
      </c>
    </row>
    <row r="139" spans="1:102" ht="21" customHeight="1">
      <c r="A139" s="358"/>
      <c r="B139" s="715" t="s">
        <v>749</v>
      </c>
      <c r="C139" s="1075"/>
      <c r="D139" s="1075"/>
      <c r="E139" s="1058"/>
      <c r="F139" s="1087" t="s">
        <v>861</v>
      </c>
      <c r="G139" s="1051"/>
      <c r="H139" s="1051"/>
      <c r="I139" s="560" t="s">
        <v>33</v>
      </c>
      <c r="J139" s="560" t="s">
        <v>34</v>
      </c>
      <c r="K139" s="604" t="s">
        <v>607</v>
      </c>
      <c r="L139" s="585">
        <v>0</v>
      </c>
      <c r="M139" s="473">
        <v>0</v>
      </c>
      <c r="N139" s="716">
        <v>3506</v>
      </c>
      <c r="O139" s="328"/>
      <c r="P139" s="718" t="str">
        <f t="shared" si="88"/>
        <v>3. Large</v>
      </c>
      <c r="Q139" s="965" t="s">
        <v>926</v>
      </c>
      <c r="R139" s="1138"/>
      <c r="S139" s="622" t="s">
        <v>811</v>
      </c>
      <c r="T139" s="323" t="str">
        <f t="shared" si="89"/>
        <v>Covered</v>
      </c>
      <c r="U139" s="561">
        <v>42376</v>
      </c>
      <c r="V139" s="1143"/>
      <c r="W139" s="558" t="s">
        <v>152</v>
      </c>
      <c r="X139" s="627">
        <v>0</v>
      </c>
      <c r="Y139" s="473">
        <v>0</v>
      </c>
      <c r="Z139" s="617" t="s">
        <v>43</v>
      </c>
      <c r="AA139" s="627">
        <v>3</v>
      </c>
      <c r="AB139" s="473">
        <v>10</v>
      </c>
      <c r="AC139" s="473">
        <v>0</v>
      </c>
      <c r="AD139" s="473">
        <v>4</v>
      </c>
      <c r="AE139" s="617"/>
      <c r="AF139" s="599">
        <v>0</v>
      </c>
      <c r="AG139" s="325">
        <v>0</v>
      </c>
      <c r="AH139" s="630">
        <f t="shared" si="90"/>
        <v>0.92698231602966341</v>
      </c>
      <c r="AI139" s="574">
        <f t="shared" si="91"/>
        <v>3250</v>
      </c>
      <c r="AJ139" s="605">
        <f t="shared" si="92"/>
        <v>0.92698231602966341</v>
      </c>
      <c r="AK139" s="574">
        <f t="shared" si="93"/>
        <v>3250</v>
      </c>
      <c r="AL139" s="605">
        <f t="shared" si="94"/>
        <v>0.92698231602966341</v>
      </c>
      <c r="AM139" s="574">
        <f t="shared" si="95"/>
        <v>3250</v>
      </c>
      <c r="AN139" s="605" t="str">
        <f t="shared" si="96"/>
        <v>80-100%</v>
      </c>
      <c r="AO139" s="605">
        <f t="shared" si="97"/>
        <v>0</v>
      </c>
      <c r="AP139" s="574">
        <f t="shared" si="98"/>
        <v>0</v>
      </c>
      <c r="AQ139" s="574" t="str">
        <f t="shared" si="99"/>
        <v>yes</v>
      </c>
      <c r="AR139" s="574">
        <f t="shared" si="100"/>
        <v>1.0239999999999991</v>
      </c>
      <c r="AS139" s="574">
        <f t="shared" si="101"/>
        <v>0</v>
      </c>
      <c r="AT139" s="574">
        <f t="shared" si="102"/>
        <v>0</v>
      </c>
      <c r="AU139" s="330">
        <v>0.93</v>
      </c>
      <c r="AV139" s="635">
        <f t="shared" si="103"/>
        <v>3260.5800000000004</v>
      </c>
      <c r="AW139" s="1155" t="s">
        <v>890</v>
      </c>
      <c r="AX139" s="740">
        <v>0</v>
      </c>
      <c r="AY139" s="428"/>
      <c r="AZ139" s="428">
        <v>42</v>
      </c>
      <c r="BA139" s="473"/>
      <c r="BB139" s="548">
        <f t="shared" si="104"/>
        <v>0</v>
      </c>
      <c r="BC139" s="606">
        <f t="shared" si="105"/>
        <v>0</v>
      </c>
      <c r="BD139" s="548">
        <f t="shared" si="106"/>
        <v>0</v>
      </c>
      <c r="BE139" s="606">
        <f t="shared" si="107"/>
        <v>0</v>
      </c>
      <c r="BF139" s="549">
        <f t="shared" si="108"/>
        <v>0</v>
      </c>
      <c r="BG139" s="606">
        <f t="shared" si="109"/>
        <v>0</v>
      </c>
      <c r="BH139" s="600" t="s">
        <v>475</v>
      </c>
      <c r="BI139" s="600" t="s">
        <v>475</v>
      </c>
      <c r="BJ139" s="606">
        <f t="shared" si="87"/>
        <v>0</v>
      </c>
      <c r="BK139" s="606" t="str">
        <f t="shared" si="110"/>
        <v>n/a</v>
      </c>
      <c r="BL139" s="428" t="s">
        <v>475</v>
      </c>
      <c r="BM139" s="548" t="str">
        <f t="shared" si="111"/>
        <v>n/a</v>
      </c>
      <c r="BN139" s="606" t="str">
        <f t="shared" si="112"/>
        <v>n/a</v>
      </c>
      <c r="BO139" s="606" t="str">
        <f t="shared" si="113"/>
        <v>n/a</v>
      </c>
      <c r="BP139" s="428" t="s">
        <v>475</v>
      </c>
      <c r="BQ139" s="606" t="s">
        <v>475</v>
      </c>
      <c r="BR139" s="428" t="s">
        <v>475</v>
      </c>
      <c r="BS139" s="548" t="str">
        <f t="shared" si="114"/>
        <v>n/a</v>
      </c>
      <c r="BT139" s="607" t="str">
        <f t="shared" si="115"/>
        <v>n/a</v>
      </c>
      <c r="BU139" s="325">
        <v>0.7</v>
      </c>
      <c r="BV139" s="650" t="str">
        <f t="shared" si="116"/>
        <v>n/a</v>
      </c>
      <c r="BW139" s="1165" t="s">
        <v>891</v>
      </c>
      <c r="BX139" s="602" t="s">
        <v>475</v>
      </c>
      <c r="BY139" s="1189"/>
      <c r="BZ139" s="1189"/>
      <c r="CA139" s="608" t="str">
        <f t="shared" si="117"/>
        <v>n/a</v>
      </c>
      <c r="CB139" s="428">
        <v>0</v>
      </c>
      <c r="CC139" s="428">
        <v>0</v>
      </c>
      <c r="CD139" s="609" t="str">
        <f t="shared" si="118"/>
        <v>n/a</v>
      </c>
      <c r="CE139" s="610" t="str">
        <f t="shared" si="119"/>
        <v>n/a</v>
      </c>
      <c r="CF139" s="609" t="str">
        <f t="shared" si="120"/>
        <v>n/a</v>
      </c>
      <c r="CG139" s="658" t="str">
        <f t="shared" si="121"/>
        <v>n/a</v>
      </c>
      <c r="CH139" s="743" t="s">
        <v>893</v>
      </c>
      <c r="CI139" s="330">
        <v>0</v>
      </c>
      <c r="CJ139" s="664">
        <f t="shared" si="122"/>
        <v>0</v>
      </c>
      <c r="CK139" s="328">
        <v>0</v>
      </c>
      <c r="CL139" s="611" t="s">
        <v>671</v>
      </c>
      <c r="CM139" s="428" t="s">
        <v>475</v>
      </c>
      <c r="CN139" s="428" t="s">
        <v>475</v>
      </c>
      <c r="CO139" s="428" t="s">
        <v>38</v>
      </c>
      <c r="CP139" s="570" t="s">
        <v>170</v>
      </c>
      <c r="CQ139" s="1167" t="s">
        <v>894</v>
      </c>
      <c r="CS139" s="1069">
        <f t="shared" si="123"/>
        <v>1</v>
      </c>
      <c r="CT139" s="1069">
        <f t="shared" si="124"/>
        <v>0.92698231602966341</v>
      </c>
      <c r="CU139" s="1066">
        <f t="shared" si="125"/>
        <v>1</v>
      </c>
      <c r="CV139" s="1066">
        <f t="shared" si="126"/>
        <v>0.92698231602966341</v>
      </c>
      <c r="CW139" s="1082">
        <f t="shared" si="127"/>
        <v>0</v>
      </c>
      <c r="CX139" s="1082">
        <f t="shared" si="128"/>
        <v>1.0239999999999991</v>
      </c>
    </row>
    <row r="140" spans="1:102" s="70" customFormat="1" ht="21" customHeight="1">
      <c r="A140" s="358"/>
      <c r="B140" s="715" t="s">
        <v>749</v>
      </c>
      <c r="C140" s="1075" t="s">
        <v>1127</v>
      </c>
      <c r="D140" s="1075" t="s">
        <v>1128</v>
      </c>
      <c r="E140" s="1058" t="s">
        <v>1129</v>
      </c>
      <c r="F140" s="1086" t="s">
        <v>866</v>
      </c>
      <c r="G140" s="1051"/>
      <c r="H140" s="1051"/>
      <c r="I140" s="560" t="s">
        <v>33</v>
      </c>
      <c r="J140" s="560" t="s">
        <v>34</v>
      </c>
      <c r="K140" s="604" t="s">
        <v>607</v>
      </c>
      <c r="L140" s="585">
        <v>0</v>
      </c>
      <c r="M140" s="473">
        <v>0</v>
      </c>
      <c r="N140" s="716">
        <v>775</v>
      </c>
      <c r="O140" s="328"/>
      <c r="P140" s="718" t="str">
        <f t="shared" si="88"/>
        <v>2. Medium</v>
      </c>
      <c r="Q140" s="965" t="s">
        <v>926</v>
      </c>
      <c r="R140" s="1138"/>
      <c r="S140" s="622" t="s">
        <v>811</v>
      </c>
      <c r="T140" s="323" t="str">
        <f t="shared" si="89"/>
        <v>Covered</v>
      </c>
      <c r="U140" s="561">
        <v>42376</v>
      </c>
      <c r="V140" s="1143"/>
      <c r="W140" s="558" t="s">
        <v>152</v>
      </c>
      <c r="X140" s="627">
        <v>0</v>
      </c>
      <c r="Y140" s="473">
        <v>0</v>
      </c>
      <c r="Z140" s="617" t="s">
        <v>43</v>
      </c>
      <c r="AA140" s="627">
        <v>0</v>
      </c>
      <c r="AB140" s="473">
        <v>5</v>
      </c>
      <c r="AC140" s="473">
        <v>0</v>
      </c>
      <c r="AD140" s="473">
        <v>1</v>
      </c>
      <c r="AE140" s="617"/>
      <c r="AF140" s="599">
        <v>0</v>
      </c>
      <c r="AG140" s="325">
        <v>0</v>
      </c>
      <c r="AH140" s="630">
        <f t="shared" si="90"/>
        <v>1</v>
      </c>
      <c r="AI140" s="574">
        <f t="shared" si="91"/>
        <v>775</v>
      </c>
      <c r="AJ140" s="605">
        <f t="shared" si="92"/>
        <v>1</v>
      </c>
      <c r="AK140" s="574">
        <f t="shared" si="93"/>
        <v>775</v>
      </c>
      <c r="AL140" s="605">
        <f t="shared" si="94"/>
        <v>1</v>
      </c>
      <c r="AM140" s="574">
        <f t="shared" si="95"/>
        <v>775</v>
      </c>
      <c r="AN140" s="605" t="str">
        <f t="shared" si="96"/>
        <v>80-100%</v>
      </c>
      <c r="AO140" s="605">
        <f t="shared" si="97"/>
        <v>0</v>
      </c>
      <c r="AP140" s="574">
        <f t="shared" si="98"/>
        <v>0</v>
      </c>
      <c r="AQ140" s="574" t="str">
        <f t="shared" si="99"/>
        <v>yes</v>
      </c>
      <c r="AR140" s="574">
        <f t="shared" si="100"/>
        <v>0</v>
      </c>
      <c r="AS140" s="574">
        <f t="shared" si="101"/>
        <v>0</v>
      </c>
      <c r="AT140" s="574">
        <f t="shared" si="102"/>
        <v>0</v>
      </c>
      <c r="AU140" s="330">
        <v>1</v>
      </c>
      <c r="AV140" s="635">
        <f t="shared" si="103"/>
        <v>775</v>
      </c>
      <c r="AW140" s="1155" t="s">
        <v>884</v>
      </c>
      <c r="AX140" s="740">
        <v>0</v>
      </c>
      <c r="AY140" s="428"/>
      <c r="AZ140" s="428">
        <v>42</v>
      </c>
      <c r="BA140" s="473"/>
      <c r="BB140" s="548">
        <f t="shared" si="104"/>
        <v>0</v>
      </c>
      <c r="BC140" s="606">
        <f t="shared" si="105"/>
        <v>0</v>
      </c>
      <c r="BD140" s="548">
        <f t="shared" si="106"/>
        <v>0</v>
      </c>
      <c r="BE140" s="606">
        <f t="shared" si="107"/>
        <v>0</v>
      </c>
      <c r="BF140" s="549">
        <f t="shared" si="108"/>
        <v>0</v>
      </c>
      <c r="BG140" s="606">
        <f t="shared" si="109"/>
        <v>0</v>
      </c>
      <c r="BH140" s="600" t="s">
        <v>475</v>
      </c>
      <c r="BI140" s="600" t="s">
        <v>475</v>
      </c>
      <c r="BJ140" s="606">
        <f t="shared" si="87"/>
        <v>0</v>
      </c>
      <c r="BK140" s="606" t="str">
        <f t="shared" si="110"/>
        <v>n/a</v>
      </c>
      <c r="BL140" s="428" t="s">
        <v>475</v>
      </c>
      <c r="BM140" s="548" t="str">
        <f t="shared" si="111"/>
        <v>n/a</v>
      </c>
      <c r="BN140" s="606" t="str">
        <f t="shared" si="112"/>
        <v>n/a</v>
      </c>
      <c r="BO140" s="606" t="str">
        <f t="shared" si="113"/>
        <v>n/a</v>
      </c>
      <c r="BP140" s="428" t="s">
        <v>475</v>
      </c>
      <c r="BQ140" s="606" t="s">
        <v>475</v>
      </c>
      <c r="BR140" s="428" t="s">
        <v>475</v>
      </c>
      <c r="BS140" s="548" t="str">
        <f t="shared" si="114"/>
        <v>n/a</v>
      </c>
      <c r="BT140" s="607" t="str">
        <f t="shared" si="115"/>
        <v>n/a</v>
      </c>
      <c r="BU140" s="325">
        <v>0.7</v>
      </c>
      <c r="BV140" s="650" t="str">
        <f t="shared" si="116"/>
        <v>n/a</v>
      </c>
      <c r="BW140" s="1165" t="s">
        <v>891</v>
      </c>
      <c r="BX140" s="602" t="s">
        <v>475</v>
      </c>
      <c r="BY140" s="1189"/>
      <c r="BZ140" s="1189"/>
      <c r="CA140" s="608" t="str">
        <f t="shared" si="117"/>
        <v>n/a</v>
      </c>
      <c r="CB140" s="428">
        <v>0</v>
      </c>
      <c r="CC140" s="428">
        <v>0</v>
      </c>
      <c r="CD140" s="609" t="str">
        <f t="shared" si="118"/>
        <v>n/a</v>
      </c>
      <c r="CE140" s="610" t="str">
        <f t="shared" si="119"/>
        <v>n/a</v>
      </c>
      <c r="CF140" s="609" t="str">
        <f t="shared" si="120"/>
        <v>n/a</v>
      </c>
      <c r="CG140" s="658" t="str">
        <f t="shared" si="121"/>
        <v>n/a</v>
      </c>
      <c r="CH140" s="743" t="s">
        <v>893</v>
      </c>
      <c r="CI140" s="330">
        <v>0</v>
      </c>
      <c r="CJ140" s="664">
        <f t="shared" si="122"/>
        <v>0</v>
      </c>
      <c r="CK140" s="328">
        <v>0</v>
      </c>
      <c r="CL140" s="611" t="s">
        <v>671</v>
      </c>
      <c r="CM140" s="428" t="s">
        <v>475</v>
      </c>
      <c r="CN140" s="428" t="s">
        <v>475</v>
      </c>
      <c r="CO140" s="428" t="s">
        <v>38</v>
      </c>
      <c r="CP140" s="570" t="s">
        <v>170</v>
      </c>
      <c r="CQ140" s="1167" t="s">
        <v>894</v>
      </c>
      <c r="CR140" s="322"/>
      <c r="CS140" s="1069">
        <f t="shared" si="123"/>
        <v>1</v>
      </c>
      <c r="CT140" s="1069">
        <f t="shared" si="124"/>
        <v>1</v>
      </c>
      <c r="CU140" s="1066">
        <f t="shared" si="125"/>
        <v>1</v>
      </c>
      <c r="CV140" s="1066">
        <f t="shared" si="126"/>
        <v>1</v>
      </c>
      <c r="CW140" s="1082">
        <f t="shared" si="127"/>
        <v>0</v>
      </c>
      <c r="CX140" s="1082">
        <f t="shared" si="128"/>
        <v>0</v>
      </c>
    </row>
    <row r="141" spans="1:102" s="70" customFormat="1" ht="21" customHeight="1">
      <c r="A141" s="358"/>
      <c r="B141" s="715" t="s">
        <v>749</v>
      </c>
      <c r="C141" s="1075" t="s">
        <v>1127</v>
      </c>
      <c r="D141" s="1075" t="s">
        <v>1128</v>
      </c>
      <c r="E141" s="1058" t="s">
        <v>1129</v>
      </c>
      <c r="F141" s="1086" t="s">
        <v>866</v>
      </c>
      <c r="G141" s="1051"/>
      <c r="H141" s="1051"/>
      <c r="I141" s="560" t="s">
        <v>33</v>
      </c>
      <c r="J141" s="560" t="s">
        <v>34</v>
      </c>
      <c r="K141" s="604" t="s">
        <v>607</v>
      </c>
      <c r="L141" s="585">
        <v>0</v>
      </c>
      <c r="M141" s="473">
        <v>0</v>
      </c>
      <c r="N141" s="570">
        <v>1496</v>
      </c>
      <c r="O141" s="328"/>
      <c r="P141" s="718" t="str">
        <f t="shared" si="88"/>
        <v>3. Large</v>
      </c>
      <c r="Q141" s="965" t="s">
        <v>926</v>
      </c>
      <c r="R141" s="1138"/>
      <c r="S141" s="622" t="s">
        <v>811</v>
      </c>
      <c r="T141" s="323" t="str">
        <f t="shared" si="89"/>
        <v>Covered</v>
      </c>
      <c r="U141" s="561">
        <v>42376</v>
      </c>
      <c r="V141" s="1143"/>
      <c r="W141" s="558" t="s">
        <v>152</v>
      </c>
      <c r="X141" s="627">
        <v>0</v>
      </c>
      <c r="Y141" s="473">
        <v>0</v>
      </c>
      <c r="Z141" s="617" t="s">
        <v>43</v>
      </c>
      <c r="AA141" s="627">
        <v>4</v>
      </c>
      <c r="AB141" s="473">
        <v>15</v>
      </c>
      <c r="AC141" s="473">
        <v>0</v>
      </c>
      <c r="AD141" s="473">
        <v>1</v>
      </c>
      <c r="AE141" s="617"/>
      <c r="AF141" s="599">
        <v>0</v>
      </c>
      <c r="AG141" s="325">
        <v>0</v>
      </c>
      <c r="AH141" s="630">
        <f t="shared" si="90"/>
        <v>1</v>
      </c>
      <c r="AI141" s="574">
        <f t="shared" si="91"/>
        <v>1496</v>
      </c>
      <c r="AJ141" s="605">
        <f t="shared" si="92"/>
        <v>1</v>
      </c>
      <c r="AK141" s="574">
        <f t="shared" si="93"/>
        <v>1496</v>
      </c>
      <c r="AL141" s="605">
        <f t="shared" si="94"/>
        <v>1</v>
      </c>
      <c r="AM141" s="574">
        <f t="shared" si="95"/>
        <v>1496</v>
      </c>
      <c r="AN141" s="605" t="str">
        <f t="shared" si="96"/>
        <v>80-100%</v>
      </c>
      <c r="AO141" s="605">
        <f t="shared" si="97"/>
        <v>0</v>
      </c>
      <c r="AP141" s="574">
        <f t="shared" si="98"/>
        <v>0</v>
      </c>
      <c r="AQ141" s="574" t="str">
        <f t="shared" si="99"/>
        <v>yes</v>
      </c>
      <c r="AR141" s="574">
        <f t="shared" si="100"/>
        <v>0</v>
      </c>
      <c r="AS141" s="574">
        <f t="shared" si="101"/>
        <v>0</v>
      </c>
      <c r="AT141" s="574">
        <f t="shared" si="102"/>
        <v>0</v>
      </c>
      <c r="AU141" s="330">
        <v>1</v>
      </c>
      <c r="AV141" s="635">
        <f t="shared" si="103"/>
        <v>1496</v>
      </c>
      <c r="AW141" s="1155" t="s">
        <v>884</v>
      </c>
      <c r="AX141" s="740">
        <v>0</v>
      </c>
      <c r="AY141" s="428"/>
      <c r="AZ141" s="428">
        <v>42</v>
      </c>
      <c r="BA141" s="473"/>
      <c r="BB141" s="548">
        <f t="shared" si="104"/>
        <v>0</v>
      </c>
      <c r="BC141" s="606">
        <f t="shared" si="105"/>
        <v>0</v>
      </c>
      <c r="BD141" s="548">
        <f t="shared" si="106"/>
        <v>0</v>
      </c>
      <c r="BE141" s="606">
        <f t="shared" si="107"/>
        <v>0</v>
      </c>
      <c r="BF141" s="549">
        <f t="shared" si="108"/>
        <v>0</v>
      </c>
      <c r="BG141" s="606">
        <f t="shared" si="109"/>
        <v>0</v>
      </c>
      <c r="BH141" s="600" t="s">
        <v>475</v>
      </c>
      <c r="BI141" s="600" t="s">
        <v>475</v>
      </c>
      <c r="BJ141" s="606">
        <f t="shared" ref="BJ141:BJ168" si="129">IFERROR(BI141*N141,0)</f>
        <v>0</v>
      </c>
      <c r="BK141" s="606" t="str">
        <f t="shared" si="110"/>
        <v>n/a</v>
      </c>
      <c r="BL141" s="428" t="s">
        <v>475</v>
      </c>
      <c r="BM141" s="548" t="str">
        <f t="shared" si="111"/>
        <v>n/a</v>
      </c>
      <c r="BN141" s="606" t="str">
        <f t="shared" si="112"/>
        <v>n/a</v>
      </c>
      <c r="BO141" s="606" t="str">
        <f t="shared" si="113"/>
        <v>n/a</v>
      </c>
      <c r="BP141" s="428" t="s">
        <v>475</v>
      </c>
      <c r="BQ141" s="606" t="s">
        <v>475</v>
      </c>
      <c r="BR141" s="428" t="s">
        <v>475</v>
      </c>
      <c r="BS141" s="548" t="str">
        <f t="shared" si="114"/>
        <v>n/a</v>
      </c>
      <c r="BT141" s="607" t="str">
        <f t="shared" si="115"/>
        <v>n/a</v>
      </c>
      <c r="BU141" s="325">
        <v>0.7</v>
      </c>
      <c r="BV141" s="650" t="str">
        <f t="shared" si="116"/>
        <v>n/a</v>
      </c>
      <c r="BW141" s="1165" t="s">
        <v>891</v>
      </c>
      <c r="BX141" s="602" t="s">
        <v>475</v>
      </c>
      <c r="BY141" s="1189"/>
      <c r="BZ141" s="1189"/>
      <c r="CA141" s="608" t="str">
        <f t="shared" si="117"/>
        <v>n/a</v>
      </c>
      <c r="CB141" s="428">
        <v>0</v>
      </c>
      <c r="CC141" s="428">
        <v>0</v>
      </c>
      <c r="CD141" s="609" t="str">
        <f t="shared" si="118"/>
        <v>n/a</v>
      </c>
      <c r="CE141" s="610" t="str">
        <f t="shared" si="119"/>
        <v>n/a</v>
      </c>
      <c r="CF141" s="609" t="str">
        <f t="shared" si="120"/>
        <v>n/a</v>
      </c>
      <c r="CG141" s="658" t="str">
        <f t="shared" si="121"/>
        <v>n/a</v>
      </c>
      <c r="CH141" s="743" t="s">
        <v>893</v>
      </c>
      <c r="CI141" s="330">
        <v>0</v>
      </c>
      <c r="CJ141" s="664">
        <f t="shared" si="122"/>
        <v>0</v>
      </c>
      <c r="CK141" s="328">
        <v>0</v>
      </c>
      <c r="CL141" s="611" t="s">
        <v>671</v>
      </c>
      <c r="CM141" s="428" t="s">
        <v>475</v>
      </c>
      <c r="CN141" s="428" t="s">
        <v>475</v>
      </c>
      <c r="CO141" s="428" t="s">
        <v>38</v>
      </c>
      <c r="CP141" s="570" t="s">
        <v>170</v>
      </c>
      <c r="CQ141" s="1167" t="s">
        <v>894</v>
      </c>
      <c r="CR141" s="322"/>
      <c r="CS141" s="1069">
        <f t="shared" si="123"/>
        <v>1</v>
      </c>
      <c r="CT141" s="1069">
        <f t="shared" si="124"/>
        <v>1</v>
      </c>
      <c r="CU141" s="1066">
        <f t="shared" si="125"/>
        <v>1</v>
      </c>
      <c r="CV141" s="1066">
        <f t="shared" si="126"/>
        <v>1</v>
      </c>
      <c r="CW141" s="1082">
        <f t="shared" si="127"/>
        <v>0</v>
      </c>
      <c r="CX141" s="1082">
        <f t="shared" si="128"/>
        <v>0</v>
      </c>
    </row>
    <row r="142" spans="1:102" s="70" customFormat="1" ht="21" customHeight="1">
      <c r="A142" s="358"/>
      <c r="B142" s="715" t="s">
        <v>749</v>
      </c>
      <c r="C142" s="1075"/>
      <c r="D142" s="1075"/>
      <c r="E142" s="1058"/>
      <c r="F142" s="1086" t="s">
        <v>880</v>
      </c>
      <c r="G142" s="1051"/>
      <c r="H142" s="1051"/>
      <c r="I142" s="560" t="s">
        <v>33</v>
      </c>
      <c r="J142" s="560" t="s">
        <v>45</v>
      </c>
      <c r="K142" s="604" t="s">
        <v>607</v>
      </c>
      <c r="L142" s="585">
        <v>0</v>
      </c>
      <c r="M142" s="473">
        <v>0</v>
      </c>
      <c r="N142" s="570">
        <v>304</v>
      </c>
      <c r="O142" s="328"/>
      <c r="P142" s="718" t="str">
        <f t="shared" si="88"/>
        <v>1. Small</v>
      </c>
      <c r="Q142" s="965" t="s">
        <v>926</v>
      </c>
      <c r="R142" s="1138"/>
      <c r="S142" s="622" t="s">
        <v>811</v>
      </c>
      <c r="T142" s="323" t="str">
        <f t="shared" si="89"/>
        <v>Covered</v>
      </c>
      <c r="U142" s="561">
        <v>42376</v>
      </c>
      <c r="V142" s="1143"/>
      <c r="W142" s="558" t="s">
        <v>152</v>
      </c>
      <c r="X142" s="627">
        <v>0</v>
      </c>
      <c r="Y142" s="473">
        <v>0</v>
      </c>
      <c r="Z142" s="617" t="s">
        <v>43</v>
      </c>
      <c r="AA142" s="627">
        <v>2</v>
      </c>
      <c r="AB142" s="473">
        <v>0</v>
      </c>
      <c r="AC142" s="473">
        <v>0</v>
      </c>
      <c r="AD142" s="473">
        <v>0</v>
      </c>
      <c r="AE142" s="617"/>
      <c r="AF142" s="599">
        <v>0</v>
      </c>
      <c r="AG142" s="325">
        <v>0</v>
      </c>
      <c r="AH142" s="630">
        <f t="shared" si="90"/>
        <v>1</v>
      </c>
      <c r="AI142" s="574">
        <f t="shared" si="91"/>
        <v>304</v>
      </c>
      <c r="AJ142" s="605">
        <f t="shared" si="92"/>
        <v>1</v>
      </c>
      <c r="AK142" s="574">
        <f t="shared" si="93"/>
        <v>304</v>
      </c>
      <c r="AL142" s="605">
        <f t="shared" si="94"/>
        <v>1</v>
      </c>
      <c r="AM142" s="574">
        <f t="shared" si="95"/>
        <v>304</v>
      </c>
      <c r="AN142" s="605" t="str">
        <f t="shared" si="96"/>
        <v>80-100%</v>
      </c>
      <c r="AO142" s="605">
        <f t="shared" si="97"/>
        <v>0</v>
      </c>
      <c r="AP142" s="574">
        <f t="shared" si="98"/>
        <v>0</v>
      </c>
      <c r="AQ142" s="574" t="str">
        <f t="shared" si="99"/>
        <v>no</v>
      </c>
      <c r="AR142" s="574">
        <f t="shared" si="100"/>
        <v>0</v>
      </c>
      <c r="AS142" s="574">
        <f t="shared" si="101"/>
        <v>0</v>
      </c>
      <c r="AT142" s="574">
        <f t="shared" si="102"/>
        <v>0</v>
      </c>
      <c r="AU142" s="330">
        <v>1</v>
      </c>
      <c r="AV142" s="635">
        <f t="shared" si="103"/>
        <v>304</v>
      </c>
      <c r="AW142" s="1155" t="s">
        <v>884</v>
      </c>
      <c r="AX142" s="740">
        <v>0</v>
      </c>
      <c r="AY142" s="428"/>
      <c r="AZ142" s="428">
        <v>42</v>
      </c>
      <c r="BA142" s="473"/>
      <c r="BB142" s="548">
        <f t="shared" si="104"/>
        <v>0</v>
      </c>
      <c r="BC142" s="606">
        <f t="shared" si="105"/>
        <v>0</v>
      </c>
      <c r="BD142" s="548">
        <f t="shared" si="106"/>
        <v>0</v>
      </c>
      <c r="BE142" s="606">
        <f t="shared" si="107"/>
        <v>0</v>
      </c>
      <c r="BF142" s="549">
        <f t="shared" si="108"/>
        <v>0</v>
      </c>
      <c r="BG142" s="606">
        <f t="shared" si="109"/>
        <v>0</v>
      </c>
      <c r="BH142" s="600" t="s">
        <v>475</v>
      </c>
      <c r="BI142" s="600" t="s">
        <v>475</v>
      </c>
      <c r="BJ142" s="606">
        <f t="shared" si="129"/>
        <v>0</v>
      </c>
      <c r="BK142" s="606" t="str">
        <f t="shared" si="110"/>
        <v>n/a</v>
      </c>
      <c r="BL142" s="428" t="s">
        <v>475</v>
      </c>
      <c r="BM142" s="548" t="str">
        <f t="shared" si="111"/>
        <v>n/a</v>
      </c>
      <c r="BN142" s="606" t="str">
        <f t="shared" si="112"/>
        <v>n/a</v>
      </c>
      <c r="BO142" s="606" t="str">
        <f t="shared" si="113"/>
        <v>n/a</v>
      </c>
      <c r="BP142" s="428" t="s">
        <v>475</v>
      </c>
      <c r="BQ142" s="606" t="s">
        <v>475</v>
      </c>
      <c r="BR142" s="428" t="s">
        <v>475</v>
      </c>
      <c r="BS142" s="548" t="str">
        <f t="shared" si="114"/>
        <v>n/a</v>
      </c>
      <c r="BT142" s="607" t="str">
        <f t="shared" si="115"/>
        <v>n/a</v>
      </c>
      <c r="BU142" s="325">
        <v>0.7</v>
      </c>
      <c r="BV142" s="650" t="str">
        <f t="shared" si="116"/>
        <v>n/a</v>
      </c>
      <c r="BW142" s="1165" t="s">
        <v>891</v>
      </c>
      <c r="BX142" s="602" t="s">
        <v>475</v>
      </c>
      <c r="BY142" s="1189"/>
      <c r="BZ142" s="1189"/>
      <c r="CA142" s="608" t="str">
        <f t="shared" si="117"/>
        <v>n/a</v>
      </c>
      <c r="CB142" s="428">
        <v>0</v>
      </c>
      <c r="CC142" s="428">
        <v>0</v>
      </c>
      <c r="CD142" s="609" t="str">
        <f t="shared" si="118"/>
        <v>n/a</v>
      </c>
      <c r="CE142" s="610" t="str">
        <f t="shared" si="119"/>
        <v>n/a</v>
      </c>
      <c r="CF142" s="609" t="str">
        <f t="shared" si="120"/>
        <v>n/a</v>
      </c>
      <c r="CG142" s="658" t="str">
        <f t="shared" si="121"/>
        <v>n/a</v>
      </c>
      <c r="CH142" s="743" t="s">
        <v>893</v>
      </c>
      <c r="CI142" s="330">
        <v>0</v>
      </c>
      <c r="CJ142" s="664">
        <f t="shared" si="122"/>
        <v>0</v>
      </c>
      <c r="CK142" s="328">
        <v>0</v>
      </c>
      <c r="CL142" s="611" t="s">
        <v>671</v>
      </c>
      <c r="CM142" s="428" t="s">
        <v>475</v>
      </c>
      <c r="CN142" s="428" t="s">
        <v>475</v>
      </c>
      <c r="CO142" s="428" t="s">
        <v>38</v>
      </c>
      <c r="CP142" s="570" t="s">
        <v>170</v>
      </c>
      <c r="CQ142" s="1167" t="s">
        <v>894</v>
      </c>
      <c r="CR142" s="322"/>
      <c r="CS142" s="1069">
        <f t="shared" si="123"/>
        <v>1</v>
      </c>
      <c r="CT142" s="1069">
        <f t="shared" si="124"/>
        <v>1</v>
      </c>
      <c r="CU142" s="1066">
        <f t="shared" si="125"/>
        <v>1</v>
      </c>
      <c r="CV142" s="1066">
        <f t="shared" si="126"/>
        <v>1</v>
      </c>
      <c r="CW142" s="1082">
        <f t="shared" si="127"/>
        <v>0</v>
      </c>
      <c r="CX142" s="1082">
        <f t="shared" si="128"/>
        <v>0</v>
      </c>
    </row>
    <row r="143" spans="1:102" ht="18" customHeight="1">
      <c r="B143" s="402" t="s">
        <v>749</v>
      </c>
      <c r="C143" s="603" t="s">
        <v>1033</v>
      </c>
      <c r="D143" s="603" t="s">
        <v>1034</v>
      </c>
      <c r="E143" s="1058" t="s">
        <v>1041</v>
      </c>
      <c r="F143" s="731" t="s">
        <v>795</v>
      </c>
      <c r="G143" s="1051"/>
      <c r="H143" s="1051"/>
      <c r="I143" s="560" t="s">
        <v>33</v>
      </c>
      <c r="J143" s="560" t="s">
        <v>34</v>
      </c>
      <c r="K143" s="604" t="s">
        <v>607</v>
      </c>
      <c r="L143" s="585">
        <v>0</v>
      </c>
      <c r="M143" s="473">
        <v>0</v>
      </c>
      <c r="N143" s="617">
        <v>230</v>
      </c>
      <c r="O143" s="328"/>
      <c r="P143" s="720" t="str">
        <f t="shared" si="88"/>
        <v>1. Small</v>
      </c>
      <c r="Q143" s="968" t="s">
        <v>926</v>
      </c>
      <c r="R143" s="626"/>
      <c r="S143" s="622" t="s">
        <v>143</v>
      </c>
      <c r="T143" s="323" t="str">
        <f t="shared" si="89"/>
        <v>Covered</v>
      </c>
      <c r="U143" s="561">
        <v>42376</v>
      </c>
      <c r="V143" s="619"/>
      <c r="W143" s="558" t="s">
        <v>152</v>
      </c>
      <c r="X143" s="473">
        <v>0</v>
      </c>
      <c r="Y143" s="473">
        <v>0</v>
      </c>
      <c r="Z143" s="617" t="s">
        <v>43</v>
      </c>
      <c r="AA143" s="627">
        <v>8</v>
      </c>
      <c r="AB143" s="473">
        <v>30</v>
      </c>
      <c r="AC143" s="473">
        <v>0</v>
      </c>
      <c r="AD143" s="473">
        <v>3</v>
      </c>
      <c r="AE143" s="617"/>
      <c r="AF143" s="599">
        <v>0</v>
      </c>
      <c r="AG143" s="325">
        <v>0</v>
      </c>
      <c r="AH143" s="630">
        <f t="shared" si="90"/>
        <v>1</v>
      </c>
      <c r="AI143" s="574">
        <f t="shared" si="91"/>
        <v>230</v>
      </c>
      <c r="AJ143" s="605">
        <f t="shared" si="92"/>
        <v>1</v>
      </c>
      <c r="AK143" s="574">
        <f t="shared" si="93"/>
        <v>230</v>
      </c>
      <c r="AL143" s="605">
        <f t="shared" si="94"/>
        <v>1</v>
      </c>
      <c r="AM143" s="574">
        <f t="shared" si="95"/>
        <v>230</v>
      </c>
      <c r="AN143" s="605" t="str">
        <f t="shared" si="96"/>
        <v>80-100%</v>
      </c>
      <c r="AO143" s="605">
        <f t="shared" si="97"/>
        <v>0</v>
      </c>
      <c r="AP143" s="574">
        <f t="shared" si="98"/>
        <v>0</v>
      </c>
      <c r="AQ143" s="574" t="str">
        <f t="shared" si="99"/>
        <v>yes</v>
      </c>
      <c r="AR143" s="574">
        <f t="shared" si="100"/>
        <v>0</v>
      </c>
      <c r="AS143" s="574">
        <f t="shared" si="101"/>
        <v>0</v>
      </c>
      <c r="AT143" s="574">
        <f t="shared" si="102"/>
        <v>0</v>
      </c>
      <c r="AU143" s="1123">
        <v>1</v>
      </c>
      <c r="AV143" s="635">
        <f t="shared" si="103"/>
        <v>230</v>
      </c>
      <c r="AW143" s="638"/>
      <c r="AX143" s="740">
        <v>0</v>
      </c>
      <c r="AY143" s="428">
        <v>207</v>
      </c>
      <c r="AZ143" s="428">
        <v>42</v>
      </c>
      <c r="BA143" s="473" t="s">
        <v>963</v>
      </c>
      <c r="BB143" s="548">
        <f t="shared" si="104"/>
        <v>1</v>
      </c>
      <c r="BC143" s="606">
        <f t="shared" si="105"/>
        <v>230</v>
      </c>
      <c r="BD143" s="548">
        <f t="shared" si="106"/>
        <v>1</v>
      </c>
      <c r="BE143" s="606">
        <f t="shared" si="107"/>
        <v>230</v>
      </c>
      <c r="BF143" s="549">
        <f t="shared" si="108"/>
        <v>0</v>
      </c>
      <c r="BG143" s="606">
        <f t="shared" si="109"/>
        <v>0</v>
      </c>
      <c r="BH143" s="601" t="s">
        <v>475</v>
      </c>
      <c r="BI143" s="600" t="s">
        <v>475</v>
      </c>
      <c r="BJ143" s="606">
        <f t="shared" si="129"/>
        <v>0</v>
      </c>
      <c r="BK143" s="606" t="str">
        <f t="shared" si="110"/>
        <v>n/a</v>
      </c>
      <c r="BL143" s="428" t="s">
        <v>475</v>
      </c>
      <c r="BM143" s="548" t="str">
        <f t="shared" si="111"/>
        <v>n/a</v>
      </c>
      <c r="BN143" s="606" t="str">
        <f t="shared" si="112"/>
        <v>n/a</v>
      </c>
      <c r="BO143" s="606" t="str">
        <f t="shared" si="113"/>
        <v>n/a</v>
      </c>
      <c r="BP143" s="578" t="s">
        <v>475</v>
      </c>
      <c r="BQ143" s="606" t="s">
        <v>475</v>
      </c>
      <c r="BR143" s="519" t="s">
        <v>475</v>
      </c>
      <c r="BS143" s="548" t="str">
        <f t="shared" si="114"/>
        <v>n/a</v>
      </c>
      <c r="BT143" s="607" t="str">
        <f t="shared" si="115"/>
        <v>n/a</v>
      </c>
      <c r="BU143" s="325">
        <v>1</v>
      </c>
      <c r="BV143" s="650" t="str">
        <f t="shared" si="116"/>
        <v>n/a</v>
      </c>
      <c r="BW143" s="325" t="s">
        <v>567</v>
      </c>
      <c r="BX143" s="602" t="s">
        <v>475</v>
      </c>
      <c r="BY143" s="1189"/>
      <c r="BZ143" s="1189"/>
      <c r="CA143" s="608" t="str">
        <f t="shared" si="117"/>
        <v>n/a</v>
      </c>
      <c r="CB143" s="428">
        <v>0</v>
      </c>
      <c r="CC143" s="428">
        <v>0</v>
      </c>
      <c r="CD143" s="609" t="str">
        <f t="shared" si="118"/>
        <v>n/a</v>
      </c>
      <c r="CE143" s="610" t="str">
        <f t="shared" si="119"/>
        <v>n/a</v>
      </c>
      <c r="CF143" s="609" t="str">
        <f t="shared" si="120"/>
        <v>n/a</v>
      </c>
      <c r="CG143" s="658" t="str">
        <f t="shared" si="121"/>
        <v>n/a</v>
      </c>
      <c r="CH143" s="328" t="s">
        <v>809</v>
      </c>
      <c r="CI143" s="330">
        <v>0.5</v>
      </c>
      <c r="CJ143" s="664">
        <f t="shared" si="122"/>
        <v>115</v>
      </c>
      <c r="CK143" s="328">
        <v>2</v>
      </c>
      <c r="CL143" s="611" t="s">
        <v>671</v>
      </c>
      <c r="CM143" s="428" t="s">
        <v>475</v>
      </c>
      <c r="CN143" s="428" t="s">
        <v>475</v>
      </c>
      <c r="CO143" s="428" t="s">
        <v>38</v>
      </c>
      <c r="CP143" s="570" t="s">
        <v>170</v>
      </c>
      <c r="CQ143" s="672"/>
      <c r="CS143" s="1069">
        <f t="shared" si="123"/>
        <v>1</v>
      </c>
      <c r="CT143" s="1069">
        <f t="shared" si="124"/>
        <v>1</v>
      </c>
      <c r="CU143" s="1066">
        <f t="shared" si="125"/>
        <v>1</v>
      </c>
      <c r="CV143" s="1066">
        <f t="shared" si="126"/>
        <v>1</v>
      </c>
      <c r="CW143" s="1082">
        <f t="shared" si="127"/>
        <v>0</v>
      </c>
      <c r="CX143" s="1082">
        <f t="shared" si="128"/>
        <v>0</v>
      </c>
    </row>
    <row r="144" spans="1:102" ht="18" customHeight="1">
      <c r="B144" s="715" t="s">
        <v>749</v>
      </c>
      <c r="C144" s="1075"/>
      <c r="D144" s="1075"/>
      <c r="E144" s="1058"/>
      <c r="F144" s="1086" t="s">
        <v>876</v>
      </c>
      <c r="G144" s="1051"/>
      <c r="H144" s="1051"/>
      <c r="I144" s="560" t="s">
        <v>33</v>
      </c>
      <c r="J144" s="560" t="s">
        <v>34</v>
      </c>
      <c r="K144" s="604" t="s">
        <v>607</v>
      </c>
      <c r="L144" s="585">
        <v>0</v>
      </c>
      <c r="M144" s="473">
        <v>0</v>
      </c>
      <c r="N144" s="570">
        <v>1196</v>
      </c>
      <c r="O144" s="328"/>
      <c r="P144" s="720" t="str">
        <f t="shared" si="88"/>
        <v>3. Large</v>
      </c>
      <c r="Q144" s="968" t="s">
        <v>926</v>
      </c>
      <c r="R144" s="626"/>
      <c r="S144" s="622" t="s">
        <v>811</v>
      </c>
      <c r="T144" s="323" t="str">
        <f t="shared" si="89"/>
        <v>Covered</v>
      </c>
      <c r="U144" s="561">
        <v>42376</v>
      </c>
      <c r="V144" s="619"/>
      <c r="W144" s="558" t="s">
        <v>152</v>
      </c>
      <c r="X144" s="473">
        <v>0</v>
      </c>
      <c r="Y144" s="473">
        <v>0</v>
      </c>
      <c r="Z144" s="617" t="s">
        <v>43</v>
      </c>
      <c r="AA144" s="627">
        <v>2</v>
      </c>
      <c r="AB144" s="473">
        <v>16</v>
      </c>
      <c r="AC144" s="473">
        <v>0</v>
      </c>
      <c r="AD144" s="473">
        <v>10</v>
      </c>
      <c r="AE144" s="617"/>
      <c r="AF144" s="599">
        <v>0</v>
      </c>
      <c r="AG144" s="325">
        <v>0</v>
      </c>
      <c r="AH144" s="630">
        <f t="shared" si="90"/>
        <v>1</v>
      </c>
      <c r="AI144" s="574">
        <f t="shared" si="91"/>
        <v>1196</v>
      </c>
      <c r="AJ144" s="605">
        <f t="shared" si="92"/>
        <v>1</v>
      </c>
      <c r="AK144" s="574">
        <f t="shared" si="93"/>
        <v>1196</v>
      </c>
      <c r="AL144" s="605">
        <f t="shared" si="94"/>
        <v>1</v>
      </c>
      <c r="AM144" s="574">
        <f t="shared" si="95"/>
        <v>1196</v>
      </c>
      <c r="AN144" s="605" t="str">
        <f t="shared" si="96"/>
        <v>80-100%</v>
      </c>
      <c r="AO144" s="605">
        <f t="shared" si="97"/>
        <v>0</v>
      </c>
      <c r="AP144" s="574">
        <f t="shared" si="98"/>
        <v>0</v>
      </c>
      <c r="AQ144" s="574" t="str">
        <f t="shared" si="99"/>
        <v>yes</v>
      </c>
      <c r="AR144" s="574">
        <f t="shared" si="100"/>
        <v>0</v>
      </c>
      <c r="AS144" s="574">
        <f t="shared" si="101"/>
        <v>0</v>
      </c>
      <c r="AT144" s="574">
        <f t="shared" si="102"/>
        <v>0</v>
      </c>
      <c r="AU144" s="330">
        <v>1</v>
      </c>
      <c r="AV144" s="635">
        <f t="shared" si="103"/>
        <v>1196</v>
      </c>
      <c r="AW144" s="1155" t="s">
        <v>884</v>
      </c>
      <c r="AX144" s="740">
        <v>0</v>
      </c>
      <c r="AY144" s="428"/>
      <c r="AZ144" s="428">
        <v>42</v>
      </c>
      <c r="BA144" s="473"/>
      <c r="BB144" s="548">
        <f t="shared" si="104"/>
        <v>0</v>
      </c>
      <c r="BC144" s="606">
        <f t="shared" si="105"/>
        <v>0</v>
      </c>
      <c r="BD144" s="548">
        <f t="shared" si="106"/>
        <v>0</v>
      </c>
      <c r="BE144" s="606">
        <f t="shared" si="107"/>
        <v>0</v>
      </c>
      <c r="BF144" s="549">
        <f t="shared" si="108"/>
        <v>0</v>
      </c>
      <c r="BG144" s="606">
        <f t="shared" si="109"/>
        <v>0</v>
      </c>
      <c r="BH144" s="600" t="s">
        <v>475</v>
      </c>
      <c r="BI144" s="600" t="s">
        <v>475</v>
      </c>
      <c r="BJ144" s="606">
        <f t="shared" si="129"/>
        <v>0</v>
      </c>
      <c r="BK144" s="606" t="str">
        <f t="shared" si="110"/>
        <v>n/a</v>
      </c>
      <c r="BL144" s="428" t="s">
        <v>475</v>
      </c>
      <c r="BM144" s="548" t="str">
        <f t="shared" si="111"/>
        <v>n/a</v>
      </c>
      <c r="BN144" s="606" t="str">
        <f t="shared" si="112"/>
        <v>n/a</v>
      </c>
      <c r="BO144" s="606" t="str">
        <f t="shared" si="113"/>
        <v>n/a</v>
      </c>
      <c r="BP144" s="428" t="s">
        <v>475</v>
      </c>
      <c r="BQ144" s="606" t="s">
        <v>475</v>
      </c>
      <c r="BR144" s="428" t="s">
        <v>475</v>
      </c>
      <c r="BS144" s="548" t="str">
        <f t="shared" si="114"/>
        <v>n/a</v>
      </c>
      <c r="BT144" s="607" t="str">
        <f t="shared" si="115"/>
        <v>n/a</v>
      </c>
      <c r="BU144" s="325">
        <v>0.7</v>
      </c>
      <c r="BV144" s="650" t="str">
        <f t="shared" si="116"/>
        <v>n/a</v>
      </c>
      <c r="BW144" s="1165" t="s">
        <v>891</v>
      </c>
      <c r="BX144" s="602" t="s">
        <v>475</v>
      </c>
      <c r="BY144" s="1189"/>
      <c r="BZ144" s="1189"/>
      <c r="CA144" s="608" t="str">
        <f t="shared" si="117"/>
        <v>n/a</v>
      </c>
      <c r="CB144" s="428">
        <v>0</v>
      </c>
      <c r="CC144" s="428">
        <v>0</v>
      </c>
      <c r="CD144" s="609" t="str">
        <f t="shared" si="118"/>
        <v>n/a</v>
      </c>
      <c r="CE144" s="610" t="str">
        <f t="shared" si="119"/>
        <v>n/a</v>
      </c>
      <c r="CF144" s="609" t="str">
        <f t="shared" si="120"/>
        <v>n/a</v>
      </c>
      <c r="CG144" s="658" t="str">
        <f t="shared" si="121"/>
        <v>n/a</v>
      </c>
      <c r="CH144" s="743" t="s">
        <v>893</v>
      </c>
      <c r="CI144" s="330">
        <v>0</v>
      </c>
      <c r="CJ144" s="664">
        <f t="shared" si="122"/>
        <v>0</v>
      </c>
      <c r="CK144" s="328">
        <v>0</v>
      </c>
      <c r="CL144" s="611" t="s">
        <v>671</v>
      </c>
      <c r="CM144" s="428" t="s">
        <v>475</v>
      </c>
      <c r="CN144" s="428" t="s">
        <v>475</v>
      </c>
      <c r="CO144" s="428" t="s">
        <v>38</v>
      </c>
      <c r="CP144" s="570" t="s">
        <v>170</v>
      </c>
      <c r="CQ144" s="1167" t="s">
        <v>894</v>
      </c>
      <c r="CS144" s="1069">
        <f t="shared" si="123"/>
        <v>1</v>
      </c>
      <c r="CT144" s="1069">
        <f t="shared" si="124"/>
        <v>1</v>
      </c>
      <c r="CU144" s="1066">
        <f t="shared" si="125"/>
        <v>1</v>
      </c>
      <c r="CV144" s="1066">
        <f t="shared" si="126"/>
        <v>1</v>
      </c>
      <c r="CW144" s="1082">
        <f t="shared" si="127"/>
        <v>0</v>
      </c>
      <c r="CX144" s="1082">
        <f t="shared" si="128"/>
        <v>0</v>
      </c>
    </row>
    <row r="145" spans="2:102" ht="18" customHeight="1">
      <c r="B145" s="402" t="s">
        <v>749</v>
      </c>
      <c r="C145" s="603" t="s">
        <v>1033</v>
      </c>
      <c r="D145" s="603" t="s">
        <v>1034</v>
      </c>
      <c r="E145" s="1058" t="s">
        <v>1037</v>
      </c>
      <c r="F145" s="731" t="s">
        <v>790</v>
      </c>
      <c r="G145" s="1051"/>
      <c r="H145" s="1051"/>
      <c r="I145" s="560" t="s">
        <v>33</v>
      </c>
      <c r="J145" s="560" t="s">
        <v>34</v>
      </c>
      <c r="K145" s="604" t="s">
        <v>607</v>
      </c>
      <c r="L145" s="585">
        <v>0</v>
      </c>
      <c r="M145" s="473">
        <v>0</v>
      </c>
      <c r="N145" s="617">
        <v>638</v>
      </c>
      <c r="O145" s="328"/>
      <c r="P145" s="720" t="str">
        <f t="shared" si="88"/>
        <v>2. Medium</v>
      </c>
      <c r="Q145" s="968" t="s">
        <v>926</v>
      </c>
      <c r="R145" s="626"/>
      <c r="S145" s="622" t="s">
        <v>143</v>
      </c>
      <c r="T145" s="323" t="str">
        <f t="shared" si="89"/>
        <v>Covered</v>
      </c>
      <c r="U145" s="561">
        <v>42376</v>
      </c>
      <c r="V145" s="619"/>
      <c r="W145" s="558" t="s">
        <v>152</v>
      </c>
      <c r="X145" s="473">
        <v>0</v>
      </c>
      <c r="Y145" s="473">
        <v>0</v>
      </c>
      <c r="Z145" s="617" t="s">
        <v>43</v>
      </c>
      <c r="AA145" s="627">
        <v>1</v>
      </c>
      <c r="AB145" s="473">
        <v>5</v>
      </c>
      <c r="AC145" s="473">
        <v>0</v>
      </c>
      <c r="AD145" s="473">
        <v>1</v>
      </c>
      <c r="AE145" s="617"/>
      <c r="AF145" s="599">
        <v>0</v>
      </c>
      <c r="AG145" s="325">
        <v>0</v>
      </c>
      <c r="AH145" s="630">
        <f t="shared" si="90"/>
        <v>1</v>
      </c>
      <c r="AI145" s="574">
        <f t="shared" si="91"/>
        <v>638</v>
      </c>
      <c r="AJ145" s="605">
        <f t="shared" si="92"/>
        <v>1</v>
      </c>
      <c r="AK145" s="574">
        <f t="shared" si="93"/>
        <v>638</v>
      </c>
      <c r="AL145" s="605">
        <f t="shared" si="94"/>
        <v>1</v>
      </c>
      <c r="AM145" s="574">
        <f t="shared" si="95"/>
        <v>638</v>
      </c>
      <c r="AN145" s="605" t="str">
        <f t="shared" si="96"/>
        <v>80-100%</v>
      </c>
      <c r="AO145" s="605">
        <f t="shared" si="97"/>
        <v>0</v>
      </c>
      <c r="AP145" s="574">
        <f t="shared" si="98"/>
        <v>0</v>
      </c>
      <c r="AQ145" s="574" t="str">
        <f t="shared" si="99"/>
        <v>yes</v>
      </c>
      <c r="AR145" s="574">
        <f t="shared" si="100"/>
        <v>0</v>
      </c>
      <c r="AS145" s="574">
        <f t="shared" si="101"/>
        <v>0</v>
      </c>
      <c r="AT145" s="574">
        <f t="shared" si="102"/>
        <v>0</v>
      </c>
      <c r="AU145" s="1123">
        <v>1</v>
      </c>
      <c r="AV145" s="635">
        <f t="shared" si="103"/>
        <v>638</v>
      </c>
      <c r="AW145" s="638"/>
      <c r="AX145" s="740">
        <v>0</v>
      </c>
      <c r="AY145" s="428">
        <v>48</v>
      </c>
      <c r="AZ145" s="428">
        <v>42</v>
      </c>
      <c r="BA145" s="473" t="s">
        <v>526</v>
      </c>
      <c r="BB145" s="548">
        <f t="shared" si="104"/>
        <v>1</v>
      </c>
      <c r="BC145" s="606">
        <f t="shared" si="105"/>
        <v>638</v>
      </c>
      <c r="BD145" s="548">
        <f t="shared" si="106"/>
        <v>1</v>
      </c>
      <c r="BE145" s="606">
        <f t="shared" si="107"/>
        <v>638</v>
      </c>
      <c r="BF145" s="549">
        <f t="shared" si="108"/>
        <v>0</v>
      </c>
      <c r="BG145" s="606">
        <f t="shared" si="109"/>
        <v>0</v>
      </c>
      <c r="BH145" s="601" t="s">
        <v>475</v>
      </c>
      <c r="BI145" s="600" t="s">
        <v>475</v>
      </c>
      <c r="BJ145" s="606">
        <f t="shared" si="129"/>
        <v>0</v>
      </c>
      <c r="BK145" s="606" t="str">
        <f t="shared" si="110"/>
        <v>n/a</v>
      </c>
      <c r="BL145" s="428" t="s">
        <v>475</v>
      </c>
      <c r="BM145" s="548" t="str">
        <f t="shared" si="111"/>
        <v>n/a</v>
      </c>
      <c r="BN145" s="606" t="str">
        <f t="shared" si="112"/>
        <v>n/a</v>
      </c>
      <c r="BO145" s="606" t="str">
        <f t="shared" si="113"/>
        <v>n/a</v>
      </c>
      <c r="BP145" s="578" t="s">
        <v>475</v>
      </c>
      <c r="BQ145" s="606" t="s">
        <v>475</v>
      </c>
      <c r="BR145" s="519" t="s">
        <v>475</v>
      </c>
      <c r="BS145" s="548" t="str">
        <f t="shared" si="114"/>
        <v>n/a</v>
      </c>
      <c r="BT145" s="607" t="str">
        <f t="shared" si="115"/>
        <v>n/a</v>
      </c>
      <c r="BU145" s="325">
        <v>1</v>
      </c>
      <c r="BV145" s="650" t="str">
        <f t="shared" si="116"/>
        <v>n/a</v>
      </c>
      <c r="BW145" s="325" t="s">
        <v>567</v>
      </c>
      <c r="BX145" s="602" t="s">
        <v>475</v>
      </c>
      <c r="BY145" s="1189"/>
      <c r="BZ145" s="1189"/>
      <c r="CA145" s="608" t="str">
        <f t="shared" si="117"/>
        <v>n/a</v>
      </c>
      <c r="CB145" s="428">
        <v>0</v>
      </c>
      <c r="CC145" s="428">
        <v>0</v>
      </c>
      <c r="CD145" s="609" t="str">
        <f t="shared" si="118"/>
        <v>n/a</v>
      </c>
      <c r="CE145" s="610" t="str">
        <f t="shared" si="119"/>
        <v>n/a</v>
      </c>
      <c r="CF145" s="609" t="str">
        <f t="shared" si="120"/>
        <v>n/a</v>
      </c>
      <c r="CG145" s="658" t="str">
        <f t="shared" si="121"/>
        <v>n/a</v>
      </c>
      <c r="CH145" s="328" t="s">
        <v>809</v>
      </c>
      <c r="CI145" s="330">
        <v>0.8</v>
      </c>
      <c r="CJ145" s="664">
        <f t="shared" si="122"/>
        <v>510.40000000000003</v>
      </c>
      <c r="CK145" s="328">
        <v>2</v>
      </c>
      <c r="CL145" s="611" t="s">
        <v>671</v>
      </c>
      <c r="CM145" s="428" t="s">
        <v>475</v>
      </c>
      <c r="CN145" s="428" t="s">
        <v>475</v>
      </c>
      <c r="CO145" s="428" t="s">
        <v>38</v>
      </c>
      <c r="CP145" s="570" t="s">
        <v>170</v>
      </c>
      <c r="CQ145" s="672"/>
      <c r="CS145" s="1069">
        <f t="shared" si="123"/>
        <v>1</v>
      </c>
      <c r="CT145" s="1069">
        <f t="shared" si="124"/>
        <v>1</v>
      </c>
      <c r="CU145" s="1066">
        <f t="shared" si="125"/>
        <v>1</v>
      </c>
      <c r="CV145" s="1066">
        <f t="shared" si="126"/>
        <v>1</v>
      </c>
      <c r="CW145" s="1082">
        <f t="shared" si="127"/>
        <v>0</v>
      </c>
      <c r="CX145" s="1082">
        <f t="shared" si="128"/>
        <v>0</v>
      </c>
    </row>
    <row r="146" spans="2:102" ht="18" customHeight="1">
      <c r="B146" s="402" t="s">
        <v>749</v>
      </c>
      <c r="C146" s="603"/>
      <c r="D146" s="603"/>
      <c r="E146" s="1058"/>
      <c r="F146" s="731" t="s">
        <v>45</v>
      </c>
      <c r="G146" s="1051"/>
      <c r="H146" s="1051"/>
      <c r="I146" s="560" t="s">
        <v>33</v>
      </c>
      <c r="J146" s="560" t="s">
        <v>45</v>
      </c>
      <c r="K146" s="604" t="s">
        <v>607</v>
      </c>
      <c r="L146" s="585">
        <v>0</v>
      </c>
      <c r="M146" s="473">
        <v>0</v>
      </c>
      <c r="N146" s="617">
        <v>370</v>
      </c>
      <c r="O146" s="328"/>
      <c r="P146" s="720" t="str">
        <f t="shared" si="88"/>
        <v>1. Small</v>
      </c>
      <c r="Q146" s="968" t="s">
        <v>926</v>
      </c>
      <c r="R146" s="626"/>
      <c r="S146" s="622" t="s">
        <v>143</v>
      </c>
      <c r="T146" s="323" t="str">
        <f t="shared" si="89"/>
        <v>Covered</v>
      </c>
      <c r="U146" s="561">
        <v>42376</v>
      </c>
      <c r="V146" s="619"/>
      <c r="W146" s="558" t="s">
        <v>152</v>
      </c>
      <c r="X146" s="473">
        <v>0</v>
      </c>
      <c r="Y146" s="473">
        <v>0</v>
      </c>
      <c r="Z146" s="617" t="s">
        <v>43</v>
      </c>
      <c r="AA146" s="627">
        <v>0</v>
      </c>
      <c r="AB146" s="473">
        <v>0</v>
      </c>
      <c r="AC146" s="473">
        <v>0</v>
      </c>
      <c r="AD146" s="473">
        <v>1</v>
      </c>
      <c r="AE146" s="617"/>
      <c r="AF146" s="599">
        <v>0</v>
      </c>
      <c r="AG146" s="325">
        <v>0</v>
      </c>
      <c r="AH146" s="630">
        <f t="shared" si="90"/>
        <v>0</v>
      </c>
      <c r="AI146" s="574">
        <f t="shared" si="91"/>
        <v>0</v>
      </c>
      <c r="AJ146" s="605">
        <f t="shared" si="92"/>
        <v>0</v>
      </c>
      <c r="AK146" s="574">
        <f t="shared" si="93"/>
        <v>0</v>
      </c>
      <c r="AL146" s="605">
        <f t="shared" si="94"/>
        <v>0</v>
      </c>
      <c r="AM146" s="574">
        <f t="shared" si="95"/>
        <v>0</v>
      </c>
      <c r="AN146" s="605" t="str">
        <f t="shared" si="96"/>
        <v>0-10%</v>
      </c>
      <c r="AO146" s="605">
        <f t="shared" si="97"/>
        <v>0</v>
      </c>
      <c r="AP146" s="574">
        <f t="shared" si="98"/>
        <v>0</v>
      </c>
      <c r="AQ146" s="574" t="str">
        <f t="shared" si="99"/>
        <v>yes</v>
      </c>
      <c r="AR146" s="574">
        <f t="shared" si="100"/>
        <v>1.48</v>
      </c>
      <c r="AS146" s="574">
        <f t="shared" si="101"/>
        <v>0</v>
      </c>
      <c r="AT146" s="574">
        <f t="shared" si="102"/>
        <v>0</v>
      </c>
      <c r="AU146" s="1123">
        <v>0</v>
      </c>
      <c r="AV146" s="635">
        <f t="shared" si="103"/>
        <v>0</v>
      </c>
      <c r="AW146" s="638"/>
      <c r="AX146" s="740">
        <v>0</v>
      </c>
      <c r="AY146" s="428">
        <v>28</v>
      </c>
      <c r="AZ146" s="428">
        <v>42</v>
      </c>
      <c r="BA146" s="473" t="s">
        <v>963</v>
      </c>
      <c r="BB146" s="548">
        <f t="shared" si="104"/>
        <v>1</v>
      </c>
      <c r="BC146" s="606">
        <f t="shared" si="105"/>
        <v>370</v>
      </c>
      <c r="BD146" s="548">
        <f t="shared" si="106"/>
        <v>1</v>
      </c>
      <c r="BE146" s="606">
        <f t="shared" si="107"/>
        <v>370</v>
      </c>
      <c r="BF146" s="549">
        <f t="shared" si="108"/>
        <v>0</v>
      </c>
      <c r="BG146" s="606">
        <f t="shared" si="109"/>
        <v>0</v>
      </c>
      <c r="BH146" s="601" t="s">
        <v>475</v>
      </c>
      <c r="BI146" s="600" t="s">
        <v>475</v>
      </c>
      <c r="BJ146" s="606">
        <f t="shared" si="129"/>
        <v>0</v>
      </c>
      <c r="BK146" s="606" t="str">
        <f t="shared" si="110"/>
        <v>n/a</v>
      </c>
      <c r="BL146" s="428" t="s">
        <v>475</v>
      </c>
      <c r="BM146" s="548" t="str">
        <f t="shared" si="111"/>
        <v>n/a</v>
      </c>
      <c r="BN146" s="606" t="str">
        <f t="shared" si="112"/>
        <v>n/a</v>
      </c>
      <c r="BO146" s="606" t="str">
        <f t="shared" si="113"/>
        <v>n/a</v>
      </c>
      <c r="BP146" s="578" t="s">
        <v>475</v>
      </c>
      <c r="BQ146" s="606" t="s">
        <v>475</v>
      </c>
      <c r="BR146" s="519" t="s">
        <v>475</v>
      </c>
      <c r="BS146" s="548" t="str">
        <f t="shared" si="114"/>
        <v>n/a</v>
      </c>
      <c r="BT146" s="607" t="str">
        <f t="shared" si="115"/>
        <v>n/a</v>
      </c>
      <c r="BU146" s="325">
        <v>1</v>
      </c>
      <c r="BV146" s="650" t="str">
        <f t="shared" si="116"/>
        <v>n/a</v>
      </c>
      <c r="BW146" s="325" t="s">
        <v>567</v>
      </c>
      <c r="BX146" s="602" t="s">
        <v>475</v>
      </c>
      <c r="BY146" s="1189"/>
      <c r="BZ146" s="1189"/>
      <c r="CA146" s="608" t="str">
        <f t="shared" si="117"/>
        <v>n/a</v>
      </c>
      <c r="CB146" s="428">
        <v>0</v>
      </c>
      <c r="CC146" s="428">
        <v>0</v>
      </c>
      <c r="CD146" s="609" t="str">
        <f t="shared" si="118"/>
        <v>n/a</v>
      </c>
      <c r="CE146" s="610" t="str">
        <f t="shared" si="119"/>
        <v>n/a</v>
      </c>
      <c r="CF146" s="609" t="str">
        <f t="shared" si="120"/>
        <v>n/a</v>
      </c>
      <c r="CG146" s="658" t="str">
        <f t="shared" si="121"/>
        <v>n/a</v>
      </c>
      <c r="CH146" s="328" t="s">
        <v>809</v>
      </c>
      <c r="CI146" s="330">
        <v>0.7</v>
      </c>
      <c r="CJ146" s="664">
        <f t="shared" si="122"/>
        <v>259</v>
      </c>
      <c r="CK146" s="328">
        <v>2</v>
      </c>
      <c r="CL146" s="611" t="s">
        <v>671</v>
      </c>
      <c r="CM146" s="428" t="s">
        <v>475</v>
      </c>
      <c r="CN146" s="428" t="s">
        <v>475</v>
      </c>
      <c r="CO146" s="428" t="s">
        <v>38</v>
      </c>
      <c r="CP146" s="570" t="s">
        <v>170</v>
      </c>
      <c r="CQ146" s="672"/>
      <c r="CS146" s="1069">
        <f t="shared" si="123"/>
        <v>0</v>
      </c>
      <c r="CT146" s="1069">
        <f t="shared" si="124"/>
        <v>0</v>
      </c>
      <c r="CU146" s="1066">
        <f t="shared" si="125"/>
        <v>0</v>
      </c>
      <c r="CV146" s="1066">
        <f t="shared" si="126"/>
        <v>0</v>
      </c>
      <c r="CW146" s="1082">
        <f t="shared" si="127"/>
        <v>0.92500000000000004</v>
      </c>
      <c r="CX146" s="1082">
        <f t="shared" si="128"/>
        <v>1.48</v>
      </c>
    </row>
    <row r="147" spans="2:102" ht="18" customHeight="1">
      <c r="B147" s="715" t="s">
        <v>749</v>
      </c>
      <c r="C147" s="1075"/>
      <c r="D147" s="1075"/>
      <c r="E147" s="1058"/>
      <c r="F147" s="1086" t="s">
        <v>45</v>
      </c>
      <c r="G147" s="1051"/>
      <c r="H147" s="1051"/>
      <c r="I147" s="560" t="s">
        <v>33</v>
      </c>
      <c r="J147" s="560" t="s">
        <v>45</v>
      </c>
      <c r="K147" s="604" t="s">
        <v>607</v>
      </c>
      <c r="L147" s="585">
        <v>0</v>
      </c>
      <c r="M147" s="473">
        <v>0</v>
      </c>
      <c r="N147" s="716">
        <v>253</v>
      </c>
      <c r="O147" s="328"/>
      <c r="P147" s="720" t="str">
        <f t="shared" si="88"/>
        <v>1. Small</v>
      </c>
      <c r="Q147" s="968" t="s">
        <v>926</v>
      </c>
      <c r="R147" s="626"/>
      <c r="S147" s="622" t="s">
        <v>811</v>
      </c>
      <c r="T147" s="323" t="str">
        <f t="shared" si="89"/>
        <v>Covered</v>
      </c>
      <c r="U147" s="561">
        <v>42376</v>
      </c>
      <c r="V147" s="619"/>
      <c r="W147" s="558" t="s">
        <v>152</v>
      </c>
      <c r="X147" s="473">
        <v>0</v>
      </c>
      <c r="Y147" s="473">
        <v>0</v>
      </c>
      <c r="Z147" s="617" t="s">
        <v>43</v>
      </c>
      <c r="AA147" s="627">
        <v>1</v>
      </c>
      <c r="AB147" s="473">
        <v>4</v>
      </c>
      <c r="AC147" s="473">
        <v>0</v>
      </c>
      <c r="AD147" s="473">
        <v>1</v>
      </c>
      <c r="AE147" s="617"/>
      <c r="AF147" s="599">
        <v>0</v>
      </c>
      <c r="AG147" s="325">
        <v>0</v>
      </c>
      <c r="AH147" s="630">
        <f t="shared" si="90"/>
        <v>1</v>
      </c>
      <c r="AI147" s="574">
        <f t="shared" si="91"/>
        <v>253</v>
      </c>
      <c r="AJ147" s="605">
        <f t="shared" si="92"/>
        <v>1</v>
      </c>
      <c r="AK147" s="574">
        <f t="shared" si="93"/>
        <v>253</v>
      </c>
      <c r="AL147" s="605">
        <f t="shared" si="94"/>
        <v>1</v>
      </c>
      <c r="AM147" s="574">
        <f t="shared" si="95"/>
        <v>253</v>
      </c>
      <c r="AN147" s="605" t="str">
        <f t="shared" si="96"/>
        <v>80-100%</v>
      </c>
      <c r="AO147" s="605">
        <f t="shared" si="97"/>
        <v>0</v>
      </c>
      <c r="AP147" s="574">
        <f t="shared" si="98"/>
        <v>0</v>
      </c>
      <c r="AQ147" s="574" t="str">
        <f t="shared" si="99"/>
        <v>yes</v>
      </c>
      <c r="AR147" s="574">
        <f t="shared" si="100"/>
        <v>0</v>
      </c>
      <c r="AS147" s="574">
        <f t="shared" si="101"/>
        <v>0</v>
      </c>
      <c r="AT147" s="574">
        <f t="shared" si="102"/>
        <v>0</v>
      </c>
      <c r="AU147" s="330">
        <v>1</v>
      </c>
      <c r="AV147" s="635">
        <f t="shared" si="103"/>
        <v>253</v>
      </c>
      <c r="AW147" s="1155" t="s">
        <v>884</v>
      </c>
      <c r="AX147" s="740">
        <v>0</v>
      </c>
      <c r="AY147" s="428"/>
      <c r="AZ147" s="428">
        <v>42</v>
      </c>
      <c r="BA147" s="473"/>
      <c r="BB147" s="548">
        <f t="shared" si="104"/>
        <v>0</v>
      </c>
      <c r="BC147" s="606">
        <f t="shared" si="105"/>
        <v>0</v>
      </c>
      <c r="BD147" s="548">
        <f t="shared" si="106"/>
        <v>0</v>
      </c>
      <c r="BE147" s="606">
        <f t="shared" si="107"/>
        <v>0</v>
      </c>
      <c r="BF147" s="549">
        <f t="shared" si="108"/>
        <v>0</v>
      </c>
      <c r="BG147" s="606">
        <f t="shared" si="109"/>
        <v>0</v>
      </c>
      <c r="BH147" s="600" t="s">
        <v>475</v>
      </c>
      <c r="BI147" s="600" t="s">
        <v>475</v>
      </c>
      <c r="BJ147" s="606">
        <f t="shared" si="129"/>
        <v>0</v>
      </c>
      <c r="BK147" s="606" t="str">
        <f t="shared" si="110"/>
        <v>n/a</v>
      </c>
      <c r="BL147" s="428" t="s">
        <v>475</v>
      </c>
      <c r="BM147" s="548" t="str">
        <f t="shared" si="111"/>
        <v>n/a</v>
      </c>
      <c r="BN147" s="606" t="str">
        <f t="shared" si="112"/>
        <v>n/a</v>
      </c>
      <c r="BO147" s="606" t="str">
        <f t="shared" si="113"/>
        <v>n/a</v>
      </c>
      <c r="BP147" s="428" t="s">
        <v>475</v>
      </c>
      <c r="BQ147" s="606" t="s">
        <v>475</v>
      </c>
      <c r="BR147" s="428" t="s">
        <v>475</v>
      </c>
      <c r="BS147" s="548" t="str">
        <f t="shared" si="114"/>
        <v>n/a</v>
      </c>
      <c r="BT147" s="607" t="str">
        <f t="shared" si="115"/>
        <v>n/a</v>
      </c>
      <c r="BU147" s="325">
        <v>0.7</v>
      </c>
      <c r="BV147" s="650" t="str">
        <f t="shared" si="116"/>
        <v>n/a</v>
      </c>
      <c r="BW147" s="1165" t="s">
        <v>891</v>
      </c>
      <c r="BX147" s="602" t="s">
        <v>475</v>
      </c>
      <c r="BY147" s="1189"/>
      <c r="BZ147" s="1189"/>
      <c r="CA147" s="608" t="str">
        <f t="shared" si="117"/>
        <v>n/a</v>
      </c>
      <c r="CB147" s="428">
        <v>0</v>
      </c>
      <c r="CC147" s="428">
        <v>0</v>
      </c>
      <c r="CD147" s="609" t="str">
        <f t="shared" si="118"/>
        <v>n/a</v>
      </c>
      <c r="CE147" s="610" t="str">
        <f t="shared" si="119"/>
        <v>n/a</v>
      </c>
      <c r="CF147" s="609" t="str">
        <f t="shared" si="120"/>
        <v>n/a</v>
      </c>
      <c r="CG147" s="658" t="str">
        <f t="shared" si="121"/>
        <v>n/a</v>
      </c>
      <c r="CH147" s="743" t="s">
        <v>893</v>
      </c>
      <c r="CI147" s="330">
        <v>0</v>
      </c>
      <c r="CJ147" s="664">
        <f t="shared" si="122"/>
        <v>0</v>
      </c>
      <c r="CK147" s="328">
        <v>0</v>
      </c>
      <c r="CL147" s="611" t="s">
        <v>671</v>
      </c>
      <c r="CM147" s="428" t="s">
        <v>475</v>
      </c>
      <c r="CN147" s="428" t="s">
        <v>475</v>
      </c>
      <c r="CO147" s="428" t="s">
        <v>38</v>
      </c>
      <c r="CP147" s="570" t="s">
        <v>170</v>
      </c>
      <c r="CQ147" s="1167" t="s">
        <v>894</v>
      </c>
      <c r="CS147" s="1069">
        <f t="shared" si="123"/>
        <v>1</v>
      </c>
      <c r="CT147" s="1069">
        <f t="shared" si="124"/>
        <v>1</v>
      </c>
      <c r="CU147" s="1066">
        <f t="shared" si="125"/>
        <v>1</v>
      </c>
      <c r="CV147" s="1066">
        <f t="shared" si="126"/>
        <v>1</v>
      </c>
      <c r="CW147" s="1082">
        <f t="shared" si="127"/>
        <v>0</v>
      </c>
      <c r="CX147" s="1082">
        <f t="shared" si="128"/>
        <v>0</v>
      </c>
    </row>
    <row r="148" spans="2:102" ht="18" customHeight="1">
      <c r="B148" s="715" t="s">
        <v>749</v>
      </c>
      <c r="C148" s="1075"/>
      <c r="D148" s="1075"/>
      <c r="E148" s="1058"/>
      <c r="F148" s="1086" t="s">
        <v>873</v>
      </c>
      <c r="G148" s="1051"/>
      <c r="H148" s="1051"/>
      <c r="I148" s="560" t="s">
        <v>33</v>
      </c>
      <c r="J148" s="560" t="s">
        <v>45</v>
      </c>
      <c r="K148" s="604" t="s">
        <v>607</v>
      </c>
      <c r="L148" s="585">
        <v>0</v>
      </c>
      <c r="M148" s="473">
        <v>0</v>
      </c>
      <c r="N148" s="716">
        <v>547</v>
      </c>
      <c r="O148" s="328"/>
      <c r="P148" s="720" t="str">
        <f t="shared" si="88"/>
        <v>2. Medium</v>
      </c>
      <c r="Q148" s="968" t="s">
        <v>926</v>
      </c>
      <c r="R148" s="626"/>
      <c r="S148" s="622" t="s">
        <v>811</v>
      </c>
      <c r="T148" s="323" t="str">
        <f t="shared" si="89"/>
        <v>Covered</v>
      </c>
      <c r="U148" s="561">
        <v>42376</v>
      </c>
      <c r="V148" s="619"/>
      <c r="W148" s="558" t="s">
        <v>152</v>
      </c>
      <c r="X148" s="473">
        <v>0</v>
      </c>
      <c r="Y148" s="473">
        <v>0</v>
      </c>
      <c r="Z148" s="617" t="s">
        <v>43</v>
      </c>
      <c r="AA148" s="627">
        <v>2</v>
      </c>
      <c r="AB148" s="473">
        <v>6</v>
      </c>
      <c r="AC148" s="473">
        <v>0</v>
      </c>
      <c r="AD148" s="473">
        <v>0</v>
      </c>
      <c r="AE148" s="617"/>
      <c r="AF148" s="599">
        <v>0</v>
      </c>
      <c r="AG148" s="325">
        <v>0</v>
      </c>
      <c r="AH148" s="630">
        <f t="shared" si="90"/>
        <v>1</v>
      </c>
      <c r="AI148" s="574">
        <f t="shared" si="91"/>
        <v>547</v>
      </c>
      <c r="AJ148" s="605">
        <f t="shared" si="92"/>
        <v>1</v>
      </c>
      <c r="AK148" s="574">
        <f t="shared" si="93"/>
        <v>547</v>
      </c>
      <c r="AL148" s="605">
        <f t="shared" si="94"/>
        <v>1</v>
      </c>
      <c r="AM148" s="574">
        <f t="shared" si="95"/>
        <v>547</v>
      </c>
      <c r="AN148" s="605" t="str">
        <f t="shared" si="96"/>
        <v>80-100%</v>
      </c>
      <c r="AO148" s="605">
        <f t="shared" si="97"/>
        <v>0</v>
      </c>
      <c r="AP148" s="574">
        <f t="shared" si="98"/>
        <v>0</v>
      </c>
      <c r="AQ148" s="574" t="str">
        <f t="shared" si="99"/>
        <v>no</v>
      </c>
      <c r="AR148" s="574">
        <f t="shared" si="100"/>
        <v>0</v>
      </c>
      <c r="AS148" s="574">
        <f t="shared" si="101"/>
        <v>0</v>
      </c>
      <c r="AT148" s="574">
        <f t="shared" si="102"/>
        <v>0</v>
      </c>
      <c r="AU148" s="330">
        <v>1</v>
      </c>
      <c r="AV148" s="635">
        <f t="shared" si="103"/>
        <v>547</v>
      </c>
      <c r="AW148" s="1155" t="s">
        <v>884</v>
      </c>
      <c r="AX148" s="740">
        <v>0</v>
      </c>
      <c r="AY148" s="428"/>
      <c r="AZ148" s="428">
        <v>42</v>
      </c>
      <c r="BA148" s="473"/>
      <c r="BB148" s="548">
        <f t="shared" si="104"/>
        <v>0</v>
      </c>
      <c r="BC148" s="606">
        <f t="shared" si="105"/>
        <v>0</v>
      </c>
      <c r="BD148" s="548">
        <f t="shared" si="106"/>
        <v>0</v>
      </c>
      <c r="BE148" s="606">
        <f t="shared" si="107"/>
        <v>0</v>
      </c>
      <c r="BF148" s="549">
        <f t="shared" si="108"/>
        <v>0</v>
      </c>
      <c r="BG148" s="606">
        <f t="shared" si="109"/>
        <v>0</v>
      </c>
      <c r="BH148" s="600" t="s">
        <v>475</v>
      </c>
      <c r="BI148" s="600" t="s">
        <v>475</v>
      </c>
      <c r="BJ148" s="606">
        <f t="shared" si="129"/>
        <v>0</v>
      </c>
      <c r="BK148" s="606" t="str">
        <f t="shared" si="110"/>
        <v>n/a</v>
      </c>
      <c r="BL148" s="428" t="s">
        <v>475</v>
      </c>
      <c r="BM148" s="548" t="str">
        <f t="shared" si="111"/>
        <v>n/a</v>
      </c>
      <c r="BN148" s="606" t="str">
        <f t="shared" si="112"/>
        <v>n/a</v>
      </c>
      <c r="BO148" s="606" t="str">
        <f t="shared" si="113"/>
        <v>n/a</v>
      </c>
      <c r="BP148" s="428" t="s">
        <v>475</v>
      </c>
      <c r="BQ148" s="606" t="s">
        <v>475</v>
      </c>
      <c r="BR148" s="428" t="s">
        <v>475</v>
      </c>
      <c r="BS148" s="548" t="str">
        <f t="shared" si="114"/>
        <v>n/a</v>
      </c>
      <c r="BT148" s="607" t="str">
        <f t="shared" si="115"/>
        <v>n/a</v>
      </c>
      <c r="BU148" s="325">
        <v>0.7</v>
      </c>
      <c r="BV148" s="650" t="str">
        <f t="shared" si="116"/>
        <v>n/a</v>
      </c>
      <c r="BW148" s="1165" t="s">
        <v>891</v>
      </c>
      <c r="BX148" s="602" t="s">
        <v>475</v>
      </c>
      <c r="BY148" s="1189"/>
      <c r="BZ148" s="1189"/>
      <c r="CA148" s="608" t="str">
        <f t="shared" si="117"/>
        <v>n/a</v>
      </c>
      <c r="CB148" s="428">
        <v>0</v>
      </c>
      <c r="CC148" s="428">
        <v>0</v>
      </c>
      <c r="CD148" s="609" t="str">
        <f t="shared" si="118"/>
        <v>n/a</v>
      </c>
      <c r="CE148" s="610" t="str">
        <f t="shared" si="119"/>
        <v>n/a</v>
      </c>
      <c r="CF148" s="609" t="str">
        <f t="shared" si="120"/>
        <v>n/a</v>
      </c>
      <c r="CG148" s="658" t="str">
        <f t="shared" si="121"/>
        <v>n/a</v>
      </c>
      <c r="CH148" s="743" t="s">
        <v>893</v>
      </c>
      <c r="CI148" s="330">
        <v>0</v>
      </c>
      <c r="CJ148" s="664">
        <f t="shared" si="122"/>
        <v>0</v>
      </c>
      <c r="CK148" s="328">
        <v>0</v>
      </c>
      <c r="CL148" s="611" t="s">
        <v>671</v>
      </c>
      <c r="CM148" s="428" t="s">
        <v>475</v>
      </c>
      <c r="CN148" s="428" t="s">
        <v>475</v>
      </c>
      <c r="CO148" s="428" t="s">
        <v>38</v>
      </c>
      <c r="CP148" s="570" t="s">
        <v>170</v>
      </c>
      <c r="CQ148" s="1167" t="s">
        <v>894</v>
      </c>
      <c r="CS148" s="1069">
        <f t="shared" si="123"/>
        <v>1</v>
      </c>
      <c r="CT148" s="1069">
        <f t="shared" si="124"/>
        <v>1</v>
      </c>
      <c r="CU148" s="1066">
        <f t="shared" si="125"/>
        <v>1</v>
      </c>
      <c r="CV148" s="1066">
        <f t="shared" si="126"/>
        <v>1</v>
      </c>
      <c r="CW148" s="1082">
        <f t="shared" si="127"/>
        <v>0</v>
      </c>
      <c r="CX148" s="1082">
        <f t="shared" si="128"/>
        <v>0</v>
      </c>
    </row>
    <row r="149" spans="2:102" ht="18" customHeight="1">
      <c r="B149" s="715" t="s">
        <v>749</v>
      </c>
      <c r="C149" s="1075"/>
      <c r="D149" s="1075"/>
      <c r="E149" s="1058"/>
      <c r="F149" s="1086" t="s">
        <v>873</v>
      </c>
      <c r="G149" s="1051"/>
      <c r="H149" s="1051"/>
      <c r="I149" s="560" t="s">
        <v>33</v>
      </c>
      <c r="J149" s="560" t="s">
        <v>45</v>
      </c>
      <c r="K149" s="604" t="s">
        <v>607</v>
      </c>
      <c r="L149" s="585">
        <v>0</v>
      </c>
      <c r="M149" s="473">
        <v>0</v>
      </c>
      <c r="N149" s="570">
        <v>383</v>
      </c>
      <c r="O149" s="328"/>
      <c r="P149" s="720" t="str">
        <f t="shared" si="88"/>
        <v>1. Small</v>
      </c>
      <c r="Q149" s="968" t="s">
        <v>926</v>
      </c>
      <c r="R149" s="626"/>
      <c r="S149" s="622" t="s">
        <v>811</v>
      </c>
      <c r="T149" s="323" t="str">
        <f t="shared" si="89"/>
        <v>Covered</v>
      </c>
      <c r="U149" s="561">
        <v>42376</v>
      </c>
      <c r="V149" s="619"/>
      <c r="W149" s="558" t="s">
        <v>152</v>
      </c>
      <c r="X149" s="473">
        <v>0</v>
      </c>
      <c r="Y149" s="473">
        <v>0</v>
      </c>
      <c r="Z149" s="617" t="s">
        <v>43</v>
      </c>
      <c r="AA149" s="627">
        <v>4</v>
      </c>
      <c r="AB149" s="473">
        <v>0</v>
      </c>
      <c r="AC149" s="473">
        <v>0</v>
      </c>
      <c r="AD149" s="473">
        <v>1</v>
      </c>
      <c r="AE149" s="617"/>
      <c r="AF149" s="599">
        <v>0</v>
      </c>
      <c r="AG149" s="325">
        <v>0</v>
      </c>
      <c r="AH149" s="630">
        <f t="shared" si="90"/>
        <v>1</v>
      </c>
      <c r="AI149" s="574">
        <f t="shared" si="91"/>
        <v>383</v>
      </c>
      <c r="AJ149" s="605">
        <f t="shared" si="92"/>
        <v>1</v>
      </c>
      <c r="AK149" s="574">
        <f t="shared" si="93"/>
        <v>383</v>
      </c>
      <c r="AL149" s="605">
        <f t="shared" si="94"/>
        <v>1</v>
      </c>
      <c r="AM149" s="574">
        <f t="shared" si="95"/>
        <v>383</v>
      </c>
      <c r="AN149" s="605" t="str">
        <f t="shared" si="96"/>
        <v>80-100%</v>
      </c>
      <c r="AO149" s="605">
        <f t="shared" si="97"/>
        <v>0</v>
      </c>
      <c r="AP149" s="574">
        <f t="shared" si="98"/>
        <v>0</v>
      </c>
      <c r="AQ149" s="574" t="str">
        <f t="shared" si="99"/>
        <v>yes</v>
      </c>
      <c r="AR149" s="574">
        <f t="shared" si="100"/>
        <v>0</v>
      </c>
      <c r="AS149" s="574">
        <f t="shared" si="101"/>
        <v>0</v>
      </c>
      <c r="AT149" s="574">
        <f t="shared" si="102"/>
        <v>0</v>
      </c>
      <c r="AU149" s="330">
        <v>1</v>
      </c>
      <c r="AV149" s="635">
        <f t="shared" si="103"/>
        <v>383</v>
      </c>
      <c r="AW149" s="1155" t="s">
        <v>884</v>
      </c>
      <c r="AX149" s="740">
        <v>0</v>
      </c>
      <c r="AY149" s="428"/>
      <c r="AZ149" s="428">
        <v>42</v>
      </c>
      <c r="BA149" s="473"/>
      <c r="BB149" s="548">
        <f t="shared" si="104"/>
        <v>0</v>
      </c>
      <c r="BC149" s="606">
        <f t="shared" si="105"/>
        <v>0</v>
      </c>
      <c r="BD149" s="548">
        <f t="shared" si="106"/>
        <v>0</v>
      </c>
      <c r="BE149" s="606">
        <f t="shared" si="107"/>
        <v>0</v>
      </c>
      <c r="BF149" s="549">
        <f t="shared" si="108"/>
        <v>0</v>
      </c>
      <c r="BG149" s="606">
        <f t="shared" si="109"/>
        <v>0</v>
      </c>
      <c r="BH149" s="600" t="s">
        <v>475</v>
      </c>
      <c r="BI149" s="600" t="s">
        <v>475</v>
      </c>
      <c r="BJ149" s="606">
        <f t="shared" si="129"/>
        <v>0</v>
      </c>
      <c r="BK149" s="606" t="str">
        <f t="shared" si="110"/>
        <v>n/a</v>
      </c>
      <c r="BL149" s="428" t="s">
        <v>475</v>
      </c>
      <c r="BM149" s="548" t="str">
        <f t="shared" si="111"/>
        <v>n/a</v>
      </c>
      <c r="BN149" s="606" t="str">
        <f t="shared" si="112"/>
        <v>n/a</v>
      </c>
      <c r="BO149" s="606" t="str">
        <f t="shared" si="113"/>
        <v>n/a</v>
      </c>
      <c r="BP149" s="428" t="s">
        <v>475</v>
      </c>
      <c r="BQ149" s="606" t="s">
        <v>475</v>
      </c>
      <c r="BR149" s="428" t="s">
        <v>475</v>
      </c>
      <c r="BS149" s="548" t="str">
        <f t="shared" si="114"/>
        <v>n/a</v>
      </c>
      <c r="BT149" s="607" t="str">
        <f t="shared" si="115"/>
        <v>n/a</v>
      </c>
      <c r="BU149" s="325">
        <v>0.7</v>
      </c>
      <c r="BV149" s="650" t="str">
        <f t="shared" si="116"/>
        <v>n/a</v>
      </c>
      <c r="BW149" s="1165" t="s">
        <v>891</v>
      </c>
      <c r="BX149" s="602" t="s">
        <v>475</v>
      </c>
      <c r="BY149" s="1189"/>
      <c r="BZ149" s="1189"/>
      <c r="CA149" s="608" t="str">
        <f t="shared" si="117"/>
        <v>n/a</v>
      </c>
      <c r="CB149" s="428">
        <v>0</v>
      </c>
      <c r="CC149" s="428">
        <v>0</v>
      </c>
      <c r="CD149" s="609" t="str">
        <f t="shared" si="118"/>
        <v>n/a</v>
      </c>
      <c r="CE149" s="610" t="str">
        <f t="shared" si="119"/>
        <v>n/a</v>
      </c>
      <c r="CF149" s="609" t="str">
        <f t="shared" si="120"/>
        <v>n/a</v>
      </c>
      <c r="CG149" s="658" t="str">
        <f t="shared" si="121"/>
        <v>n/a</v>
      </c>
      <c r="CH149" s="743" t="s">
        <v>893</v>
      </c>
      <c r="CI149" s="330">
        <v>0</v>
      </c>
      <c r="CJ149" s="664">
        <f t="shared" si="122"/>
        <v>0</v>
      </c>
      <c r="CK149" s="328">
        <v>0</v>
      </c>
      <c r="CL149" s="611" t="s">
        <v>671</v>
      </c>
      <c r="CM149" s="428" t="s">
        <v>475</v>
      </c>
      <c r="CN149" s="428" t="s">
        <v>475</v>
      </c>
      <c r="CO149" s="428" t="s">
        <v>38</v>
      </c>
      <c r="CP149" s="570" t="s">
        <v>170</v>
      </c>
      <c r="CQ149" s="1167" t="s">
        <v>894</v>
      </c>
      <c r="CS149" s="1069">
        <f t="shared" si="123"/>
        <v>1</v>
      </c>
      <c r="CT149" s="1069">
        <f t="shared" si="124"/>
        <v>1</v>
      </c>
      <c r="CU149" s="1066">
        <f t="shared" si="125"/>
        <v>1</v>
      </c>
      <c r="CV149" s="1066">
        <f t="shared" si="126"/>
        <v>1</v>
      </c>
      <c r="CW149" s="1082">
        <f t="shared" si="127"/>
        <v>0</v>
      </c>
      <c r="CX149" s="1082">
        <f t="shared" si="128"/>
        <v>0</v>
      </c>
    </row>
    <row r="150" spans="2:102" ht="18" customHeight="1">
      <c r="B150" s="402" t="s">
        <v>749</v>
      </c>
      <c r="C150" s="603"/>
      <c r="D150" s="603"/>
      <c r="E150" s="1058"/>
      <c r="F150" s="731" t="s">
        <v>786</v>
      </c>
      <c r="G150" s="1051"/>
      <c r="H150" s="1051"/>
      <c r="I150" s="560" t="s">
        <v>33</v>
      </c>
      <c r="J150" s="560" t="s">
        <v>34</v>
      </c>
      <c r="K150" s="604" t="s">
        <v>607</v>
      </c>
      <c r="L150" s="585">
        <v>0</v>
      </c>
      <c r="M150" s="473">
        <v>0</v>
      </c>
      <c r="N150" s="617">
        <v>2000</v>
      </c>
      <c r="O150" s="328"/>
      <c r="P150" s="720" t="str">
        <f t="shared" si="88"/>
        <v>3. Large</v>
      </c>
      <c r="Q150" s="968" t="s">
        <v>926</v>
      </c>
      <c r="R150" s="626"/>
      <c r="S150" s="622" t="s">
        <v>143</v>
      </c>
      <c r="T150" s="323" t="str">
        <f t="shared" si="89"/>
        <v>Covered</v>
      </c>
      <c r="U150" s="561">
        <v>42376</v>
      </c>
      <c r="V150" s="619"/>
      <c r="W150" s="558" t="s">
        <v>152</v>
      </c>
      <c r="X150" s="473">
        <v>0</v>
      </c>
      <c r="Y150" s="473">
        <v>0</v>
      </c>
      <c r="Z150" s="617" t="s">
        <v>43</v>
      </c>
      <c r="AA150" s="627">
        <v>0</v>
      </c>
      <c r="AB150" s="473">
        <v>15</v>
      </c>
      <c r="AC150" s="473">
        <v>0</v>
      </c>
      <c r="AD150" s="473">
        <v>0</v>
      </c>
      <c r="AE150" s="617"/>
      <c r="AF150" s="599">
        <v>0</v>
      </c>
      <c r="AG150" s="325">
        <v>0</v>
      </c>
      <c r="AH150" s="630">
        <f t="shared" si="90"/>
        <v>1</v>
      </c>
      <c r="AI150" s="574">
        <f t="shared" si="91"/>
        <v>2000</v>
      </c>
      <c r="AJ150" s="605">
        <f t="shared" si="92"/>
        <v>1</v>
      </c>
      <c r="AK150" s="574">
        <f t="shared" si="93"/>
        <v>2000</v>
      </c>
      <c r="AL150" s="605">
        <f t="shared" si="94"/>
        <v>1</v>
      </c>
      <c r="AM150" s="574">
        <f t="shared" si="95"/>
        <v>2000</v>
      </c>
      <c r="AN150" s="605" t="str">
        <f t="shared" si="96"/>
        <v>80-100%</v>
      </c>
      <c r="AO150" s="605">
        <f t="shared" si="97"/>
        <v>0</v>
      </c>
      <c r="AP150" s="574">
        <f t="shared" si="98"/>
        <v>0</v>
      </c>
      <c r="AQ150" s="574" t="str">
        <f t="shared" si="99"/>
        <v>no</v>
      </c>
      <c r="AR150" s="574">
        <f t="shared" si="100"/>
        <v>0</v>
      </c>
      <c r="AS150" s="574">
        <f t="shared" si="101"/>
        <v>0</v>
      </c>
      <c r="AT150" s="574">
        <f t="shared" si="102"/>
        <v>0</v>
      </c>
      <c r="AU150" s="1123">
        <v>1</v>
      </c>
      <c r="AV150" s="635">
        <f t="shared" si="103"/>
        <v>2000</v>
      </c>
      <c r="AW150" s="638"/>
      <c r="AX150" s="740">
        <v>0</v>
      </c>
      <c r="AY150" s="428">
        <v>184</v>
      </c>
      <c r="AZ150" s="428">
        <v>42</v>
      </c>
      <c r="BA150" s="473" t="s">
        <v>963</v>
      </c>
      <c r="BB150" s="548">
        <f t="shared" si="104"/>
        <v>1</v>
      </c>
      <c r="BC150" s="606">
        <f t="shared" si="105"/>
        <v>2000</v>
      </c>
      <c r="BD150" s="548">
        <f t="shared" si="106"/>
        <v>1</v>
      </c>
      <c r="BE150" s="606">
        <f t="shared" si="107"/>
        <v>2000</v>
      </c>
      <c r="BF150" s="549">
        <f t="shared" si="108"/>
        <v>0</v>
      </c>
      <c r="BG150" s="606">
        <f t="shared" si="109"/>
        <v>0</v>
      </c>
      <c r="BH150" s="601" t="s">
        <v>475</v>
      </c>
      <c r="BI150" s="600" t="s">
        <v>475</v>
      </c>
      <c r="BJ150" s="606">
        <f t="shared" si="129"/>
        <v>0</v>
      </c>
      <c r="BK150" s="606" t="str">
        <f t="shared" si="110"/>
        <v>n/a</v>
      </c>
      <c r="BL150" s="428" t="s">
        <v>475</v>
      </c>
      <c r="BM150" s="548" t="str">
        <f t="shared" si="111"/>
        <v>n/a</v>
      </c>
      <c r="BN150" s="606" t="str">
        <f t="shared" si="112"/>
        <v>n/a</v>
      </c>
      <c r="BO150" s="606" t="str">
        <f t="shared" si="113"/>
        <v>n/a</v>
      </c>
      <c r="BP150" s="578" t="s">
        <v>475</v>
      </c>
      <c r="BQ150" s="606" t="s">
        <v>475</v>
      </c>
      <c r="BR150" s="519" t="s">
        <v>475</v>
      </c>
      <c r="BS150" s="548" t="str">
        <f t="shared" si="114"/>
        <v>n/a</v>
      </c>
      <c r="BT150" s="607" t="str">
        <f t="shared" si="115"/>
        <v>n/a</v>
      </c>
      <c r="BU150" s="325">
        <v>1</v>
      </c>
      <c r="BV150" s="650" t="str">
        <f t="shared" si="116"/>
        <v>n/a</v>
      </c>
      <c r="BW150" s="325" t="s">
        <v>567</v>
      </c>
      <c r="BX150" s="602" t="s">
        <v>475</v>
      </c>
      <c r="BY150" s="1189"/>
      <c r="BZ150" s="1189"/>
      <c r="CA150" s="608" t="str">
        <f t="shared" si="117"/>
        <v>n/a</v>
      </c>
      <c r="CB150" s="428">
        <v>0</v>
      </c>
      <c r="CC150" s="428">
        <v>0</v>
      </c>
      <c r="CD150" s="609" t="str">
        <f t="shared" si="118"/>
        <v>n/a</v>
      </c>
      <c r="CE150" s="610" t="str">
        <f t="shared" si="119"/>
        <v>n/a</v>
      </c>
      <c r="CF150" s="609" t="str">
        <f t="shared" si="120"/>
        <v>n/a</v>
      </c>
      <c r="CG150" s="658" t="str">
        <f t="shared" si="121"/>
        <v>n/a</v>
      </c>
      <c r="CH150" s="328" t="s">
        <v>809</v>
      </c>
      <c r="CI150" s="330">
        <v>0.5</v>
      </c>
      <c r="CJ150" s="664">
        <f t="shared" si="122"/>
        <v>1000</v>
      </c>
      <c r="CK150" s="328">
        <v>2</v>
      </c>
      <c r="CL150" s="611" t="s">
        <v>671</v>
      </c>
      <c r="CM150" s="428" t="s">
        <v>475</v>
      </c>
      <c r="CN150" s="428" t="s">
        <v>475</v>
      </c>
      <c r="CO150" s="428" t="s">
        <v>38</v>
      </c>
      <c r="CP150" s="570" t="s">
        <v>170</v>
      </c>
      <c r="CQ150" s="672"/>
      <c r="CS150" s="1069">
        <f t="shared" si="123"/>
        <v>1</v>
      </c>
      <c r="CT150" s="1069">
        <f t="shared" si="124"/>
        <v>1</v>
      </c>
      <c r="CU150" s="1066">
        <f t="shared" si="125"/>
        <v>1</v>
      </c>
      <c r="CV150" s="1066">
        <f t="shared" si="126"/>
        <v>1</v>
      </c>
      <c r="CW150" s="1082">
        <f t="shared" si="127"/>
        <v>0</v>
      </c>
      <c r="CX150" s="1082">
        <f t="shared" si="128"/>
        <v>0</v>
      </c>
    </row>
    <row r="151" spans="2:102" ht="18" customHeight="1">
      <c r="B151" s="715" t="s">
        <v>749</v>
      </c>
      <c r="C151" s="1075" t="s">
        <v>1116</v>
      </c>
      <c r="D151" s="1075" t="s">
        <v>1117</v>
      </c>
      <c r="E151" s="1058" t="s">
        <v>1119</v>
      </c>
      <c r="F151" s="1086" t="s">
        <v>857</v>
      </c>
      <c r="G151" s="1051"/>
      <c r="H151" s="1051"/>
      <c r="I151" s="560" t="s">
        <v>33</v>
      </c>
      <c r="J151" s="560" t="s">
        <v>45</v>
      </c>
      <c r="K151" s="604" t="s">
        <v>607</v>
      </c>
      <c r="L151" s="585">
        <v>0</v>
      </c>
      <c r="M151" s="473">
        <v>0</v>
      </c>
      <c r="N151" s="716">
        <v>105</v>
      </c>
      <c r="O151" s="328"/>
      <c r="P151" s="720" t="str">
        <f t="shared" si="88"/>
        <v>1. Small</v>
      </c>
      <c r="Q151" s="968" t="s">
        <v>926</v>
      </c>
      <c r="R151" s="626"/>
      <c r="S151" s="622" t="s">
        <v>811</v>
      </c>
      <c r="T151" s="323" t="str">
        <f t="shared" si="89"/>
        <v>Covered</v>
      </c>
      <c r="U151" s="561">
        <v>42376</v>
      </c>
      <c r="V151" s="619"/>
      <c r="W151" s="558" t="s">
        <v>152</v>
      </c>
      <c r="X151" s="473">
        <v>0</v>
      </c>
      <c r="Y151" s="473">
        <v>0</v>
      </c>
      <c r="Z151" s="617" t="s">
        <v>43</v>
      </c>
      <c r="AA151" s="627">
        <v>0</v>
      </c>
      <c r="AB151" s="473">
        <v>0</v>
      </c>
      <c r="AC151" s="473">
        <v>0</v>
      </c>
      <c r="AD151" s="1077">
        <v>1</v>
      </c>
      <c r="AE151" s="737"/>
      <c r="AF151" s="599">
        <v>0</v>
      </c>
      <c r="AG151" s="325">
        <v>0</v>
      </c>
      <c r="AH151" s="630">
        <f t="shared" si="90"/>
        <v>0</v>
      </c>
      <c r="AI151" s="574">
        <f t="shared" si="91"/>
        <v>0</v>
      </c>
      <c r="AJ151" s="605">
        <f t="shared" si="92"/>
        <v>0</v>
      </c>
      <c r="AK151" s="574">
        <f t="shared" si="93"/>
        <v>0</v>
      </c>
      <c r="AL151" s="605">
        <f t="shared" si="94"/>
        <v>0</v>
      </c>
      <c r="AM151" s="574">
        <f t="shared" si="95"/>
        <v>0</v>
      </c>
      <c r="AN151" s="605" t="str">
        <f t="shared" si="96"/>
        <v>0-10%</v>
      </c>
      <c r="AO151" s="605">
        <f t="shared" si="97"/>
        <v>0</v>
      </c>
      <c r="AP151" s="574">
        <f t="shared" si="98"/>
        <v>0</v>
      </c>
      <c r="AQ151" s="574" t="str">
        <f t="shared" si="99"/>
        <v>yes</v>
      </c>
      <c r="AR151" s="574">
        <f t="shared" si="100"/>
        <v>0.42</v>
      </c>
      <c r="AS151" s="574">
        <f t="shared" si="101"/>
        <v>0</v>
      </c>
      <c r="AT151" s="574">
        <f t="shared" si="102"/>
        <v>0</v>
      </c>
      <c r="AU151" s="330">
        <v>0.9</v>
      </c>
      <c r="AV151" s="635">
        <f t="shared" si="103"/>
        <v>94.5</v>
      </c>
      <c r="AW151" s="1155" t="s">
        <v>890</v>
      </c>
      <c r="AX151" s="740">
        <v>0</v>
      </c>
      <c r="AY151" s="428"/>
      <c r="AZ151" s="428">
        <v>42</v>
      </c>
      <c r="BA151" s="473"/>
      <c r="BB151" s="548">
        <f t="shared" si="104"/>
        <v>0</v>
      </c>
      <c r="BC151" s="606">
        <f t="shared" si="105"/>
        <v>0</v>
      </c>
      <c r="BD151" s="548">
        <f t="shared" si="106"/>
        <v>0</v>
      </c>
      <c r="BE151" s="606">
        <f t="shared" si="107"/>
        <v>0</v>
      </c>
      <c r="BF151" s="549">
        <f t="shared" si="108"/>
        <v>0</v>
      </c>
      <c r="BG151" s="606">
        <f t="shared" si="109"/>
        <v>0</v>
      </c>
      <c r="BH151" s="600" t="s">
        <v>475</v>
      </c>
      <c r="BI151" s="600" t="s">
        <v>475</v>
      </c>
      <c r="BJ151" s="606">
        <f t="shared" si="129"/>
        <v>0</v>
      </c>
      <c r="BK151" s="606" t="str">
        <f t="shared" si="110"/>
        <v>n/a</v>
      </c>
      <c r="BL151" s="428" t="s">
        <v>475</v>
      </c>
      <c r="BM151" s="548" t="str">
        <f t="shared" si="111"/>
        <v>n/a</v>
      </c>
      <c r="BN151" s="606" t="str">
        <f t="shared" si="112"/>
        <v>n/a</v>
      </c>
      <c r="BO151" s="606" t="str">
        <f t="shared" si="113"/>
        <v>n/a</v>
      </c>
      <c r="BP151" s="428" t="s">
        <v>475</v>
      </c>
      <c r="BQ151" s="606" t="s">
        <v>475</v>
      </c>
      <c r="BR151" s="428" t="s">
        <v>475</v>
      </c>
      <c r="BS151" s="548" t="str">
        <f t="shared" si="114"/>
        <v>n/a</v>
      </c>
      <c r="BT151" s="607" t="str">
        <f t="shared" si="115"/>
        <v>n/a</v>
      </c>
      <c r="BU151" s="325">
        <v>0.7</v>
      </c>
      <c r="BV151" s="650" t="str">
        <f t="shared" si="116"/>
        <v>n/a</v>
      </c>
      <c r="BW151" s="1165" t="s">
        <v>891</v>
      </c>
      <c r="BX151" s="602" t="s">
        <v>475</v>
      </c>
      <c r="BY151" s="1189"/>
      <c r="BZ151" s="1189"/>
      <c r="CA151" s="608" t="str">
        <f t="shared" si="117"/>
        <v>n/a</v>
      </c>
      <c r="CB151" s="428">
        <v>0</v>
      </c>
      <c r="CC151" s="428">
        <v>0</v>
      </c>
      <c r="CD151" s="609" t="str">
        <f t="shared" si="118"/>
        <v>n/a</v>
      </c>
      <c r="CE151" s="610" t="str">
        <f t="shared" si="119"/>
        <v>n/a</v>
      </c>
      <c r="CF151" s="609" t="str">
        <f t="shared" si="120"/>
        <v>n/a</v>
      </c>
      <c r="CG151" s="658" t="str">
        <f t="shared" si="121"/>
        <v>n/a</v>
      </c>
      <c r="CH151" s="743" t="s">
        <v>893</v>
      </c>
      <c r="CI151" s="330">
        <v>0</v>
      </c>
      <c r="CJ151" s="664">
        <f t="shared" si="122"/>
        <v>0</v>
      </c>
      <c r="CK151" s="328">
        <v>0</v>
      </c>
      <c r="CL151" s="611" t="s">
        <v>671</v>
      </c>
      <c r="CM151" s="428" t="s">
        <v>475</v>
      </c>
      <c r="CN151" s="428" t="s">
        <v>475</v>
      </c>
      <c r="CO151" s="428" t="s">
        <v>38</v>
      </c>
      <c r="CP151" s="570" t="s">
        <v>170</v>
      </c>
      <c r="CQ151" s="1167" t="s">
        <v>894</v>
      </c>
      <c r="CS151" s="1069">
        <f t="shared" si="123"/>
        <v>0</v>
      </c>
      <c r="CT151" s="1069">
        <f t="shared" si="124"/>
        <v>0</v>
      </c>
      <c r="CU151" s="1066">
        <f t="shared" si="125"/>
        <v>0</v>
      </c>
      <c r="CV151" s="1066">
        <f t="shared" si="126"/>
        <v>0</v>
      </c>
      <c r="CW151" s="1082">
        <f t="shared" si="127"/>
        <v>0.26250000000000001</v>
      </c>
      <c r="CX151" s="1082">
        <f t="shared" si="128"/>
        <v>0.42</v>
      </c>
    </row>
    <row r="152" spans="2:102" ht="18" customHeight="1">
      <c r="B152" s="402" t="s">
        <v>749</v>
      </c>
      <c r="C152" s="603" t="s">
        <v>1042</v>
      </c>
      <c r="D152" s="603" t="s">
        <v>799</v>
      </c>
      <c r="E152" s="1058" t="s">
        <v>1047</v>
      </c>
      <c r="F152" s="731" t="s">
        <v>802</v>
      </c>
      <c r="G152" s="1051"/>
      <c r="H152" s="1051"/>
      <c r="I152" s="560" t="s">
        <v>33</v>
      </c>
      <c r="J152" s="560" t="s">
        <v>34</v>
      </c>
      <c r="K152" s="604" t="s">
        <v>607</v>
      </c>
      <c r="L152" s="585">
        <v>0</v>
      </c>
      <c r="M152" s="473">
        <v>0</v>
      </c>
      <c r="N152" s="617">
        <v>450</v>
      </c>
      <c r="O152" s="328"/>
      <c r="P152" s="720" t="str">
        <f t="shared" si="88"/>
        <v>1. Small</v>
      </c>
      <c r="Q152" s="968" t="s">
        <v>926</v>
      </c>
      <c r="R152" s="626"/>
      <c r="S152" s="622" t="s">
        <v>143</v>
      </c>
      <c r="T152" s="323" t="str">
        <f t="shared" si="89"/>
        <v>Covered</v>
      </c>
      <c r="U152" s="561">
        <v>42376</v>
      </c>
      <c r="V152" s="619"/>
      <c r="W152" s="558" t="s">
        <v>152</v>
      </c>
      <c r="X152" s="473">
        <v>0</v>
      </c>
      <c r="Y152" s="473">
        <v>0</v>
      </c>
      <c r="Z152" s="617" t="s">
        <v>43</v>
      </c>
      <c r="AA152" s="627">
        <v>0</v>
      </c>
      <c r="AB152" s="473">
        <v>3</v>
      </c>
      <c r="AC152" s="473">
        <v>0</v>
      </c>
      <c r="AD152" s="428">
        <v>1</v>
      </c>
      <c r="AE152" s="570"/>
      <c r="AF152" s="599">
        <v>0</v>
      </c>
      <c r="AG152" s="325">
        <v>0</v>
      </c>
      <c r="AH152" s="630">
        <f t="shared" si="90"/>
        <v>1</v>
      </c>
      <c r="AI152" s="574">
        <f t="shared" si="91"/>
        <v>450</v>
      </c>
      <c r="AJ152" s="605">
        <f t="shared" si="92"/>
        <v>1</v>
      </c>
      <c r="AK152" s="574">
        <f t="shared" si="93"/>
        <v>450</v>
      </c>
      <c r="AL152" s="605">
        <f t="shared" si="94"/>
        <v>1</v>
      </c>
      <c r="AM152" s="574">
        <f t="shared" si="95"/>
        <v>450</v>
      </c>
      <c r="AN152" s="605" t="str">
        <f t="shared" si="96"/>
        <v>80-100%</v>
      </c>
      <c r="AO152" s="605">
        <f t="shared" si="97"/>
        <v>0</v>
      </c>
      <c r="AP152" s="574">
        <f t="shared" si="98"/>
        <v>0</v>
      </c>
      <c r="AQ152" s="574" t="str">
        <f t="shared" si="99"/>
        <v>yes</v>
      </c>
      <c r="AR152" s="574">
        <f t="shared" si="100"/>
        <v>0</v>
      </c>
      <c r="AS152" s="574">
        <f t="shared" si="101"/>
        <v>0</v>
      </c>
      <c r="AT152" s="574">
        <f t="shared" si="102"/>
        <v>0</v>
      </c>
      <c r="AU152" s="1123">
        <v>1</v>
      </c>
      <c r="AV152" s="635">
        <f t="shared" si="103"/>
        <v>450</v>
      </c>
      <c r="AW152" s="638"/>
      <c r="AX152" s="740">
        <v>0</v>
      </c>
      <c r="AY152" s="428">
        <v>26</v>
      </c>
      <c r="AZ152" s="428">
        <v>42</v>
      </c>
      <c r="BA152" s="473" t="s">
        <v>526</v>
      </c>
      <c r="BB152" s="548">
        <f t="shared" si="104"/>
        <v>1</v>
      </c>
      <c r="BC152" s="606">
        <f t="shared" si="105"/>
        <v>450</v>
      </c>
      <c r="BD152" s="548">
        <f t="shared" si="106"/>
        <v>1</v>
      </c>
      <c r="BE152" s="606">
        <f t="shared" si="107"/>
        <v>450</v>
      </c>
      <c r="BF152" s="549">
        <f t="shared" si="108"/>
        <v>0</v>
      </c>
      <c r="BG152" s="606">
        <f t="shared" si="109"/>
        <v>0</v>
      </c>
      <c r="BH152" s="601" t="s">
        <v>475</v>
      </c>
      <c r="BI152" s="600" t="s">
        <v>475</v>
      </c>
      <c r="BJ152" s="606">
        <f t="shared" si="129"/>
        <v>0</v>
      </c>
      <c r="BK152" s="606" t="str">
        <f t="shared" si="110"/>
        <v>n/a</v>
      </c>
      <c r="BL152" s="428" t="s">
        <v>475</v>
      </c>
      <c r="BM152" s="548" t="str">
        <f t="shared" si="111"/>
        <v>n/a</v>
      </c>
      <c r="BN152" s="606" t="str">
        <f t="shared" si="112"/>
        <v>n/a</v>
      </c>
      <c r="BO152" s="606" t="str">
        <f t="shared" si="113"/>
        <v>n/a</v>
      </c>
      <c r="BP152" s="578" t="s">
        <v>475</v>
      </c>
      <c r="BQ152" s="606" t="s">
        <v>475</v>
      </c>
      <c r="BR152" s="519" t="s">
        <v>475</v>
      </c>
      <c r="BS152" s="548" t="str">
        <f t="shared" si="114"/>
        <v>n/a</v>
      </c>
      <c r="BT152" s="607" t="str">
        <f t="shared" si="115"/>
        <v>n/a</v>
      </c>
      <c r="BU152" s="325">
        <v>1</v>
      </c>
      <c r="BV152" s="650" t="str">
        <f t="shared" si="116"/>
        <v>n/a</v>
      </c>
      <c r="BW152" s="325" t="s">
        <v>567</v>
      </c>
      <c r="BX152" s="602" t="s">
        <v>475</v>
      </c>
      <c r="BY152" s="1189"/>
      <c r="BZ152" s="1189"/>
      <c r="CA152" s="608" t="str">
        <f t="shared" si="117"/>
        <v>n/a</v>
      </c>
      <c r="CB152" s="428">
        <v>0</v>
      </c>
      <c r="CC152" s="428">
        <v>0</v>
      </c>
      <c r="CD152" s="609" t="str">
        <f t="shared" si="118"/>
        <v>n/a</v>
      </c>
      <c r="CE152" s="610" t="str">
        <f t="shared" si="119"/>
        <v>n/a</v>
      </c>
      <c r="CF152" s="609" t="str">
        <f t="shared" si="120"/>
        <v>n/a</v>
      </c>
      <c r="CG152" s="658" t="str">
        <f t="shared" si="121"/>
        <v>n/a</v>
      </c>
      <c r="CH152" s="328" t="s">
        <v>809</v>
      </c>
      <c r="CI152" s="330">
        <v>1</v>
      </c>
      <c r="CJ152" s="664">
        <f t="shared" si="122"/>
        <v>450</v>
      </c>
      <c r="CK152" s="328">
        <v>2</v>
      </c>
      <c r="CL152" s="611" t="s">
        <v>671</v>
      </c>
      <c r="CM152" s="428" t="s">
        <v>475</v>
      </c>
      <c r="CN152" s="428" t="s">
        <v>475</v>
      </c>
      <c r="CO152" s="428" t="s">
        <v>38</v>
      </c>
      <c r="CP152" s="570" t="s">
        <v>170</v>
      </c>
      <c r="CQ152" s="672"/>
      <c r="CS152" s="1069">
        <f t="shared" si="123"/>
        <v>1</v>
      </c>
      <c r="CT152" s="1069">
        <f t="shared" si="124"/>
        <v>1</v>
      </c>
      <c r="CU152" s="1066">
        <f t="shared" si="125"/>
        <v>1</v>
      </c>
      <c r="CV152" s="1066">
        <f t="shared" si="126"/>
        <v>1</v>
      </c>
      <c r="CW152" s="1082">
        <f t="shared" si="127"/>
        <v>0</v>
      </c>
      <c r="CX152" s="1082">
        <f t="shared" si="128"/>
        <v>0</v>
      </c>
    </row>
    <row r="153" spans="2:102" ht="18" customHeight="1">
      <c r="B153" s="402" t="s">
        <v>749</v>
      </c>
      <c r="C153" s="603"/>
      <c r="D153" s="603"/>
      <c r="E153" s="1058"/>
      <c r="F153" s="731" t="s">
        <v>798</v>
      </c>
      <c r="G153" s="1051"/>
      <c r="H153" s="1051"/>
      <c r="I153" s="560" t="s">
        <v>33</v>
      </c>
      <c r="J153" s="560" t="s">
        <v>45</v>
      </c>
      <c r="K153" s="604" t="s">
        <v>607</v>
      </c>
      <c r="L153" s="585">
        <v>0</v>
      </c>
      <c r="M153" s="473">
        <v>0</v>
      </c>
      <c r="N153" s="617">
        <v>841</v>
      </c>
      <c r="O153" s="328"/>
      <c r="P153" s="720" t="str">
        <f t="shared" si="88"/>
        <v>2. Medium</v>
      </c>
      <c r="Q153" s="968" t="s">
        <v>926</v>
      </c>
      <c r="R153" s="626"/>
      <c r="S153" s="622" t="s">
        <v>143</v>
      </c>
      <c r="T153" s="323" t="str">
        <f t="shared" si="89"/>
        <v>Covered</v>
      </c>
      <c r="U153" s="561">
        <v>42376</v>
      </c>
      <c r="V153" s="619"/>
      <c r="W153" s="558" t="s">
        <v>152</v>
      </c>
      <c r="X153" s="473">
        <v>0</v>
      </c>
      <c r="Y153" s="473">
        <v>0</v>
      </c>
      <c r="Z153" s="617" t="s">
        <v>43</v>
      </c>
      <c r="AA153" s="627">
        <v>1</v>
      </c>
      <c r="AB153" s="473">
        <v>0</v>
      </c>
      <c r="AC153" s="473">
        <v>0</v>
      </c>
      <c r="AD153" s="473">
        <v>0</v>
      </c>
      <c r="AE153" s="617"/>
      <c r="AF153" s="599">
        <v>0</v>
      </c>
      <c r="AG153" s="325">
        <v>0</v>
      </c>
      <c r="AH153" s="630">
        <f t="shared" si="90"/>
        <v>0.29726516052318669</v>
      </c>
      <c r="AI153" s="574">
        <f t="shared" si="91"/>
        <v>250</v>
      </c>
      <c r="AJ153" s="605">
        <f t="shared" si="92"/>
        <v>0.29726516052318669</v>
      </c>
      <c r="AK153" s="574">
        <f t="shared" si="93"/>
        <v>250</v>
      </c>
      <c r="AL153" s="605">
        <f t="shared" si="94"/>
        <v>0.29726516052318669</v>
      </c>
      <c r="AM153" s="574">
        <f t="shared" si="95"/>
        <v>250</v>
      </c>
      <c r="AN153" s="605" t="str">
        <f t="shared" si="96"/>
        <v>15-30%</v>
      </c>
      <c r="AO153" s="605">
        <f t="shared" si="97"/>
        <v>0</v>
      </c>
      <c r="AP153" s="574">
        <f t="shared" si="98"/>
        <v>0</v>
      </c>
      <c r="AQ153" s="574" t="str">
        <f t="shared" si="99"/>
        <v>no</v>
      </c>
      <c r="AR153" s="574">
        <f t="shared" si="100"/>
        <v>2.3639999999999999</v>
      </c>
      <c r="AS153" s="574">
        <f t="shared" si="101"/>
        <v>0</v>
      </c>
      <c r="AT153" s="574">
        <f t="shared" si="102"/>
        <v>0</v>
      </c>
      <c r="AU153" s="1123">
        <v>0.3</v>
      </c>
      <c r="AV153" s="635">
        <f t="shared" si="103"/>
        <v>252.29999999999998</v>
      </c>
      <c r="AW153" s="638"/>
      <c r="AX153" s="740">
        <v>0</v>
      </c>
      <c r="AY153" s="428">
        <v>90</v>
      </c>
      <c r="AZ153" s="428">
        <v>42</v>
      </c>
      <c r="BA153" s="473" t="s">
        <v>963</v>
      </c>
      <c r="BB153" s="548">
        <f t="shared" si="104"/>
        <v>1</v>
      </c>
      <c r="BC153" s="606">
        <f t="shared" si="105"/>
        <v>841</v>
      </c>
      <c r="BD153" s="548">
        <f t="shared" si="106"/>
        <v>1</v>
      </c>
      <c r="BE153" s="606">
        <f t="shared" si="107"/>
        <v>841</v>
      </c>
      <c r="BF153" s="549">
        <f t="shared" si="108"/>
        <v>0</v>
      </c>
      <c r="BG153" s="606">
        <f t="shared" si="109"/>
        <v>0</v>
      </c>
      <c r="BH153" s="601" t="s">
        <v>475</v>
      </c>
      <c r="BI153" s="600" t="s">
        <v>475</v>
      </c>
      <c r="BJ153" s="606">
        <f t="shared" si="129"/>
        <v>0</v>
      </c>
      <c r="BK153" s="606" t="str">
        <f t="shared" si="110"/>
        <v>n/a</v>
      </c>
      <c r="BL153" s="428" t="s">
        <v>475</v>
      </c>
      <c r="BM153" s="548" t="str">
        <f t="shared" si="111"/>
        <v>n/a</v>
      </c>
      <c r="BN153" s="606" t="str">
        <f t="shared" si="112"/>
        <v>n/a</v>
      </c>
      <c r="BO153" s="606" t="str">
        <f t="shared" si="113"/>
        <v>n/a</v>
      </c>
      <c r="BP153" s="578" t="s">
        <v>475</v>
      </c>
      <c r="BQ153" s="606" t="s">
        <v>475</v>
      </c>
      <c r="BR153" s="519" t="s">
        <v>475</v>
      </c>
      <c r="BS153" s="548" t="str">
        <f t="shared" si="114"/>
        <v>n/a</v>
      </c>
      <c r="BT153" s="607" t="str">
        <f t="shared" si="115"/>
        <v>n/a</v>
      </c>
      <c r="BU153" s="325">
        <v>1</v>
      </c>
      <c r="BV153" s="650" t="str">
        <f t="shared" si="116"/>
        <v>n/a</v>
      </c>
      <c r="BW153" s="325" t="s">
        <v>567</v>
      </c>
      <c r="BX153" s="602" t="s">
        <v>475</v>
      </c>
      <c r="BY153" s="1189"/>
      <c r="BZ153" s="1189"/>
      <c r="CA153" s="608" t="str">
        <f t="shared" si="117"/>
        <v>n/a</v>
      </c>
      <c r="CB153" s="428">
        <v>0</v>
      </c>
      <c r="CC153" s="428">
        <v>0</v>
      </c>
      <c r="CD153" s="609" t="str">
        <f t="shared" si="118"/>
        <v>n/a</v>
      </c>
      <c r="CE153" s="610" t="str">
        <f t="shared" si="119"/>
        <v>n/a</v>
      </c>
      <c r="CF153" s="609" t="str">
        <f t="shared" si="120"/>
        <v>n/a</v>
      </c>
      <c r="CG153" s="658" t="str">
        <f t="shared" si="121"/>
        <v>n/a</v>
      </c>
      <c r="CH153" s="328" t="s">
        <v>809</v>
      </c>
      <c r="CI153" s="330">
        <v>0.3</v>
      </c>
      <c r="CJ153" s="664">
        <f t="shared" si="122"/>
        <v>252.29999999999998</v>
      </c>
      <c r="CK153" s="328">
        <v>2</v>
      </c>
      <c r="CL153" s="611" t="s">
        <v>671</v>
      </c>
      <c r="CM153" s="428" t="s">
        <v>475</v>
      </c>
      <c r="CN153" s="428" t="s">
        <v>475</v>
      </c>
      <c r="CO153" s="428" t="s">
        <v>38</v>
      </c>
      <c r="CP153" s="570" t="s">
        <v>170</v>
      </c>
      <c r="CQ153" s="672"/>
      <c r="CS153" s="1069">
        <f t="shared" si="123"/>
        <v>0.47562425683709869</v>
      </c>
      <c r="CT153" s="1069">
        <f t="shared" si="124"/>
        <v>0.29726516052318669</v>
      </c>
      <c r="CU153" s="1066">
        <f t="shared" si="125"/>
        <v>0.47562425683709869</v>
      </c>
      <c r="CV153" s="1066">
        <f t="shared" si="126"/>
        <v>0.29726516052318669</v>
      </c>
      <c r="CW153" s="1082">
        <f t="shared" si="127"/>
        <v>1.1025</v>
      </c>
      <c r="CX153" s="1082">
        <f t="shared" si="128"/>
        <v>2.3639999999999999</v>
      </c>
    </row>
    <row r="154" spans="2:102" ht="18" customHeight="1">
      <c r="B154" s="402" t="s">
        <v>749</v>
      </c>
      <c r="C154" s="603" t="s">
        <v>1033</v>
      </c>
      <c r="D154" s="603" t="s">
        <v>1034</v>
      </c>
      <c r="E154" s="1058" t="s">
        <v>1040</v>
      </c>
      <c r="F154" s="731" t="s">
        <v>794</v>
      </c>
      <c r="G154" s="1051"/>
      <c r="H154" s="1051"/>
      <c r="I154" s="560" t="s">
        <v>33</v>
      </c>
      <c r="J154" s="560" t="s">
        <v>34</v>
      </c>
      <c r="K154" s="604" t="s">
        <v>607</v>
      </c>
      <c r="L154" s="585">
        <v>0</v>
      </c>
      <c r="M154" s="473">
        <v>0</v>
      </c>
      <c r="N154" s="617">
        <v>640</v>
      </c>
      <c r="O154" s="328"/>
      <c r="P154" s="720" t="str">
        <f t="shared" si="88"/>
        <v>2. Medium</v>
      </c>
      <c r="Q154" s="968" t="s">
        <v>926</v>
      </c>
      <c r="R154" s="626"/>
      <c r="S154" s="622" t="s">
        <v>143</v>
      </c>
      <c r="T154" s="323" t="str">
        <f t="shared" si="89"/>
        <v>Covered</v>
      </c>
      <c r="U154" s="561">
        <v>42376</v>
      </c>
      <c r="V154" s="619"/>
      <c r="W154" s="558" t="s">
        <v>152</v>
      </c>
      <c r="X154" s="473">
        <v>0</v>
      </c>
      <c r="Y154" s="473">
        <v>0</v>
      </c>
      <c r="Z154" s="617" t="s">
        <v>43</v>
      </c>
      <c r="AA154" s="627">
        <v>1</v>
      </c>
      <c r="AB154" s="473">
        <v>0</v>
      </c>
      <c r="AC154" s="473">
        <v>0</v>
      </c>
      <c r="AD154" s="473">
        <v>0</v>
      </c>
      <c r="AE154" s="617"/>
      <c r="AF154" s="599">
        <v>0</v>
      </c>
      <c r="AG154" s="325">
        <v>0</v>
      </c>
      <c r="AH154" s="630">
        <f t="shared" si="90"/>
        <v>0.390625</v>
      </c>
      <c r="AI154" s="574">
        <f t="shared" si="91"/>
        <v>250</v>
      </c>
      <c r="AJ154" s="605">
        <f t="shared" si="92"/>
        <v>0.390625</v>
      </c>
      <c r="AK154" s="574">
        <f t="shared" si="93"/>
        <v>250</v>
      </c>
      <c r="AL154" s="605">
        <f t="shared" si="94"/>
        <v>0.390625</v>
      </c>
      <c r="AM154" s="574">
        <f t="shared" si="95"/>
        <v>250</v>
      </c>
      <c r="AN154" s="605" t="str">
        <f t="shared" si="96"/>
        <v>30-45%</v>
      </c>
      <c r="AO154" s="605">
        <f t="shared" si="97"/>
        <v>0</v>
      </c>
      <c r="AP154" s="574">
        <f t="shared" si="98"/>
        <v>0</v>
      </c>
      <c r="AQ154" s="574" t="str">
        <f t="shared" si="99"/>
        <v>no</v>
      </c>
      <c r="AR154" s="574">
        <f t="shared" si="100"/>
        <v>1.56</v>
      </c>
      <c r="AS154" s="574">
        <f t="shared" si="101"/>
        <v>0</v>
      </c>
      <c r="AT154" s="574">
        <f t="shared" si="102"/>
        <v>0</v>
      </c>
      <c r="AU154" s="1123">
        <v>0.39</v>
      </c>
      <c r="AV154" s="635">
        <f t="shared" si="103"/>
        <v>249.60000000000002</v>
      </c>
      <c r="AW154" s="638"/>
      <c r="AX154" s="740">
        <v>0</v>
      </c>
      <c r="AY154" s="428">
        <v>35</v>
      </c>
      <c r="AZ154" s="428">
        <v>42</v>
      </c>
      <c r="BA154" s="473" t="s">
        <v>526</v>
      </c>
      <c r="BB154" s="548">
        <f t="shared" si="104"/>
        <v>1</v>
      </c>
      <c r="BC154" s="606">
        <f t="shared" si="105"/>
        <v>640</v>
      </c>
      <c r="BD154" s="548">
        <f t="shared" si="106"/>
        <v>1</v>
      </c>
      <c r="BE154" s="606">
        <f t="shared" si="107"/>
        <v>640</v>
      </c>
      <c r="BF154" s="549">
        <f t="shared" si="108"/>
        <v>0</v>
      </c>
      <c r="BG154" s="606">
        <f t="shared" si="109"/>
        <v>0</v>
      </c>
      <c r="BH154" s="601" t="s">
        <v>475</v>
      </c>
      <c r="BI154" s="600" t="s">
        <v>475</v>
      </c>
      <c r="BJ154" s="606">
        <f t="shared" si="129"/>
        <v>0</v>
      </c>
      <c r="BK154" s="606" t="str">
        <f t="shared" si="110"/>
        <v>n/a</v>
      </c>
      <c r="BL154" s="428" t="s">
        <v>475</v>
      </c>
      <c r="BM154" s="548" t="str">
        <f t="shared" si="111"/>
        <v>n/a</v>
      </c>
      <c r="BN154" s="606" t="str">
        <f t="shared" si="112"/>
        <v>n/a</v>
      </c>
      <c r="BO154" s="606" t="str">
        <f t="shared" si="113"/>
        <v>n/a</v>
      </c>
      <c r="BP154" s="578" t="s">
        <v>475</v>
      </c>
      <c r="BQ154" s="606" t="s">
        <v>475</v>
      </c>
      <c r="BR154" s="519" t="s">
        <v>475</v>
      </c>
      <c r="BS154" s="548" t="str">
        <f t="shared" si="114"/>
        <v>n/a</v>
      </c>
      <c r="BT154" s="607" t="str">
        <f t="shared" si="115"/>
        <v>n/a</v>
      </c>
      <c r="BU154" s="325">
        <v>1</v>
      </c>
      <c r="BV154" s="650" t="str">
        <f t="shared" si="116"/>
        <v>n/a</v>
      </c>
      <c r="BW154" s="325" t="s">
        <v>567</v>
      </c>
      <c r="BX154" s="602" t="s">
        <v>475</v>
      </c>
      <c r="BY154" s="1189"/>
      <c r="BZ154" s="1189"/>
      <c r="CA154" s="608" t="str">
        <f t="shared" si="117"/>
        <v>n/a</v>
      </c>
      <c r="CB154" s="428">
        <v>0</v>
      </c>
      <c r="CC154" s="428">
        <v>0</v>
      </c>
      <c r="CD154" s="609" t="str">
        <f t="shared" si="118"/>
        <v>n/a</v>
      </c>
      <c r="CE154" s="610" t="str">
        <f t="shared" si="119"/>
        <v>n/a</v>
      </c>
      <c r="CF154" s="609" t="str">
        <f t="shared" si="120"/>
        <v>n/a</v>
      </c>
      <c r="CG154" s="658" t="str">
        <f t="shared" si="121"/>
        <v>n/a</v>
      </c>
      <c r="CH154" s="328" t="s">
        <v>809</v>
      </c>
      <c r="CI154" s="330">
        <v>0.8</v>
      </c>
      <c r="CJ154" s="664">
        <f t="shared" si="122"/>
        <v>512</v>
      </c>
      <c r="CK154" s="328">
        <v>2</v>
      </c>
      <c r="CL154" s="611" t="s">
        <v>671</v>
      </c>
      <c r="CM154" s="428" t="s">
        <v>475</v>
      </c>
      <c r="CN154" s="428" t="s">
        <v>475</v>
      </c>
      <c r="CO154" s="428" t="s">
        <v>38</v>
      </c>
      <c r="CP154" s="570" t="s">
        <v>170</v>
      </c>
      <c r="CQ154" s="672"/>
      <c r="CS154" s="1069">
        <f t="shared" si="123"/>
        <v>0.625</v>
      </c>
      <c r="CT154" s="1069">
        <f t="shared" si="124"/>
        <v>0.390625</v>
      </c>
      <c r="CU154" s="1066">
        <f t="shared" si="125"/>
        <v>0.625</v>
      </c>
      <c r="CV154" s="1066">
        <f t="shared" si="126"/>
        <v>0.390625</v>
      </c>
      <c r="CW154" s="1082">
        <f t="shared" si="127"/>
        <v>0.60000000000000009</v>
      </c>
      <c r="CX154" s="1082">
        <f t="shared" si="128"/>
        <v>1.56</v>
      </c>
    </row>
    <row r="155" spans="2:102" ht="18" customHeight="1">
      <c r="B155" s="402" t="s">
        <v>749</v>
      </c>
      <c r="C155" s="603" t="s">
        <v>1028</v>
      </c>
      <c r="D155" s="603" t="s">
        <v>1029</v>
      </c>
      <c r="E155" s="1058" t="s">
        <v>1032</v>
      </c>
      <c r="F155" s="732" t="s">
        <v>787</v>
      </c>
      <c r="G155" s="1051"/>
      <c r="H155" s="1051"/>
      <c r="I155" s="560" t="s">
        <v>33</v>
      </c>
      <c r="J155" s="560" t="s">
        <v>34</v>
      </c>
      <c r="K155" s="604" t="s">
        <v>607</v>
      </c>
      <c r="L155" s="585">
        <v>0</v>
      </c>
      <c r="M155" s="473">
        <v>0</v>
      </c>
      <c r="N155" s="617">
        <v>2135</v>
      </c>
      <c r="O155" s="328"/>
      <c r="P155" s="720" t="str">
        <f t="shared" si="88"/>
        <v>3. Large</v>
      </c>
      <c r="Q155" s="968" t="s">
        <v>926</v>
      </c>
      <c r="R155" s="626"/>
      <c r="S155" s="622" t="s">
        <v>143</v>
      </c>
      <c r="T155" s="323" t="str">
        <f t="shared" si="89"/>
        <v>Covered</v>
      </c>
      <c r="U155" s="561">
        <v>42376</v>
      </c>
      <c r="V155" s="619"/>
      <c r="W155" s="558" t="s">
        <v>152</v>
      </c>
      <c r="X155" s="473">
        <v>0</v>
      </c>
      <c r="Y155" s="473">
        <v>0</v>
      </c>
      <c r="Z155" s="617" t="s">
        <v>43</v>
      </c>
      <c r="AA155" s="627">
        <v>7</v>
      </c>
      <c r="AB155" s="473">
        <v>6</v>
      </c>
      <c r="AC155" s="473">
        <v>0</v>
      </c>
      <c r="AD155" s="473">
        <v>3</v>
      </c>
      <c r="AE155" s="617"/>
      <c r="AF155" s="599">
        <v>0</v>
      </c>
      <c r="AG155" s="325">
        <v>0</v>
      </c>
      <c r="AH155" s="630">
        <f t="shared" si="90"/>
        <v>1</v>
      </c>
      <c r="AI155" s="574">
        <f t="shared" si="91"/>
        <v>2135</v>
      </c>
      <c r="AJ155" s="605">
        <f t="shared" si="92"/>
        <v>1</v>
      </c>
      <c r="AK155" s="574">
        <f t="shared" si="93"/>
        <v>2135</v>
      </c>
      <c r="AL155" s="605">
        <f t="shared" si="94"/>
        <v>1</v>
      </c>
      <c r="AM155" s="574">
        <f t="shared" si="95"/>
        <v>2135</v>
      </c>
      <c r="AN155" s="605" t="str">
        <f t="shared" si="96"/>
        <v>80-100%</v>
      </c>
      <c r="AO155" s="605">
        <f t="shared" si="97"/>
        <v>0</v>
      </c>
      <c r="AP155" s="574">
        <f t="shared" si="98"/>
        <v>0</v>
      </c>
      <c r="AQ155" s="574" t="str">
        <f t="shared" si="99"/>
        <v>yes</v>
      </c>
      <c r="AR155" s="574">
        <f t="shared" si="100"/>
        <v>0</v>
      </c>
      <c r="AS155" s="574">
        <f t="shared" si="101"/>
        <v>0</v>
      </c>
      <c r="AT155" s="574">
        <f t="shared" si="102"/>
        <v>0</v>
      </c>
      <c r="AU155" s="1123">
        <v>1</v>
      </c>
      <c r="AV155" s="635">
        <f t="shared" si="103"/>
        <v>2135</v>
      </c>
      <c r="AW155" s="638"/>
      <c r="AX155" s="740">
        <v>0</v>
      </c>
      <c r="AY155" s="428">
        <v>151</v>
      </c>
      <c r="AZ155" s="428">
        <v>42</v>
      </c>
      <c r="BA155" s="473" t="s">
        <v>526</v>
      </c>
      <c r="BB155" s="548">
        <f t="shared" si="104"/>
        <v>1</v>
      </c>
      <c r="BC155" s="606">
        <f t="shared" si="105"/>
        <v>2135</v>
      </c>
      <c r="BD155" s="548">
        <f t="shared" si="106"/>
        <v>1</v>
      </c>
      <c r="BE155" s="606">
        <f t="shared" si="107"/>
        <v>2135</v>
      </c>
      <c r="BF155" s="549">
        <f t="shared" si="108"/>
        <v>0</v>
      </c>
      <c r="BG155" s="606">
        <f t="shared" si="109"/>
        <v>0</v>
      </c>
      <c r="BH155" s="601" t="s">
        <v>475</v>
      </c>
      <c r="BI155" s="600" t="s">
        <v>475</v>
      </c>
      <c r="BJ155" s="606">
        <f t="shared" si="129"/>
        <v>0</v>
      </c>
      <c r="BK155" s="606" t="str">
        <f t="shared" si="110"/>
        <v>n/a</v>
      </c>
      <c r="BL155" s="428" t="s">
        <v>475</v>
      </c>
      <c r="BM155" s="548" t="str">
        <f t="shared" si="111"/>
        <v>n/a</v>
      </c>
      <c r="BN155" s="606" t="str">
        <f t="shared" si="112"/>
        <v>n/a</v>
      </c>
      <c r="BO155" s="606" t="str">
        <f t="shared" si="113"/>
        <v>n/a</v>
      </c>
      <c r="BP155" s="578" t="s">
        <v>475</v>
      </c>
      <c r="BQ155" s="606" t="s">
        <v>475</v>
      </c>
      <c r="BR155" s="519" t="s">
        <v>475</v>
      </c>
      <c r="BS155" s="548" t="str">
        <f t="shared" si="114"/>
        <v>n/a</v>
      </c>
      <c r="BT155" s="607" t="str">
        <f t="shared" si="115"/>
        <v>n/a</v>
      </c>
      <c r="BU155" s="325">
        <v>1</v>
      </c>
      <c r="BV155" s="650" t="str">
        <f t="shared" si="116"/>
        <v>n/a</v>
      </c>
      <c r="BW155" s="325" t="s">
        <v>567</v>
      </c>
      <c r="BX155" s="602" t="s">
        <v>475</v>
      </c>
      <c r="BY155" s="1189"/>
      <c r="BZ155" s="1189"/>
      <c r="CA155" s="608" t="str">
        <f t="shared" si="117"/>
        <v>n/a</v>
      </c>
      <c r="CB155" s="428">
        <v>0</v>
      </c>
      <c r="CC155" s="428">
        <v>0</v>
      </c>
      <c r="CD155" s="609" t="str">
        <f t="shared" si="118"/>
        <v>n/a</v>
      </c>
      <c r="CE155" s="610" t="str">
        <f t="shared" si="119"/>
        <v>n/a</v>
      </c>
      <c r="CF155" s="609" t="str">
        <f t="shared" si="120"/>
        <v>n/a</v>
      </c>
      <c r="CG155" s="658" t="str">
        <f t="shared" si="121"/>
        <v>n/a</v>
      </c>
      <c r="CH155" s="328" t="s">
        <v>809</v>
      </c>
      <c r="CI155" s="330">
        <v>0.3</v>
      </c>
      <c r="CJ155" s="664">
        <f t="shared" si="122"/>
        <v>640.5</v>
      </c>
      <c r="CK155" s="328">
        <v>2</v>
      </c>
      <c r="CL155" s="611" t="s">
        <v>671</v>
      </c>
      <c r="CM155" s="428" t="s">
        <v>475</v>
      </c>
      <c r="CN155" s="428" t="s">
        <v>475</v>
      </c>
      <c r="CO155" s="428" t="s">
        <v>38</v>
      </c>
      <c r="CP155" s="570" t="s">
        <v>170</v>
      </c>
      <c r="CQ155" s="672"/>
      <c r="CS155" s="1069">
        <f t="shared" si="123"/>
        <v>1</v>
      </c>
      <c r="CT155" s="1069">
        <f t="shared" si="124"/>
        <v>1</v>
      </c>
      <c r="CU155" s="1066">
        <f t="shared" si="125"/>
        <v>1</v>
      </c>
      <c r="CV155" s="1066">
        <f t="shared" si="126"/>
        <v>1</v>
      </c>
      <c r="CW155" s="1082">
        <f t="shared" si="127"/>
        <v>0</v>
      </c>
      <c r="CX155" s="1082">
        <f t="shared" si="128"/>
        <v>0</v>
      </c>
    </row>
    <row r="156" spans="2:102" ht="18" customHeight="1">
      <c r="B156" s="715" t="s">
        <v>749</v>
      </c>
      <c r="C156" s="1075"/>
      <c r="D156" s="1075"/>
      <c r="E156" s="1058"/>
      <c r="F156" s="1086" t="s">
        <v>753</v>
      </c>
      <c r="G156" s="1051"/>
      <c r="H156" s="1051"/>
      <c r="I156" s="560" t="s">
        <v>33</v>
      </c>
      <c r="J156" s="560" t="s">
        <v>34</v>
      </c>
      <c r="K156" s="604" t="s">
        <v>607</v>
      </c>
      <c r="L156" s="585">
        <v>0</v>
      </c>
      <c r="M156" s="473">
        <v>0</v>
      </c>
      <c r="N156" s="570">
        <v>1810</v>
      </c>
      <c r="O156" s="328"/>
      <c r="P156" s="720" t="str">
        <f t="shared" si="88"/>
        <v>3. Large</v>
      </c>
      <c r="Q156" s="968" t="s">
        <v>926</v>
      </c>
      <c r="R156" s="626"/>
      <c r="S156" s="622" t="s">
        <v>811</v>
      </c>
      <c r="T156" s="323" t="str">
        <f t="shared" si="89"/>
        <v>Covered</v>
      </c>
      <c r="U156" s="561">
        <v>42376</v>
      </c>
      <c r="V156" s="619"/>
      <c r="W156" s="558" t="s">
        <v>152</v>
      </c>
      <c r="X156" s="473">
        <v>0</v>
      </c>
      <c r="Y156" s="473">
        <v>0</v>
      </c>
      <c r="Z156" s="617" t="s">
        <v>43</v>
      </c>
      <c r="AA156" s="627">
        <v>3</v>
      </c>
      <c r="AB156" s="428">
        <v>90</v>
      </c>
      <c r="AC156" s="473">
        <v>0</v>
      </c>
      <c r="AD156" s="473">
        <v>3</v>
      </c>
      <c r="AE156" s="617"/>
      <c r="AF156" s="599">
        <v>0</v>
      </c>
      <c r="AG156" s="325">
        <v>0</v>
      </c>
      <c r="AH156" s="630">
        <f t="shared" si="90"/>
        <v>1</v>
      </c>
      <c r="AI156" s="574">
        <f t="shared" si="91"/>
        <v>1810</v>
      </c>
      <c r="AJ156" s="605">
        <f t="shared" si="92"/>
        <v>1</v>
      </c>
      <c r="AK156" s="574">
        <f t="shared" si="93"/>
        <v>1810</v>
      </c>
      <c r="AL156" s="605">
        <f t="shared" si="94"/>
        <v>1</v>
      </c>
      <c r="AM156" s="574">
        <f t="shared" si="95"/>
        <v>1810</v>
      </c>
      <c r="AN156" s="605" t="str">
        <f t="shared" si="96"/>
        <v>80-100%</v>
      </c>
      <c r="AO156" s="605">
        <f t="shared" si="97"/>
        <v>0</v>
      </c>
      <c r="AP156" s="574">
        <f t="shared" si="98"/>
        <v>0</v>
      </c>
      <c r="AQ156" s="574" t="str">
        <f t="shared" si="99"/>
        <v>yes</v>
      </c>
      <c r="AR156" s="574">
        <f t="shared" si="100"/>
        <v>0</v>
      </c>
      <c r="AS156" s="574">
        <f t="shared" si="101"/>
        <v>0</v>
      </c>
      <c r="AT156" s="574">
        <f t="shared" si="102"/>
        <v>0</v>
      </c>
      <c r="AU156" s="330">
        <v>1</v>
      </c>
      <c r="AV156" s="635">
        <f t="shared" si="103"/>
        <v>1810</v>
      </c>
      <c r="AW156" s="1155" t="s">
        <v>884</v>
      </c>
      <c r="AX156" s="740">
        <v>0</v>
      </c>
      <c r="AY156" s="428"/>
      <c r="AZ156" s="428">
        <v>42</v>
      </c>
      <c r="BA156" s="473"/>
      <c r="BB156" s="548">
        <f t="shared" si="104"/>
        <v>0</v>
      </c>
      <c r="BC156" s="606">
        <f t="shared" si="105"/>
        <v>0</v>
      </c>
      <c r="BD156" s="548">
        <f t="shared" si="106"/>
        <v>0</v>
      </c>
      <c r="BE156" s="606">
        <f t="shared" si="107"/>
        <v>0</v>
      </c>
      <c r="BF156" s="549">
        <f t="shared" si="108"/>
        <v>0</v>
      </c>
      <c r="BG156" s="606">
        <f t="shared" si="109"/>
        <v>0</v>
      </c>
      <c r="BH156" s="600" t="s">
        <v>475</v>
      </c>
      <c r="BI156" s="600" t="s">
        <v>475</v>
      </c>
      <c r="BJ156" s="606">
        <f t="shared" si="129"/>
        <v>0</v>
      </c>
      <c r="BK156" s="606" t="str">
        <f t="shared" si="110"/>
        <v>n/a</v>
      </c>
      <c r="BL156" s="428" t="s">
        <v>475</v>
      </c>
      <c r="BM156" s="548" t="str">
        <f t="shared" si="111"/>
        <v>n/a</v>
      </c>
      <c r="BN156" s="606" t="str">
        <f t="shared" si="112"/>
        <v>n/a</v>
      </c>
      <c r="BO156" s="606" t="str">
        <f t="shared" si="113"/>
        <v>n/a</v>
      </c>
      <c r="BP156" s="428" t="s">
        <v>475</v>
      </c>
      <c r="BQ156" s="606" t="s">
        <v>475</v>
      </c>
      <c r="BR156" s="428" t="s">
        <v>475</v>
      </c>
      <c r="BS156" s="548" t="str">
        <f t="shared" si="114"/>
        <v>n/a</v>
      </c>
      <c r="BT156" s="607" t="str">
        <f t="shared" si="115"/>
        <v>n/a</v>
      </c>
      <c r="BU156" s="325">
        <v>0.7</v>
      </c>
      <c r="BV156" s="650" t="str">
        <f t="shared" si="116"/>
        <v>n/a</v>
      </c>
      <c r="BW156" s="1165" t="s">
        <v>891</v>
      </c>
      <c r="BX156" s="602" t="s">
        <v>475</v>
      </c>
      <c r="BY156" s="1189"/>
      <c r="BZ156" s="1189"/>
      <c r="CA156" s="608" t="str">
        <f t="shared" si="117"/>
        <v>n/a</v>
      </c>
      <c r="CB156" s="428">
        <v>0</v>
      </c>
      <c r="CC156" s="428">
        <v>0</v>
      </c>
      <c r="CD156" s="609" t="str">
        <f t="shared" si="118"/>
        <v>n/a</v>
      </c>
      <c r="CE156" s="610" t="str">
        <f t="shared" si="119"/>
        <v>n/a</v>
      </c>
      <c r="CF156" s="609" t="str">
        <f t="shared" si="120"/>
        <v>n/a</v>
      </c>
      <c r="CG156" s="658" t="str">
        <f t="shared" si="121"/>
        <v>n/a</v>
      </c>
      <c r="CH156" s="743" t="s">
        <v>893</v>
      </c>
      <c r="CI156" s="330">
        <v>0</v>
      </c>
      <c r="CJ156" s="664">
        <f t="shared" si="122"/>
        <v>0</v>
      </c>
      <c r="CK156" s="328">
        <v>0</v>
      </c>
      <c r="CL156" s="611" t="s">
        <v>671</v>
      </c>
      <c r="CM156" s="428" t="s">
        <v>475</v>
      </c>
      <c r="CN156" s="428" t="s">
        <v>475</v>
      </c>
      <c r="CO156" s="428" t="s">
        <v>38</v>
      </c>
      <c r="CP156" s="570" t="s">
        <v>170</v>
      </c>
      <c r="CQ156" s="1167" t="s">
        <v>894</v>
      </c>
      <c r="CS156" s="1069">
        <f t="shared" si="123"/>
        <v>1</v>
      </c>
      <c r="CT156" s="1069">
        <f t="shared" si="124"/>
        <v>1</v>
      </c>
      <c r="CU156" s="1066">
        <f t="shared" si="125"/>
        <v>1</v>
      </c>
      <c r="CV156" s="1066">
        <f t="shared" si="126"/>
        <v>1</v>
      </c>
      <c r="CW156" s="1082">
        <f t="shared" si="127"/>
        <v>0</v>
      </c>
      <c r="CX156" s="1082">
        <f t="shared" si="128"/>
        <v>0</v>
      </c>
    </row>
    <row r="157" spans="2:102" ht="18" customHeight="1">
      <c r="B157" s="715" t="s">
        <v>749</v>
      </c>
      <c r="C157" s="1075"/>
      <c r="D157" s="1075"/>
      <c r="E157" s="1058"/>
      <c r="F157" s="1086" t="s">
        <v>879</v>
      </c>
      <c r="G157" s="1051"/>
      <c r="H157" s="1051"/>
      <c r="I157" s="560" t="s">
        <v>33</v>
      </c>
      <c r="J157" s="560" t="s">
        <v>45</v>
      </c>
      <c r="K157" s="604" t="s">
        <v>607</v>
      </c>
      <c r="L157" s="585">
        <v>0</v>
      </c>
      <c r="M157" s="473">
        <v>0</v>
      </c>
      <c r="N157" s="570">
        <v>273</v>
      </c>
      <c r="O157" s="328"/>
      <c r="P157" s="720" t="str">
        <f t="shared" si="88"/>
        <v>1. Small</v>
      </c>
      <c r="Q157" s="968" t="s">
        <v>926</v>
      </c>
      <c r="R157" s="626"/>
      <c r="S157" s="622" t="s">
        <v>811</v>
      </c>
      <c r="T157" s="323" t="str">
        <f t="shared" si="89"/>
        <v>Covered</v>
      </c>
      <c r="U157" s="561">
        <v>42376</v>
      </c>
      <c r="V157" s="619"/>
      <c r="W157" s="558" t="s">
        <v>152</v>
      </c>
      <c r="X157" s="473">
        <v>0</v>
      </c>
      <c r="Y157" s="473">
        <v>0</v>
      </c>
      <c r="Z157" s="617" t="s">
        <v>43</v>
      </c>
      <c r="AA157" s="627">
        <v>1</v>
      </c>
      <c r="AB157" s="473">
        <v>0</v>
      </c>
      <c r="AC157" s="473">
        <v>0</v>
      </c>
      <c r="AD157" s="473">
        <v>0</v>
      </c>
      <c r="AE157" s="617"/>
      <c r="AF157" s="599">
        <v>0</v>
      </c>
      <c r="AG157" s="325">
        <v>0</v>
      </c>
      <c r="AH157" s="630">
        <f t="shared" si="90"/>
        <v>0.91575091575091572</v>
      </c>
      <c r="AI157" s="574">
        <f t="shared" si="91"/>
        <v>250</v>
      </c>
      <c r="AJ157" s="605">
        <f t="shared" si="92"/>
        <v>0.91575091575091572</v>
      </c>
      <c r="AK157" s="574">
        <f t="shared" si="93"/>
        <v>250</v>
      </c>
      <c r="AL157" s="605">
        <f t="shared" si="94"/>
        <v>0.91575091575091572</v>
      </c>
      <c r="AM157" s="574">
        <f t="shared" si="95"/>
        <v>250</v>
      </c>
      <c r="AN157" s="605" t="str">
        <f t="shared" si="96"/>
        <v>80-100%</v>
      </c>
      <c r="AO157" s="605">
        <f t="shared" si="97"/>
        <v>0</v>
      </c>
      <c r="AP157" s="574">
        <f t="shared" si="98"/>
        <v>0</v>
      </c>
      <c r="AQ157" s="574" t="str">
        <f t="shared" si="99"/>
        <v>no</v>
      </c>
      <c r="AR157" s="574">
        <f t="shared" si="100"/>
        <v>9.2000000000000082E-2</v>
      </c>
      <c r="AS157" s="574">
        <f t="shared" si="101"/>
        <v>0</v>
      </c>
      <c r="AT157" s="574">
        <f t="shared" si="102"/>
        <v>0</v>
      </c>
      <c r="AU157" s="330">
        <v>0.92</v>
      </c>
      <c r="AV157" s="635">
        <f t="shared" si="103"/>
        <v>251.16000000000003</v>
      </c>
      <c r="AW157" s="1155" t="s">
        <v>884</v>
      </c>
      <c r="AX157" s="740">
        <v>0</v>
      </c>
      <c r="AY157" s="428"/>
      <c r="AZ157" s="428">
        <v>42</v>
      </c>
      <c r="BA157" s="473"/>
      <c r="BB157" s="548">
        <f t="shared" si="104"/>
        <v>0</v>
      </c>
      <c r="BC157" s="606">
        <f t="shared" si="105"/>
        <v>0</v>
      </c>
      <c r="BD157" s="548">
        <f t="shared" si="106"/>
        <v>0</v>
      </c>
      <c r="BE157" s="606">
        <f t="shared" si="107"/>
        <v>0</v>
      </c>
      <c r="BF157" s="549">
        <f t="shared" si="108"/>
        <v>0</v>
      </c>
      <c r="BG157" s="606">
        <f t="shared" si="109"/>
        <v>0</v>
      </c>
      <c r="BH157" s="600" t="s">
        <v>475</v>
      </c>
      <c r="BI157" s="600" t="s">
        <v>475</v>
      </c>
      <c r="BJ157" s="606">
        <f t="shared" si="129"/>
        <v>0</v>
      </c>
      <c r="BK157" s="606" t="str">
        <f t="shared" si="110"/>
        <v>n/a</v>
      </c>
      <c r="BL157" s="428" t="s">
        <v>475</v>
      </c>
      <c r="BM157" s="548" t="str">
        <f t="shared" si="111"/>
        <v>n/a</v>
      </c>
      <c r="BN157" s="606" t="str">
        <f t="shared" si="112"/>
        <v>n/a</v>
      </c>
      <c r="BO157" s="606" t="str">
        <f t="shared" si="113"/>
        <v>n/a</v>
      </c>
      <c r="BP157" s="428" t="s">
        <v>475</v>
      </c>
      <c r="BQ157" s="606" t="s">
        <v>475</v>
      </c>
      <c r="BR157" s="428" t="s">
        <v>475</v>
      </c>
      <c r="BS157" s="548" t="str">
        <f t="shared" si="114"/>
        <v>n/a</v>
      </c>
      <c r="BT157" s="607" t="str">
        <f t="shared" si="115"/>
        <v>n/a</v>
      </c>
      <c r="BU157" s="325">
        <v>0.7</v>
      </c>
      <c r="BV157" s="650" t="str">
        <f t="shared" si="116"/>
        <v>n/a</v>
      </c>
      <c r="BW157" s="1165" t="s">
        <v>891</v>
      </c>
      <c r="BX157" s="602" t="s">
        <v>475</v>
      </c>
      <c r="BY157" s="1189"/>
      <c r="BZ157" s="1189"/>
      <c r="CA157" s="608" t="str">
        <f t="shared" si="117"/>
        <v>n/a</v>
      </c>
      <c r="CB157" s="428">
        <v>0</v>
      </c>
      <c r="CC157" s="428">
        <v>0</v>
      </c>
      <c r="CD157" s="609" t="str">
        <f t="shared" si="118"/>
        <v>n/a</v>
      </c>
      <c r="CE157" s="610" t="str">
        <f t="shared" si="119"/>
        <v>n/a</v>
      </c>
      <c r="CF157" s="609" t="str">
        <f t="shared" si="120"/>
        <v>n/a</v>
      </c>
      <c r="CG157" s="658" t="str">
        <f t="shared" si="121"/>
        <v>n/a</v>
      </c>
      <c r="CH157" s="743" t="s">
        <v>893</v>
      </c>
      <c r="CI157" s="330">
        <v>0</v>
      </c>
      <c r="CJ157" s="664">
        <f t="shared" si="122"/>
        <v>0</v>
      </c>
      <c r="CK157" s="328">
        <v>0</v>
      </c>
      <c r="CL157" s="611" t="s">
        <v>671</v>
      </c>
      <c r="CM157" s="428" t="s">
        <v>475</v>
      </c>
      <c r="CN157" s="428" t="s">
        <v>475</v>
      </c>
      <c r="CO157" s="428" t="s">
        <v>38</v>
      </c>
      <c r="CP157" s="570" t="s">
        <v>170</v>
      </c>
      <c r="CQ157" s="1167" t="s">
        <v>894</v>
      </c>
      <c r="CS157" s="1069">
        <f t="shared" si="123"/>
        <v>1</v>
      </c>
      <c r="CT157" s="1069">
        <f t="shared" si="124"/>
        <v>0.91575091575091572</v>
      </c>
      <c r="CU157" s="1066">
        <f t="shared" si="125"/>
        <v>1</v>
      </c>
      <c r="CV157" s="1066">
        <f t="shared" si="126"/>
        <v>0.91575091575091572</v>
      </c>
      <c r="CW157" s="1082">
        <f t="shared" si="127"/>
        <v>0</v>
      </c>
      <c r="CX157" s="1082">
        <f t="shared" si="128"/>
        <v>9.2000000000000082E-2</v>
      </c>
    </row>
    <row r="158" spans="2:102" ht="18" customHeight="1">
      <c r="B158" s="715" t="s">
        <v>749</v>
      </c>
      <c r="C158" s="1075"/>
      <c r="D158" s="1075"/>
      <c r="E158" s="1058"/>
      <c r="F158" s="1086" t="s">
        <v>882</v>
      </c>
      <c r="G158" s="1051"/>
      <c r="H158" s="1051"/>
      <c r="I158" s="560" t="s">
        <v>33</v>
      </c>
      <c r="J158" s="560" t="s">
        <v>45</v>
      </c>
      <c r="K158" s="604" t="s">
        <v>607</v>
      </c>
      <c r="L158" s="585">
        <v>0</v>
      </c>
      <c r="M158" s="473">
        <v>0</v>
      </c>
      <c r="N158" s="570">
        <v>292</v>
      </c>
      <c r="O158" s="328"/>
      <c r="P158" s="720" t="str">
        <f t="shared" si="88"/>
        <v>1. Small</v>
      </c>
      <c r="Q158" s="968" t="s">
        <v>926</v>
      </c>
      <c r="R158" s="626"/>
      <c r="S158" s="622" t="s">
        <v>811</v>
      </c>
      <c r="T158" s="323" t="str">
        <f t="shared" si="89"/>
        <v>Covered</v>
      </c>
      <c r="U158" s="561">
        <v>42376</v>
      </c>
      <c r="V158" s="626"/>
      <c r="W158" s="558" t="s">
        <v>152</v>
      </c>
      <c r="X158" s="473">
        <v>0</v>
      </c>
      <c r="Y158" s="473">
        <v>0</v>
      </c>
      <c r="Z158" s="617" t="s">
        <v>43</v>
      </c>
      <c r="AA158" s="627">
        <v>0</v>
      </c>
      <c r="AB158" s="473">
        <v>0</v>
      </c>
      <c r="AC158" s="473">
        <v>0</v>
      </c>
      <c r="AD158" s="473">
        <v>0</v>
      </c>
      <c r="AE158" s="617"/>
      <c r="AF158" s="599">
        <v>0</v>
      </c>
      <c r="AG158" s="325">
        <v>0</v>
      </c>
      <c r="AH158" s="630">
        <f t="shared" si="90"/>
        <v>0</v>
      </c>
      <c r="AI158" s="574">
        <f t="shared" si="91"/>
        <v>0</v>
      </c>
      <c r="AJ158" s="605">
        <f t="shared" si="92"/>
        <v>0</v>
      </c>
      <c r="AK158" s="574">
        <f t="shared" si="93"/>
        <v>0</v>
      </c>
      <c r="AL158" s="605">
        <f t="shared" si="94"/>
        <v>0</v>
      </c>
      <c r="AM158" s="574">
        <f t="shared" si="95"/>
        <v>0</v>
      </c>
      <c r="AN158" s="605" t="str">
        <f t="shared" si="96"/>
        <v>0-10%</v>
      </c>
      <c r="AO158" s="605">
        <f t="shared" si="97"/>
        <v>0</v>
      </c>
      <c r="AP158" s="574">
        <f t="shared" si="98"/>
        <v>0</v>
      </c>
      <c r="AQ158" s="574" t="str">
        <f t="shared" si="99"/>
        <v>no</v>
      </c>
      <c r="AR158" s="574">
        <f t="shared" si="100"/>
        <v>1.1679999999999999</v>
      </c>
      <c r="AS158" s="574">
        <f t="shared" si="101"/>
        <v>0</v>
      </c>
      <c r="AT158" s="574">
        <f t="shared" si="102"/>
        <v>0</v>
      </c>
      <c r="AU158" s="330">
        <v>0.9</v>
      </c>
      <c r="AV158" s="635">
        <f t="shared" si="103"/>
        <v>262.8</v>
      </c>
      <c r="AW158" s="1155" t="s">
        <v>887</v>
      </c>
      <c r="AX158" s="740">
        <v>0</v>
      </c>
      <c r="AY158" s="428"/>
      <c r="AZ158" s="428">
        <v>42</v>
      </c>
      <c r="BA158" s="473"/>
      <c r="BB158" s="548">
        <f t="shared" si="104"/>
        <v>0</v>
      </c>
      <c r="BC158" s="606">
        <f t="shared" si="105"/>
        <v>0</v>
      </c>
      <c r="BD158" s="548">
        <f t="shared" si="106"/>
        <v>0</v>
      </c>
      <c r="BE158" s="606">
        <f t="shared" si="107"/>
        <v>0</v>
      </c>
      <c r="BF158" s="549">
        <f t="shared" si="108"/>
        <v>0</v>
      </c>
      <c r="BG158" s="606">
        <f t="shared" si="109"/>
        <v>0</v>
      </c>
      <c r="BH158" s="600" t="s">
        <v>475</v>
      </c>
      <c r="BI158" s="600" t="s">
        <v>475</v>
      </c>
      <c r="BJ158" s="606">
        <f t="shared" si="129"/>
        <v>0</v>
      </c>
      <c r="BK158" s="606" t="str">
        <f t="shared" si="110"/>
        <v>n/a</v>
      </c>
      <c r="BL158" s="428" t="s">
        <v>475</v>
      </c>
      <c r="BM158" s="548" t="str">
        <f t="shared" si="111"/>
        <v>n/a</v>
      </c>
      <c r="BN158" s="606" t="str">
        <f t="shared" si="112"/>
        <v>n/a</v>
      </c>
      <c r="BO158" s="606" t="str">
        <f t="shared" si="113"/>
        <v>n/a</v>
      </c>
      <c r="BP158" s="428" t="s">
        <v>475</v>
      </c>
      <c r="BQ158" s="606" t="s">
        <v>475</v>
      </c>
      <c r="BR158" s="428" t="s">
        <v>475</v>
      </c>
      <c r="BS158" s="548" t="str">
        <f t="shared" si="114"/>
        <v>n/a</v>
      </c>
      <c r="BT158" s="607" t="str">
        <f t="shared" si="115"/>
        <v>n/a</v>
      </c>
      <c r="BU158" s="325">
        <v>0.7</v>
      </c>
      <c r="BV158" s="650" t="str">
        <f t="shared" si="116"/>
        <v>n/a</v>
      </c>
      <c r="BW158" s="1165" t="s">
        <v>891</v>
      </c>
      <c r="BX158" s="602" t="s">
        <v>475</v>
      </c>
      <c r="BY158" s="1189"/>
      <c r="BZ158" s="1189"/>
      <c r="CA158" s="608" t="str">
        <f t="shared" si="117"/>
        <v>n/a</v>
      </c>
      <c r="CB158" s="428">
        <v>0</v>
      </c>
      <c r="CC158" s="428">
        <v>0</v>
      </c>
      <c r="CD158" s="609" t="str">
        <f t="shared" si="118"/>
        <v>n/a</v>
      </c>
      <c r="CE158" s="610" t="str">
        <f t="shared" si="119"/>
        <v>n/a</v>
      </c>
      <c r="CF158" s="609" t="str">
        <f t="shared" si="120"/>
        <v>n/a</v>
      </c>
      <c r="CG158" s="658" t="str">
        <f t="shared" si="121"/>
        <v>n/a</v>
      </c>
      <c r="CH158" s="743" t="s">
        <v>893</v>
      </c>
      <c r="CI158" s="330">
        <v>0</v>
      </c>
      <c r="CJ158" s="664">
        <f t="shared" si="122"/>
        <v>0</v>
      </c>
      <c r="CK158" s="328">
        <v>0</v>
      </c>
      <c r="CL158" s="611" t="s">
        <v>671</v>
      </c>
      <c r="CM158" s="428" t="s">
        <v>475</v>
      </c>
      <c r="CN158" s="428" t="s">
        <v>475</v>
      </c>
      <c r="CO158" s="428" t="s">
        <v>38</v>
      </c>
      <c r="CP158" s="570" t="s">
        <v>170</v>
      </c>
      <c r="CQ158" s="1167" t="s">
        <v>894</v>
      </c>
      <c r="CS158" s="1069">
        <f t="shared" si="123"/>
        <v>0</v>
      </c>
      <c r="CT158" s="1069">
        <f t="shared" si="124"/>
        <v>0</v>
      </c>
      <c r="CU158" s="1066">
        <f t="shared" si="125"/>
        <v>0</v>
      </c>
      <c r="CV158" s="1066">
        <f t="shared" si="126"/>
        <v>0</v>
      </c>
      <c r="CW158" s="1082">
        <f t="shared" si="127"/>
        <v>0.73</v>
      </c>
      <c r="CX158" s="1082">
        <f t="shared" si="128"/>
        <v>1.1679999999999999</v>
      </c>
    </row>
    <row r="159" spans="2:102" ht="18" customHeight="1">
      <c r="B159" s="402" t="s">
        <v>749</v>
      </c>
      <c r="C159" s="603" t="s">
        <v>1026</v>
      </c>
      <c r="D159" s="603" t="s">
        <v>1026</v>
      </c>
      <c r="E159" s="1058"/>
      <c r="F159" s="731" t="s">
        <v>782</v>
      </c>
      <c r="G159" s="1051"/>
      <c r="H159" s="1051"/>
      <c r="I159" s="560" t="s">
        <v>33</v>
      </c>
      <c r="J159" s="560" t="s">
        <v>45</v>
      </c>
      <c r="K159" s="604" t="s">
        <v>607</v>
      </c>
      <c r="L159" s="585">
        <v>0</v>
      </c>
      <c r="M159" s="473">
        <v>0</v>
      </c>
      <c r="N159" s="617">
        <v>250</v>
      </c>
      <c r="O159" s="328"/>
      <c r="P159" s="720" t="str">
        <f t="shared" si="88"/>
        <v>1. Small</v>
      </c>
      <c r="Q159" s="968" t="s">
        <v>926</v>
      </c>
      <c r="R159" s="626"/>
      <c r="S159" s="622" t="s">
        <v>143</v>
      </c>
      <c r="T159" s="323" t="str">
        <f t="shared" si="89"/>
        <v>Covered</v>
      </c>
      <c r="U159" s="561">
        <v>42376</v>
      </c>
      <c r="V159" s="619"/>
      <c r="W159" s="558" t="s">
        <v>152</v>
      </c>
      <c r="X159" s="473">
        <v>0</v>
      </c>
      <c r="Y159" s="473">
        <v>0</v>
      </c>
      <c r="Z159" s="617" t="s">
        <v>43</v>
      </c>
      <c r="AA159" s="627">
        <v>1</v>
      </c>
      <c r="AB159" s="473">
        <v>0</v>
      </c>
      <c r="AC159" s="473">
        <v>0</v>
      </c>
      <c r="AD159" s="473">
        <v>0</v>
      </c>
      <c r="AE159" s="617"/>
      <c r="AF159" s="599">
        <v>0</v>
      </c>
      <c r="AG159" s="325">
        <v>0</v>
      </c>
      <c r="AH159" s="630">
        <f t="shared" si="90"/>
        <v>1</v>
      </c>
      <c r="AI159" s="574">
        <f t="shared" si="91"/>
        <v>250</v>
      </c>
      <c r="AJ159" s="605">
        <f t="shared" si="92"/>
        <v>1</v>
      </c>
      <c r="AK159" s="574">
        <f t="shared" si="93"/>
        <v>250</v>
      </c>
      <c r="AL159" s="605">
        <f t="shared" si="94"/>
        <v>1</v>
      </c>
      <c r="AM159" s="574">
        <f t="shared" si="95"/>
        <v>250</v>
      </c>
      <c r="AN159" s="605" t="str">
        <f t="shared" si="96"/>
        <v>80-100%</v>
      </c>
      <c r="AO159" s="605">
        <f t="shared" si="97"/>
        <v>0</v>
      </c>
      <c r="AP159" s="574">
        <f t="shared" si="98"/>
        <v>0</v>
      </c>
      <c r="AQ159" s="574" t="str">
        <f t="shared" si="99"/>
        <v>no</v>
      </c>
      <c r="AR159" s="574">
        <f t="shared" si="100"/>
        <v>0</v>
      </c>
      <c r="AS159" s="574">
        <f t="shared" si="101"/>
        <v>0</v>
      </c>
      <c r="AT159" s="574">
        <f t="shared" si="102"/>
        <v>0</v>
      </c>
      <c r="AU159" s="1123">
        <v>1</v>
      </c>
      <c r="AV159" s="635">
        <f t="shared" si="103"/>
        <v>250</v>
      </c>
      <c r="AW159" s="638"/>
      <c r="AX159" s="740">
        <v>0</v>
      </c>
      <c r="AY159" s="428">
        <v>40</v>
      </c>
      <c r="AZ159" s="428">
        <v>42</v>
      </c>
      <c r="BA159" s="473" t="s">
        <v>963</v>
      </c>
      <c r="BB159" s="548">
        <f t="shared" si="104"/>
        <v>1</v>
      </c>
      <c r="BC159" s="606">
        <f t="shared" si="105"/>
        <v>250</v>
      </c>
      <c r="BD159" s="548">
        <f t="shared" si="106"/>
        <v>1</v>
      </c>
      <c r="BE159" s="606">
        <f t="shared" si="107"/>
        <v>250</v>
      </c>
      <c r="BF159" s="549">
        <f t="shared" si="108"/>
        <v>0</v>
      </c>
      <c r="BG159" s="606">
        <f t="shared" si="109"/>
        <v>0</v>
      </c>
      <c r="BH159" s="601" t="s">
        <v>475</v>
      </c>
      <c r="BI159" s="600" t="s">
        <v>475</v>
      </c>
      <c r="BJ159" s="606">
        <f t="shared" si="129"/>
        <v>0</v>
      </c>
      <c r="BK159" s="606" t="str">
        <f t="shared" si="110"/>
        <v>n/a</v>
      </c>
      <c r="BL159" s="428" t="s">
        <v>475</v>
      </c>
      <c r="BM159" s="548" t="str">
        <f t="shared" si="111"/>
        <v>n/a</v>
      </c>
      <c r="BN159" s="606" t="str">
        <f t="shared" si="112"/>
        <v>n/a</v>
      </c>
      <c r="BO159" s="606" t="str">
        <f t="shared" si="113"/>
        <v>n/a</v>
      </c>
      <c r="BP159" s="578" t="s">
        <v>475</v>
      </c>
      <c r="BQ159" s="606" t="s">
        <v>475</v>
      </c>
      <c r="BR159" s="519" t="s">
        <v>475</v>
      </c>
      <c r="BS159" s="548" t="str">
        <f t="shared" si="114"/>
        <v>n/a</v>
      </c>
      <c r="BT159" s="607" t="str">
        <f t="shared" si="115"/>
        <v>n/a</v>
      </c>
      <c r="BU159" s="325">
        <v>1</v>
      </c>
      <c r="BV159" s="650" t="str">
        <f t="shared" si="116"/>
        <v>n/a</v>
      </c>
      <c r="BW159" s="325" t="s">
        <v>567</v>
      </c>
      <c r="BX159" s="602" t="s">
        <v>475</v>
      </c>
      <c r="BY159" s="1189"/>
      <c r="BZ159" s="1189"/>
      <c r="CA159" s="608" t="str">
        <f t="shared" si="117"/>
        <v>n/a</v>
      </c>
      <c r="CB159" s="428">
        <v>0</v>
      </c>
      <c r="CC159" s="428">
        <v>0</v>
      </c>
      <c r="CD159" s="609" t="str">
        <f t="shared" si="118"/>
        <v>n/a</v>
      </c>
      <c r="CE159" s="610" t="str">
        <f t="shared" si="119"/>
        <v>n/a</v>
      </c>
      <c r="CF159" s="609" t="str">
        <f t="shared" si="120"/>
        <v>n/a</v>
      </c>
      <c r="CG159" s="658" t="str">
        <f t="shared" si="121"/>
        <v>n/a</v>
      </c>
      <c r="CH159" s="328" t="s">
        <v>809</v>
      </c>
      <c r="CI159" s="330">
        <v>1</v>
      </c>
      <c r="CJ159" s="664">
        <f t="shared" si="122"/>
        <v>250</v>
      </c>
      <c r="CK159" s="328">
        <v>2</v>
      </c>
      <c r="CL159" s="611" t="s">
        <v>671</v>
      </c>
      <c r="CM159" s="428" t="s">
        <v>475</v>
      </c>
      <c r="CN159" s="428" t="s">
        <v>475</v>
      </c>
      <c r="CO159" s="428" t="s">
        <v>38</v>
      </c>
      <c r="CP159" s="570" t="s">
        <v>170</v>
      </c>
      <c r="CQ159" s="672"/>
      <c r="CS159" s="1069">
        <f t="shared" si="123"/>
        <v>1</v>
      </c>
      <c r="CT159" s="1069">
        <f t="shared" si="124"/>
        <v>1</v>
      </c>
      <c r="CU159" s="1066">
        <f t="shared" si="125"/>
        <v>1</v>
      </c>
      <c r="CV159" s="1066">
        <f t="shared" si="126"/>
        <v>1</v>
      </c>
      <c r="CW159" s="1082">
        <f t="shared" si="127"/>
        <v>0</v>
      </c>
      <c r="CX159" s="1082">
        <f t="shared" si="128"/>
        <v>0</v>
      </c>
    </row>
    <row r="160" spans="2:102" ht="18" customHeight="1">
      <c r="B160" s="402" t="s">
        <v>749</v>
      </c>
      <c r="C160" s="603" t="s">
        <v>1051</v>
      </c>
      <c r="D160" s="603" t="s">
        <v>1052</v>
      </c>
      <c r="E160" s="1058" t="s">
        <v>1053</v>
      </c>
      <c r="F160" s="731" t="s">
        <v>804</v>
      </c>
      <c r="G160" s="1051"/>
      <c r="H160" s="1051"/>
      <c r="I160" s="560" t="s">
        <v>33</v>
      </c>
      <c r="J160" s="560" t="s">
        <v>34</v>
      </c>
      <c r="K160" s="604" t="s">
        <v>607</v>
      </c>
      <c r="L160" s="585">
        <v>0</v>
      </c>
      <c r="M160" s="473">
        <v>0</v>
      </c>
      <c r="N160" s="617">
        <v>423</v>
      </c>
      <c r="O160" s="328"/>
      <c r="P160" s="720" t="str">
        <f t="shared" si="88"/>
        <v>1. Small</v>
      </c>
      <c r="Q160" s="968" t="s">
        <v>926</v>
      </c>
      <c r="R160" s="626"/>
      <c r="S160" s="622" t="s">
        <v>143</v>
      </c>
      <c r="T160" s="323" t="str">
        <f t="shared" si="89"/>
        <v>Covered</v>
      </c>
      <c r="U160" s="561">
        <v>42376</v>
      </c>
      <c r="V160" s="619"/>
      <c r="W160" s="558" t="s">
        <v>152</v>
      </c>
      <c r="X160" s="473">
        <v>0</v>
      </c>
      <c r="Y160" s="473">
        <v>0</v>
      </c>
      <c r="Z160" s="617" t="s">
        <v>43</v>
      </c>
      <c r="AA160" s="627">
        <v>5</v>
      </c>
      <c r="AB160" s="473">
        <v>4</v>
      </c>
      <c r="AC160" s="473">
        <v>0</v>
      </c>
      <c r="AD160" s="473">
        <v>1</v>
      </c>
      <c r="AE160" s="617"/>
      <c r="AF160" s="599">
        <v>0</v>
      </c>
      <c r="AG160" s="325">
        <v>0</v>
      </c>
      <c r="AH160" s="630">
        <f t="shared" si="90"/>
        <v>1</v>
      </c>
      <c r="AI160" s="574">
        <f t="shared" si="91"/>
        <v>423</v>
      </c>
      <c r="AJ160" s="605">
        <f t="shared" si="92"/>
        <v>1</v>
      </c>
      <c r="AK160" s="574">
        <f t="shared" si="93"/>
        <v>423</v>
      </c>
      <c r="AL160" s="605">
        <f t="shared" si="94"/>
        <v>1</v>
      </c>
      <c r="AM160" s="574">
        <f t="shared" si="95"/>
        <v>423</v>
      </c>
      <c r="AN160" s="605" t="str">
        <f t="shared" si="96"/>
        <v>80-100%</v>
      </c>
      <c r="AO160" s="605">
        <f t="shared" si="97"/>
        <v>0</v>
      </c>
      <c r="AP160" s="574">
        <f t="shared" si="98"/>
        <v>0</v>
      </c>
      <c r="AQ160" s="574" t="str">
        <f t="shared" si="99"/>
        <v>yes</v>
      </c>
      <c r="AR160" s="574">
        <f t="shared" si="100"/>
        <v>0</v>
      </c>
      <c r="AS160" s="574">
        <f t="shared" si="101"/>
        <v>0</v>
      </c>
      <c r="AT160" s="574">
        <f t="shared" si="102"/>
        <v>0</v>
      </c>
      <c r="AU160" s="1123">
        <v>1</v>
      </c>
      <c r="AV160" s="635">
        <f t="shared" si="103"/>
        <v>423</v>
      </c>
      <c r="AW160" s="638"/>
      <c r="AX160" s="740">
        <v>0</v>
      </c>
      <c r="AY160" s="428">
        <v>16</v>
      </c>
      <c r="AZ160" s="428">
        <v>42</v>
      </c>
      <c r="BA160" s="473" t="s">
        <v>526</v>
      </c>
      <c r="BB160" s="548">
        <f t="shared" si="104"/>
        <v>1</v>
      </c>
      <c r="BC160" s="606">
        <f t="shared" si="105"/>
        <v>423</v>
      </c>
      <c r="BD160" s="548">
        <f t="shared" si="106"/>
        <v>1</v>
      </c>
      <c r="BE160" s="606">
        <f t="shared" si="107"/>
        <v>423</v>
      </c>
      <c r="BF160" s="549">
        <f t="shared" si="108"/>
        <v>0</v>
      </c>
      <c r="BG160" s="606">
        <f t="shared" si="109"/>
        <v>0</v>
      </c>
      <c r="BH160" s="601" t="s">
        <v>475</v>
      </c>
      <c r="BI160" s="600" t="s">
        <v>475</v>
      </c>
      <c r="BJ160" s="606">
        <f t="shared" si="129"/>
        <v>0</v>
      </c>
      <c r="BK160" s="606" t="str">
        <f t="shared" si="110"/>
        <v>n/a</v>
      </c>
      <c r="BL160" s="428" t="s">
        <v>475</v>
      </c>
      <c r="BM160" s="548" t="str">
        <f t="shared" si="111"/>
        <v>n/a</v>
      </c>
      <c r="BN160" s="606" t="str">
        <f t="shared" si="112"/>
        <v>n/a</v>
      </c>
      <c r="BO160" s="606" t="str">
        <f t="shared" si="113"/>
        <v>n/a</v>
      </c>
      <c r="BP160" s="578" t="s">
        <v>475</v>
      </c>
      <c r="BQ160" s="606" t="s">
        <v>475</v>
      </c>
      <c r="BR160" s="519" t="s">
        <v>475</v>
      </c>
      <c r="BS160" s="548" t="str">
        <f t="shared" si="114"/>
        <v>n/a</v>
      </c>
      <c r="BT160" s="607" t="str">
        <f t="shared" si="115"/>
        <v>n/a</v>
      </c>
      <c r="BU160" s="325">
        <v>1</v>
      </c>
      <c r="BV160" s="650" t="str">
        <f t="shared" si="116"/>
        <v>n/a</v>
      </c>
      <c r="BW160" s="325" t="s">
        <v>567</v>
      </c>
      <c r="BX160" s="602" t="s">
        <v>475</v>
      </c>
      <c r="BY160" s="1189"/>
      <c r="BZ160" s="1189"/>
      <c r="CA160" s="608" t="str">
        <f t="shared" si="117"/>
        <v>n/a</v>
      </c>
      <c r="CB160" s="428">
        <v>0</v>
      </c>
      <c r="CC160" s="428">
        <v>0</v>
      </c>
      <c r="CD160" s="609" t="str">
        <f t="shared" si="118"/>
        <v>n/a</v>
      </c>
      <c r="CE160" s="610" t="str">
        <f t="shared" si="119"/>
        <v>n/a</v>
      </c>
      <c r="CF160" s="609" t="str">
        <f t="shared" si="120"/>
        <v>n/a</v>
      </c>
      <c r="CG160" s="658" t="str">
        <f t="shared" si="121"/>
        <v>n/a</v>
      </c>
      <c r="CH160" s="328" t="s">
        <v>809</v>
      </c>
      <c r="CI160" s="330">
        <v>0.8</v>
      </c>
      <c r="CJ160" s="664">
        <f t="shared" si="122"/>
        <v>338.40000000000003</v>
      </c>
      <c r="CK160" s="328">
        <v>2</v>
      </c>
      <c r="CL160" s="611" t="s">
        <v>671</v>
      </c>
      <c r="CM160" s="428" t="s">
        <v>475</v>
      </c>
      <c r="CN160" s="428" t="s">
        <v>475</v>
      </c>
      <c r="CO160" s="428" t="s">
        <v>38</v>
      </c>
      <c r="CP160" s="570" t="s">
        <v>170</v>
      </c>
      <c r="CQ160" s="672"/>
      <c r="CS160" s="1069">
        <f t="shared" si="123"/>
        <v>1</v>
      </c>
      <c r="CT160" s="1069">
        <f t="shared" si="124"/>
        <v>1</v>
      </c>
      <c r="CU160" s="1066">
        <f t="shared" si="125"/>
        <v>1</v>
      </c>
      <c r="CV160" s="1066">
        <f t="shared" si="126"/>
        <v>1</v>
      </c>
      <c r="CW160" s="1082">
        <f t="shared" si="127"/>
        <v>0</v>
      </c>
      <c r="CX160" s="1082">
        <f t="shared" si="128"/>
        <v>0</v>
      </c>
    </row>
    <row r="161" spans="2:102" ht="18" customHeight="1">
      <c r="B161" s="715" t="s">
        <v>749</v>
      </c>
      <c r="C161" s="1075" t="s">
        <v>1130</v>
      </c>
      <c r="D161" s="1075" t="s">
        <v>1131</v>
      </c>
      <c r="E161" s="1058" t="s">
        <v>1132</v>
      </c>
      <c r="F161" s="1086" t="s">
        <v>867</v>
      </c>
      <c r="G161" s="1051"/>
      <c r="H161" s="1051"/>
      <c r="I161" s="560" t="s">
        <v>33</v>
      </c>
      <c r="J161" s="560" t="s">
        <v>34</v>
      </c>
      <c r="K161" s="604" t="s">
        <v>607</v>
      </c>
      <c r="L161" s="585">
        <v>0</v>
      </c>
      <c r="M161" s="473">
        <v>0</v>
      </c>
      <c r="N161" s="716">
        <v>310</v>
      </c>
      <c r="O161" s="328"/>
      <c r="P161" s="720" t="str">
        <f t="shared" si="88"/>
        <v>1. Small</v>
      </c>
      <c r="Q161" s="968" t="s">
        <v>926</v>
      </c>
      <c r="R161" s="626"/>
      <c r="S161" s="622" t="s">
        <v>811</v>
      </c>
      <c r="T161" s="323" t="str">
        <f t="shared" si="89"/>
        <v>Covered</v>
      </c>
      <c r="U161" s="561">
        <v>42376</v>
      </c>
      <c r="V161" s="619"/>
      <c r="W161" s="558" t="s">
        <v>152</v>
      </c>
      <c r="X161" s="473">
        <v>0</v>
      </c>
      <c r="Y161" s="473">
        <v>0</v>
      </c>
      <c r="Z161" s="617" t="s">
        <v>43</v>
      </c>
      <c r="AA161" s="627">
        <v>0</v>
      </c>
      <c r="AB161" s="473">
        <v>0</v>
      </c>
      <c r="AC161" s="473">
        <v>0</v>
      </c>
      <c r="AD161" s="473">
        <v>1</v>
      </c>
      <c r="AE161" s="617"/>
      <c r="AF161" s="599">
        <v>0</v>
      </c>
      <c r="AG161" s="325">
        <v>0</v>
      </c>
      <c r="AH161" s="630">
        <f t="shared" si="90"/>
        <v>0</v>
      </c>
      <c r="AI161" s="574">
        <f t="shared" si="91"/>
        <v>0</v>
      </c>
      <c r="AJ161" s="605">
        <f t="shared" si="92"/>
        <v>0</v>
      </c>
      <c r="AK161" s="574">
        <f t="shared" si="93"/>
        <v>0</v>
      </c>
      <c r="AL161" s="605">
        <f t="shared" si="94"/>
        <v>0</v>
      </c>
      <c r="AM161" s="574">
        <f t="shared" si="95"/>
        <v>0</v>
      </c>
      <c r="AN161" s="605" t="str">
        <f t="shared" si="96"/>
        <v>0-10%</v>
      </c>
      <c r="AO161" s="605">
        <f t="shared" si="97"/>
        <v>0</v>
      </c>
      <c r="AP161" s="574">
        <f t="shared" si="98"/>
        <v>0</v>
      </c>
      <c r="AQ161" s="574" t="str">
        <f t="shared" si="99"/>
        <v>yes</v>
      </c>
      <c r="AR161" s="574">
        <f t="shared" si="100"/>
        <v>1.24</v>
      </c>
      <c r="AS161" s="574">
        <f t="shared" si="101"/>
        <v>0</v>
      </c>
      <c r="AT161" s="574">
        <f t="shared" si="102"/>
        <v>0</v>
      </c>
      <c r="AU161" s="330">
        <v>0.9</v>
      </c>
      <c r="AV161" s="635">
        <f t="shared" si="103"/>
        <v>279</v>
      </c>
      <c r="AW161" s="1155" t="s">
        <v>890</v>
      </c>
      <c r="AX161" s="740">
        <v>0</v>
      </c>
      <c r="AY161" s="428"/>
      <c r="AZ161" s="428">
        <v>42</v>
      </c>
      <c r="BA161" s="473"/>
      <c r="BB161" s="548">
        <f t="shared" si="104"/>
        <v>0</v>
      </c>
      <c r="BC161" s="606">
        <f t="shared" si="105"/>
        <v>0</v>
      </c>
      <c r="BD161" s="548">
        <f t="shared" si="106"/>
        <v>0</v>
      </c>
      <c r="BE161" s="606">
        <f t="shared" si="107"/>
        <v>0</v>
      </c>
      <c r="BF161" s="549">
        <f t="shared" si="108"/>
        <v>0</v>
      </c>
      <c r="BG161" s="606">
        <f t="shared" si="109"/>
        <v>0</v>
      </c>
      <c r="BH161" s="600" t="s">
        <v>475</v>
      </c>
      <c r="BI161" s="600" t="s">
        <v>475</v>
      </c>
      <c r="BJ161" s="606">
        <f t="shared" si="129"/>
        <v>0</v>
      </c>
      <c r="BK161" s="606" t="str">
        <f t="shared" si="110"/>
        <v>n/a</v>
      </c>
      <c r="BL161" s="428" t="s">
        <v>475</v>
      </c>
      <c r="BM161" s="548" t="str">
        <f t="shared" si="111"/>
        <v>n/a</v>
      </c>
      <c r="BN161" s="606" t="str">
        <f t="shared" si="112"/>
        <v>n/a</v>
      </c>
      <c r="BO161" s="606" t="str">
        <f t="shared" si="113"/>
        <v>n/a</v>
      </c>
      <c r="BP161" s="428" t="s">
        <v>475</v>
      </c>
      <c r="BQ161" s="606" t="s">
        <v>475</v>
      </c>
      <c r="BR161" s="428" t="s">
        <v>475</v>
      </c>
      <c r="BS161" s="548" t="str">
        <f t="shared" si="114"/>
        <v>n/a</v>
      </c>
      <c r="BT161" s="607" t="str">
        <f t="shared" si="115"/>
        <v>n/a</v>
      </c>
      <c r="BU161" s="325">
        <v>0.7</v>
      </c>
      <c r="BV161" s="650" t="str">
        <f t="shared" si="116"/>
        <v>n/a</v>
      </c>
      <c r="BW161" s="1165" t="s">
        <v>891</v>
      </c>
      <c r="BX161" s="602" t="s">
        <v>475</v>
      </c>
      <c r="BY161" s="1189"/>
      <c r="BZ161" s="1189"/>
      <c r="CA161" s="608" t="str">
        <f t="shared" si="117"/>
        <v>n/a</v>
      </c>
      <c r="CB161" s="428">
        <v>0</v>
      </c>
      <c r="CC161" s="428">
        <v>0</v>
      </c>
      <c r="CD161" s="609" t="str">
        <f t="shared" si="118"/>
        <v>n/a</v>
      </c>
      <c r="CE161" s="610" t="str">
        <f t="shared" si="119"/>
        <v>n/a</v>
      </c>
      <c r="CF161" s="609" t="str">
        <f t="shared" si="120"/>
        <v>n/a</v>
      </c>
      <c r="CG161" s="658" t="str">
        <f t="shared" si="121"/>
        <v>n/a</v>
      </c>
      <c r="CH161" s="743" t="s">
        <v>893</v>
      </c>
      <c r="CI161" s="330">
        <v>0</v>
      </c>
      <c r="CJ161" s="664">
        <f t="shared" si="122"/>
        <v>0</v>
      </c>
      <c r="CK161" s="328">
        <v>0</v>
      </c>
      <c r="CL161" s="611" t="s">
        <v>671</v>
      </c>
      <c r="CM161" s="428" t="s">
        <v>475</v>
      </c>
      <c r="CN161" s="428" t="s">
        <v>475</v>
      </c>
      <c r="CO161" s="428" t="s">
        <v>38</v>
      </c>
      <c r="CP161" s="570" t="s">
        <v>170</v>
      </c>
      <c r="CQ161" s="1167" t="s">
        <v>894</v>
      </c>
      <c r="CS161" s="1069">
        <f t="shared" si="123"/>
        <v>0</v>
      </c>
      <c r="CT161" s="1069">
        <f t="shared" si="124"/>
        <v>0</v>
      </c>
      <c r="CU161" s="1066">
        <f t="shared" si="125"/>
        <v>0</v>
      </c>
      <c r="CV161" s="1066">
        <f t="shared" si="126"/>
        <v>0</v>
      </c>
      <c r="CW161" s="1082">
        <f t="shared" si="127"/>
        <v>0.77500000000000002</v>
      </c>
      <c r="CX161" s="1082">
        <f t="shared" si="128"/>
        <v>1.24</v>
      </c>
    </row>
    <row r="162" spans="2:102" ht="18" customHeight="1">
      <c r="B162" s="402" t="s">
        <v>749</v>
      </c>
      <c r="C162" s="603" t="s">
        <v>1051</v>
      </c>
      <c r="D162" s="603" t="s">
        <v>1052</v>
      </c>
      <c r="E162" s="1058" t="s">
        <v>1054</v>
      </c>
      <c r="F162" s="731" t="s">
        <v>806</v>
      </c>
      <c r="G162" s="1051"/>
      <c r="H162" s="1051"/>
      <c r="I162" s="560" t="s">
        <v>33</v>
      </c>
      <c r="J162" s="560" t="s">
        <v>34</v>
      </c>
      <c r="K162" s="604" t="s">
        <v>607</v>
      </c>
      <c r="L162" s="585">
        <v>0</v>
      </c>
      <c r="M162" s="473">
        <v>0</v>
      </c>
      <c r="N162" s="617">
        <v>2495</v>
      </c>
      <c r="O162" s="328"/>
      <c r="P162" s="720" t="str">
        <f t="shared" si="88"/>
        <v>3. Large</v>
      </c>
      <c r="Q162" s="968" t="s">
        <v>926</v>
      </c>
      <c r="R162" s="626"/>
      <c r="S162" s="622" t="s">
        <v>143</v>
      </c>
      <c r="T162" s="323" t="str">
        <f t="shared" si="89"/>
        <v>Covered</v>
      </c>
      <c r="U162" s="561">
        <v>42376</v>
      </c>
      <c r="V162" s="619"/>
      <c r="W162" s="558" t="s">
        <v>152</v>
      </c>
      <c r="X162" s="473">
        <v>0</v>
      </c>
      <c r="Y162" s="473">
        <v>0</v>
      </c>
      <c r="Z162" s="617" t="s">
        <v>43</v>
      </c>
      <c r="AA162" s="627">
        <v>5</v>
      </c>
      <c r="AB162" s="473">
        <v>3</v>
      </c>
      <c r="AC162" s="473">
        <v>0</v>
      </c>
      <c r="AD162" s="473">
        <v>2</v>
      </c>
      <c r="AE162" s="617"/>
      <c r="AF162" s="599">
        <v>0</v>
      </c>
      <c r="AG162" s="325">
        <v>0</v>
      </c>
      <c r="AH162" s="630">
        <f t="shared" si="90"/>
        <v>0.80160320641282568</v>
      </c>
      <c r="AI162" s="574">
        <f t="shared" si="91"/>
        <v>2000</v>
      </c>
      <c r="AJ162" s="605">
        <f t="shared" si="92"/>
        <v>0.80160320641282568</v>
      </c>
      <c r="AK162" s="574">
        <f t="shared" si="93"/>
        <v>2000</v>
      </c>
      <c r="AL162" s="605">
        <f t="shared" si="94"/>
        <v>0.80160320641282568</v>
      </c>
      <c r="AM162" s="574">
        <f t="shared" si="95"/>
        <v>2000</v>
      </c>
      <c r="AN162" s="605" t="str">
        <f t="shared" si="96"/>
        <v>80-100%</v>
      </c>
      <c r="AO162" s="605">
        <f t="shared" si="97"/>
        <v>0</v>
      </c>
      <c r="AP162" s="574">
        <f t="shared" si="98"/>
        <v>0</v>
      </c>
      <c r="AQ162" s="574" t="str">
        <f t="shared" si="99"/>
        <v>yes</v>
      </c>
      <c r="AR162" s="574">
        <f t="shared" si="100"/>
        <v>1.9800000000000004</v>
      </c>
      <c r="AS162" s="574">
        <f t="shared" si="101"/>
        <v>0</v>
      </c>
      <c r="AT162" s="574">
        <f t="shared" si="102"/>
        <v>0</v>
      </c>
      <c r="AU162" s="1123">
        <v>0.8</v>
      </c>
      <c r="AV162" s="635">
        <f t="shared" si="103"/>
        <v>1996</v>
      </c>
      <c r="AW162" s="638"/>
      <c r="AX162" s="740">
        <v>0</v>
      </c>
      <c r="AY162" s="428">
        <v>32</v>
      </c>
      <c r="AZ162" s="428">
        <v>42</v>
      </c>
      <c r="BA162" s="473" t="s">
        <v>526</v>
      </c>
      <c r="BB162" s="548">
        <f t="shared" si="104"/>
        <v>0.5386773547094188</v>
      </c>
      <c r="BC162" s="606">
        <f t="shared" si="105"/>
        <v>1344</v>
      </c>
      <c r="BD162" s="548">
        <f t="shared" si="106"/>
        <v>0.5386773547094188</v>
      </c>
      <c r="BE162" s="606">
        <f t="shared" si="107"/>
        <v>1344</v>
      </c>
      <c r="BF162" s="549">
        <f t="shared" si="108"/>
        <v>0</v>
      </c>
      <c r="BG162" s="606">
        <f t="shared" si="109"/>
        <v>0</v>
      </c>
      <c r="BH162" s="601" t="s">
        <v>475</v>
      </c>
      <c r="BI162" s="600" t="s">
        <v>475</v>
      </c>
      <c r="BJ162" s="606">
        <f t="shared" si="129"/>
        <v>0</v>
      </c>
      <c r="BK162" s="606" t="str">
        <f t="shared" si="110"/>
        <v>n/a</v>
      </c>
      <c r="BL162" s="428" t="s">
        <v>475</v>
      </c>
      <c r="BM162" s="548" t="str">
        <f t="shared" si="111"/>
        <v>n/a</v>
      </c>
      <c r="BN162" s="606" t="str">
        <f t="shared" si="112"/>
        <v>n/a</v>
      </c>
      <c r="BO162" s="606" t="str">
        <f t="shared" si="113"/>
        <v>n/a</v>
      </c>
      <c r="BP162" s="578" t="s">
        <v>475</v>
      </c>
      <c r="BQ162" s="606" t="s">
        <v>475</v>
      </c>
      <c r="BR162" s="519" t="s">
        <v>475</v>
      </c>
      <c r="BS162" s="548" t="str">
        <f t="shared" si="114"/>
        <v>n/a</v>
      </c>
      <c r="BT162" s="607" t="str">
        <f t="shared" si="115"/>
        <v>n/a</v>
      </c>
      <c r="BU162" s="325">
        <v>1</v>
      </c>
      <c r="BV162" s="650" t="str">
        <f t="shared" si="116"/>
        <v>n/a</v>
      </c>
      <c r="BW162" s="325" t="s">
        <v>567</v>
      </c>
      <c r="BX162" s="602" t="s">
        <v>475</v>
      </c>
      <c r="BY162" s="1189"/>
      <c r="BZ162" s="1189"/>
      <c r="CA162" s="608" t="str">
        <f t="shared" si="117"/>
        <v>n/a</v>
      </c>
      <c r="CB162" s="428">
        <v>0</v>
      </c>
      <c r="CC162" s="428">
        <v>0</v>
      </c>
      <c r="CD162" s="609" t="str">
        <f t="shared" si="118"/>
        <v>n/a</v>
      </c>
      <c r="CE162" s="610" t="str">
        <f t="shared" si="119"/>
        <v>n/a</v>
      </c>
      <c r="CF162" s="609" t="str">
        <f t="shared" si="120"/>
        <v>n/a</v>
      </c>
      <c r="CG162" s="658" t="str">
        <f t="shared" si="121"/>
        <v>n/a</v>
      </c>
      <c r="CH162" s="328" t="s">
        <v>809</v>
      </c>
      <c r="CI162" s="330">
        <v>0.2</v>
      </c>
      <c r="CJ162" s="664">
        <f t="shared" si="122"/>
        <v>499</v>
      </c>
      <c r="CK162" s="328">
        <v>2</v>
      </c>
      <c r="CL162" s="611" t="s">
        <v>671</v>
      </c>
      <c r="CM162" s="428" t="s">
        <v>475</v>
      </c>
      <c r="CN162" s="428" t="s">
        <v>475</v>
      </c>
      <c r="CO162" s="428" t="s">
        <v>38</v>
      </c>
      <c r="CP162" s="570" t="s">
        <v>170</v>
      </c>
      <c r="CQ162" s="672"/>
      <c r="CS162" s="1069">
        <f t="shared" si="123"/>
        <v>1</v>
      </c>
      <c r="CT162" s="1069">
        <f t="shared" si="124"/>
        <v>0.80160320641282568</v>
      </c>
      <c r="CU162" s="1066">
        <f t="shared" si="125"/>
        <v>1</v>
      </c>
      <c r="CV162" s="1066">
        <f t="shared" si="126"/>
        <v>0.80160320641282568</v>
      </c>
      <c r="CW162" s="1082">
        <f t="shared" si="127"/>
        <v>0</v>
      </c>
      <c r="CX162" s="1082">
        <f t="shared" si="128"/>
        <v>1.9800000000000004</v>
      </c>
    </row>
    <row r="163" spans="2:102" ht="18" customHeight="1">
      <c r="B163" s="402" t="s">
        <v>749</v>
      </c>
      <c r="C163" s="603" t="s">
        <v>1028</v>
      </c>
      <c r="D163" s="603" t="s">
        <v>1029</v>
      </c>
      <c r="E163" s="1058" t="s">
        <v>1036</v>
      </c>
      <c r="F163" s="732" t="s">
        <v>789</v>
      </c>
      <c r="G163" s="1051"/>
      <c r="H163" s="1051"/>
      <c r="I163" s="560" t="s">
        <v>33</v>
      </c>
      <c r="J163" s="560" t="s">
        <v>34</v>
      </c>
      <c r="K163" s="604" t="s">
        <v>607</v>
      </c>
      <c r="L163" s="585">
        <v>0</v>
      </c>
      <c r="M163" s="473">
        <v>0</v>
      </c>
      <c r="N163" s="617">
        <v>3020</v>
      </c>
      <c r="O163" s="328"/>
      <c r="P163" s="720" t="str">
        <f t="shared" si="88"/>
        <v>3. Large</v>
      </c>
      <c r="Q163" s="968" t="s">
        <v>926</v>
      </c>
      <c r="R163" s="626"/>
      <c r="S163" s="622" t="s">
        <v>143</v>
      </c>
      <c r="T163" s="323" t="str">
        <f t="shared" si="89"/>
        <v>Covered</v>
      </c>
      <c r="U163" s="561">
        <v>42376</v>
      </c>
      <c r="V163" s="619"/>
      <c r="W163" s="558" t="s">
        <v>152</v>
      </c>
      <c r="X163" s="473">
        <v>0</v>
      </c>
      <c r="Y163" s="473">
        <v>0</v>
      </c>
      <c r="Z163" s="617" t="s">
        <v>43</v>
      </c>
      <c r="AA163" s="627">
        <v>1</v>
      </c>
      <c r="AB163" s="473">
        <v>7</v>
      </c>
      <c r="AC163" s="473">
        <v>0</v>
      </c>
      <c r="AD163" s="473">
        <v>2</v>
      </c>
      <c r="AE163" s="617"/>
      <c r="AF163" s="599">
        <v>0</v>
      </c>
      <c r="AG163" s="325">
        <v>0</v>
      </c>
      <c r="AH163" s="630">
        <f t="shared" si="90"/>
        <v>0.66225165562913912</v>
      </c>
      <c r="AI163" s="574">
        <f t="shared" si="91"/>
        <v>2000.0000000000002</v>
      </c>
      <c r="AJ163" s="605">
        <f t="shared" si="92"/>
        <v>0.66225165562913912</v>
      </c>
      <c r="AK163" s="574">
        <f t="shared" si="93"/>
        <v>2000.0000000000002</v>
      </c>
      <c r="AL163" s="605">
        <f t="shared" si="94"/>
        <v>0.66225165562913912</v>
      </c>
      <c r="AM163" s="574">
        <f t="shared" si="95"/>
        <v>2000.0000000000002</v>
      </c>
      <c r="AN163" s="605" t="str">
        <f t="shared" si="96"/>
        <v>60-80%</v>
      </c>
      <c r="AO163" s="605">
        <f t="shared" si="97"/>
        <v>0</v>
      </c>
      <c r="AP163" s="574">
        <f t="shared" si="98"/>
        <v>0</v>
      </c>
      <c r="AQ163" s="574" t="str">
        <f t="shared" si="99"/>
        <v>yes</v>
      </c>
      <c r="AR163" s="574">
        <f t="shared" si="100"/>
        <v>4.08</v>
      </c>
      <c r="AS163" s="574">
        <f t="shared" si="101"/>
        <v>0</v>
      </c>
      <c r="AT163" s="574">
        <f t="shared" si="102"/>
        <v>0</v>
      </c>
      <c r="AU163" s="1123">
        <v>0.66</v>
      </c>
      <c r="AV163" s="635">
        <f t="shared" si="103"/>
        <v>1993.2</v>
      </c>
      <c r="AW163" s="638"/>
      <c r="AX163" s="740">
        <v>0</v>
      </c>
      <c r="AY163" s="428">
        <v>189</v>
      </c>
      <c r="AZ163" s="428">
        <v>42</v>
      </c>
      <c r="BA163" s="473" t="s">
        <v>526</v>
      </c>
      <c r="BB163" s="548">
        <f t="shared" si="104"/>
        <v>1</v>
      </c>
      <c r="BC163" s="606">
        <f t="shared" si="105"/>
        <v>3020</v>
      </c>
      <c r="BD163" s="548">
        <f t="shared" si="106"/>
        <v>1</v>
      </c>
      <c r="BE163" s="606">
        <f t="shared" si="107"/>
        <v>3020</v>
      </c>
      <c r="BF163" s="549">
        <f t="shared" si="108"/>
        <v>0</v>
      </c>
      <c r="BG163" s="606">
        <f t="shared" si="109"/>
        <v>0</v>
      </c>
      <c r="BH163" s="601" t="s">
        <v>475</v>
      </c>
      <c r="BI163" s="600" t="s">
        <v>475</v>
      </c>
      <c r="BJ163" s="606">
        <f t="shared" si="129"/>
        <v>0</v>
      </c>
      <c r="BK163" s="606" t="str">
        <f t="shared" si="110"/>
        <v>n/a</v>
      </c>
      <c r="BL163" s="428" t="s">
        <v>475</v>
      </c>
      <c r="BM163" s="548" t="str">
        <f t="shared" si="111"/>
        <v>n/a</v>
      </c>
      <c r="BN163" s="606" t="str">
        <f t="shared" si="112"/>
        <v>n/a</v>
      </c>
      <c r="BO163" s="606" t="str">
        <f t="shared" si="113"/>
        <v>n/a</v>
      </c>
      <c r="BP163" s="578" t="s">
        <v>475</v>
      </c>
      <c r="BQ163" s="606" t="s">
        <v>475</v>
      </c>
      <c r="BR163" s="519" t="s">
        <v>475</v>
      </c>
      <c r="BS163" s="548" t="str">
        <f t="shared" si="114"/>
        <v>n/a</v>
      </c>
      <c r="BT163" s="607" t="str">
        <f t="shared" si="115"/>
        <v>n/a</v>
      </c>
      <c r="BU163" s="325">
        <v>1</v>
      </c>
      <c r="BV163" s="650" t="str">
        <f t="shared" si="116"/>
        <v>n/a</v>
      </c>
      <c r="BW163" s="325" t="s">
        <v>567</v>
      </c>
      <c r="BX163" s="602" t="s">
        <v>475</v>
      </c>
      <c r="BY163" s="1189"/>
      <c r="BZ163" s="1189"/>
      <c r="CA163" s="608" t="str">
        <f t="shared" si="117"/>
        <v>n/a</v>
      </c>
      <c r="CB163" s="428">
        <v>0</v>
      </c>
      <c r="CC163" s="428">
        <v>0</v>
      </c>
      <c r="CD163" s="609" t="str">
        <f t="shared" si="118"/>
        <v>n/a</v>
      </c>
      <c r="CE163" s="610" t="str">
        <f t="shared" si="119"/>
        <v>n/a</v>
      </c>
      <c r="CF163" s="609" t="str">
        <f t="shared" si="120"/>
        <v>n/a</v>
      </c>
      <c r="CG163" s="658" t="str">
        <f t="shared" si="121"/>
        <v>n/a</v>
      </c>
      <c r="CH163" s="328" t="s">
        <v>809</v>
      </c>
      <c r="CI163" s="330">
        <v>0.5</v>
      </c>
      <c r="CJ163" s="664">
        <f t="shared" si="122"/>
        <v>1510</v>
      </c>
      <c r="CK163" s="328">
        <v>2</v>
      </c>
      <c r="CL163" s="611" t="s">
        <v>671</v>
      </c>
      <c r="CM163" s="428" t="s">
        <v>475</v>
      </c>
      <c r="CN163" s="428" t="s">
        <v>475</v>
      </c>
      <c r="CO163" s="428" t="s">
        <v>38</v>
      </c>
      <c r="CP163" s="570" t="s">
        <v>170</v>
      </c>
      <c r="CQ163" s="672"/>
      <c r="CS163" s="1069">
        <f t="shared" si="123"/>
        <v>1</v>
      </c>
      <c r="CT163" s="1069">
        <f t="shared" si="124"/>
        <v>0.66225165562913912</v>
      </c>
      <c r="CU163" s="1066">
        <f t="shared" si="125"/>
        <v>1</v>
      </c>
      <c r="CV163" s="1066">
        <f t="shared" si="126"/>
        <v>0.66225165562913912</v>
      </c>
      <c r="CW163" s="1082">
        <f t="shared" si="127"/>
        <v>0</v>
      </c>
      <c r="CX163" s="1082">
        <f t="shared" si="128"/>
        <v>4.08</v>
      </c>
    </row>
    <row r="164" spans="2:102" ht="18" customHeight="1">
      <c r="B164" s="402" t="s">
        <v>749</v>
      </c>
      <c r="C164" s="603" t="s">
        <v>1028</v>
      </c>
      <c r="D164" s="603" t="s">
        <v>1029</v>
      </c>
      <c r="E164" s="1058" t="s">
        <v>1036</v>
      </c>
      <c r="F164" s="731" t="s">
        <v>789</v>
      </c>
      <c r="G164" s="1051"/>
      <c r="H164" s="1051"/>
      <c r="I164" s="560" t="s">
        <v>33</v>
      </c>
      <c r="J164" s="560" t="s">
        <v>45</v>
      </c>
      <c r="K164" s="604" t="s">
        <v>607</v>
      </c>
      <c r="L164" s="585">
        <v>0</v>
      </c>
      <c r="M164" s="473">
        <v>0</v>
      </c>
      <c r="N164" s="617">
        <v>495</v>
      </c>
      <c r="O164" s="328"/>
      <c r="P164" s="720" t="str">
        <f t="shared" si="88"/>
        <v>1. Small</v>
      </c>
      <c r="Q164" s="968" t="s">
        <v>926</v>
      </c>
      <c r="R164" s="626"/>
      <c r="S164" s="622" t="s">
        <v>143</v>
      </c>
      <c r="T164" s="323" t="str">
        <f t="shared" si="89"/>
        <v>Covered</v>
      </c>
      <c r="U164" s="561">
        <v>42376</v>
      </c>
      <c r="V164" s="619"/>
      <c r="W164" s="558" t="s">
        <v>152</v>
      </c>
      <c r="X164" s="473">
        <v>0</v>
      </c>
      <c r="Y164" s="473">
        <v>0</v>
      </c>
      <c r="Z164" s="617" t="s">
        <v>43</v>
      </c>
      <c r="AA164" s="627">
        <v>2</v>
      </c>
      <c r="AB164" s="473">
        <v>0</v>
      </c>
      <c r="AC164" s="473">
        <v>0</v>
      </c>
      <c r="AD164" s="473">
        <v>1</v>
      </c>
      <c r="AE164" s="617"/>
      <c r="AF164" s="599">
        <v>0</v>
      </c>
      <c r="AG164" s="325">
        <v>0</v>
      </c>
      <c r="AH164" s="630">
        <f t="shared" si="90"/>
        <v>1</v>
      </c>
      <c r="AI164" s="574">
        <f t="shared" si="91"/>
        <v>495</v>
      </c>
      <c r="AJ164" s="605">
        <f t="shared" si="92"/>
        <v>1</v>
      </c>
      <c r="AK164" s="574">
        <f t="shared" si="93"/>
        <v>495</v>
      </c>
      <c r="AL164" s="605">
        <f t="shared" si="94"/>
        <v>1</v>
      </c>
      <c r="AM164" s="574">
        <f t="shared" si="95"/>
        <v>495</v>
      </c>
      <c r="AN164" s="605" t="str">
        <f t="shared" si="96"/>
        <v>80-100%</v>
      </c>
      <c r="AO164" s="605">
        <f t="shared" si="97"/>
        <v>0</v>
      </c>
      <c r="AP164" s="574">
        <f t="shared" si="98"/>
        <v>0</v>
      </c>
      <c r="AQ164" s="574" t="str">
        <f t="shared" si="99"/>
        <v>yes</v>
      </c>
      <c r="AR164" s="574">
        <f t="shared" si="100"/>
        <v>0</v>
      </c>
      <c r="AS164" s="574">
        <f t="shared" si="101"/>
        <v>0</v>
      </c>
      <c r="AT164" s="574">
        <f t="shared" si="102"/>
        <v>0</v>
      </c>
      <c r="AU164" s="1123">
        <v>1</v>
      </c>
      <c r="AV164" s="635">
        <f t="shared" si="103"/>
        <v>495</v>
      </c>
      <c r="AW164" s="638"/>
      <c r="AX164" s="740">
        <v>0</v>
      </c>
      <c r="AY164" s="428">
        <v>40</v>
      </c>
      <c r="AZ164" s="428">
        <v>42</v>
      </c>
      <c r="BA164" s="473" t="s">
        <v>963</v>
      </c>
      <c r="BB164" s="548">
        <f t="shared" si="104"/>
        <v>1</v>
      </c>
      <c r="BC164" s="606">
        <f t="shared" si="105"/>
        <v>495</v>
      </c>
      <c r="BD164" s="548">
        <f t="shared" si="106"/>
        <v>1</v>
      </c>
      <c r="BE164" s="606">
        <f t="shared" si="107"/>
        <v>495</v>
      </c>
      <c r="BF164" s="549">
        <f t="shared" si="108"/>
        <v>0</v>
      </c>
      <c r="BG164" s="606">
        <f t="shared" si="109"/>
        <v>0</v>
      </c>
      <c r="BH164" s="601" t="s">
        <v>475</v>
      </c>
      <c r="BI164" s="600" t="s">
        <v>475</v>
      </c>
      <c r="BJ164" s="606">
        <f t="shared" si="129"/>
        <v>0</v>
      </c>
      <c r="BK164" s="606" t="str">
        <f t="shared" si="110"/>
        <v>n/a</v>
      </c>
      <c r="BL164" s="428" t="s">
        <v>475</v>
      </c>
      <c r="BM164" s="548" t="str">
        <f t="shared" si="111"/>
        <v>n/a</v>
      </c>
      <c r="BN164" s="606" t="str">
        <f t="shared" si="112"/>
        <v>n/a</v>
      </c>
      <c r="BO164" s="606" t="str">
        <f t="shared" si="113"/>
        <v>n/a</v>
      </c>
      <c r="BP164" s="578" t="s">
        <v>475</v>
      </c>
      <c r="BQ164" s="606" t="s">
        <v>475</v>
      </c>
      <c r="BR164" s="519" t="s">
        <v>475</v>
      </c>
      <c r="BS164" s="548" t="str">
        <f t="shared" si="114"/>
        <v>n/a</v>
      </c>
      <c r="BT164" s="607" t="str">
        <f t="shared" si="115"/>
        <v>n/a</v>
      </c>
      <c r="BU164" s="325">
        <v>1</v>
      </c>
      <c r="BV164" s="650" t="str">
        <f t="shared" si="116"/>
        <v>n/a</v>
      </c>
      <c r="BW164" s="325" t="s">
        <v>567</v>
      </c>
      <c r="BX164" s="602" t="s">
        <v>475</v>
      </c>
      <c r="BY164" s="1189"/>
      <c r="BZ164" s="1189"/>
      <c r="CA164" s="608" t="str">
        <f t="shared" si="117"/>
        <v>n/a</v>
      </c>
      <c r="CB164" s="428">
        <v>0</v>
      </c>
      <c r="CC164" s="428">
        <v>0</v>
      </c>
      <c r="CD164" s="609" t="str">
        <f t="shared" si="118"/>
        <v>n/a</v>
      </c>
      <c r="CE164" s="610" t="str">
        <f t="shared" si="119"/>
        <v>n/a</v>
      </c>
      <c r="CF164" s="609" t="str">
        <f t="shared" si="120"/>
        <v>n/a</v>
      </c>
      <c r="CG164" s="658" t="str">
        <f t="shared" si="121"/>
        <v>n/a</v>
      </c>
      <c r="CH164" s="328" t="s">
        <v>809</v>
      </c>
      <c r="CI164" s="330">
        <v>0.2</v>
      </c>
      <c r="CJ164" s="664">
        <f t="shared" si="122"/>
        <v>99</v>
      </c>
      <c r="CK164" s="328">
        <v>2</v>
      </c>
      <c r="CL164" s="611" t="s">
        <v>671</v>
      </c>
      <c r="CM164" s="428" t="s">
        <v>475</v>
      </c>
      <c r="CN164" s="428" t="s">
        <v>475</v>
      </c>
      <c r="CO164" s="428" t="s">
        <v>38</v>
      </c>
      <c r="CP164" s="570" t="s">
        <v>170</v>
      </c>
      <c r="CQ164" s="672"/>
      <c r="CS164" s="1069">
        <f t="shared" si="123"/>
        <v>1</v>
      </c>
      <c r="CT164" s="1069">
        <f t="shared" si="124"/>
        <v>1</v>
      </c>
      <c r="CU164" s="1066">
        <f t="shared" si="125"/>
        <v>1</v>
      </c>
      <c r="CV164" s="1066">
        <f t="shared" si="126"/>
        <v>1</v>
      </c>
      <c r="CW164" s="1082">
        <f t="shared" si="127"/>
        <v>0</v>
      </c>
      <c r="CX164" s="1082">
        <f t="shared" si="128"/>
        <v>0</v>
      </c>
    </row>
    <row r="165" spans="2:102" ht="18" customHeight="1">
      <c r="B165" s="715" t="s">
        <v>749</v>
      </c>
      <c r="C165" s="1075"/>
      <c r="D165" s="1075"/>
      <c r="E165" s="1058"/>
      <c r="F165" s="1086" t="s">
        <v>863</v>
      </c>
      <c r="G165" s="1051"/>
      <c r="H165" s="1051"/>
      <c r="I165" s="560" t="s">
        <v>33</v>
      </c>
      <c r="J165" s="560" t="s">
        <v>34</v>
      </c>
      <c r="K165" s="604" t="s">
        <v>607</v>
      </c>
      <c r="L165" s="585">
        <v>0</v>
      </c>
      <c r="M165" s="473">
        <v>0</v>
      </c>
      <c r="N165" s="716">
        <v>4122</v>
      </c>
      <c r="O165" s="328"/>
      <c r="P165" s="720" t="str">
        <f t="shared" si="88"/>
        <v>3. Large</v>
      </c>
      <c r="Q165" s="968" t="s">
        <v>926</v>
      </c>
      <c r="R165" s="626"/>
      <c r="S165" s="622" t="s">
        <v>811</v>
      </c>
      <c r="T165" s="323" t="str">
        <f t="shared" si="89"/>
        <v>Covered</v>
      </c>
      <c r="U165" s="561">
        <v>42376</v>
      </c>
      <c r="V165" s="619"/>
      <c r="W165" s="558" t="s">
        <v>152</v>
      </c>
      <c r="X165" s="473">
        <v>0</v>
      </c>
      <c r="Y165" s="473">
        <v>0</v>
      </c>
      <c r="Z165" s="617" t="s">
        <v>43</v>
      </c>
      <c r="AA165" s="627">
        <v>6</v>
      </c>
      <c r="AB165" s="473">
        <v>40</v>
      </c>
      <c r="AC165" s="473">
        <v>0</v>
      </c>
      <c r="AD165" s="473">
        <v>3</v>
      </c>
      <c r="AE165" s="617"/>
      <c r="AF165" s="599">
        <v>0</v>
      </c>
      <c r="AG165" s="325">
        <v>0</v>
      </c>
      <c r="AH165" s="630">
        <f t="shared" si="90"/>
        <v>1</v>
      </c>
      <c r="AI165" s="574">
        <f t="shared" si="91"/>
        <v>4122</v>
      </c>
      <c r="AJ165" s="605">
        <f t="shared" si="92"/>
        <v>1</v>
      </c>
      <c r="AK165" s="574">
        <f t="shared" si="93"/>
        <v>4122</v>
      </c>
      <c r="AL165" s="605">
        <f t="shared" si="94"/>
        <v>1</v>
      </c>
      <c r="AM165" s="574">
        <f t="shared" si="95"/>
        <v>4122</v>
      </c>
      <c r="AN165" s="605" t="str">
        <f t="shared" si="96"/>
        <v>80-100%</v>
      </c>
      <c r="AO165" s="605">
        <f t="shared" si="97"/>
        <v>0</v>
      </c>
      <c r="AP165" s="574">
        <f t="shared" si="98"/>
        <v>0</v>
      </c>
      <c r="AQ165" s="574" t="str">
        <f t="shared" si="99"/>
        <v>yes</v>
      </c>
      <c r="AR165" s="574">
        <f t="shared" si="100"/>
        <v>0</v>
      </c>
      <c r="AS165" s="574">
        <f t="shared" si="101"/>
        <v>0</v>
      </c>
      <c r="AT165" s="574">
        <f t="shared" si="102"/>
        <v>0</v>
      </c>
      <c r="AU165" s="330">
        <v>1</v>
      </c>
      <c r="AV165" s="635">
        <f t="shared" si="103"/>
        <v>4122</v>
      </c>
      <c r="AW165" s="1155" t="s">
        <v>884</v>
      </c>
      <c r="AX165" s="740">
        <v>0</v>
      </c>
      <c r="AY165" s="428"/>
      <c r="AZ165" s="428">
        <v>42</v>
      </c>
      <c r="BA165" s="473"/>
      <c r="BB165" s="548">
        <f t="shared" si="104"/>
        <v>0</v>
      </c>
      <c r="BC165" s="606">
        <f t="shared" si="105"/>
        <v>0</v>
      </c>
      <c r="BD165" s="548">
        <f t="shared" si="106"/>
        <v>0</v>
      </c>
      <c r="BE165" s="606">
        <f t="shared" si="107"/>
        <v>0</v>
      </c>
      <c r="BF165" s="549">
        <f t="shared" si="108"/>
        <v>0</v>
      </c>
      <c r="BG165" s="606">
        <f t="shared" si="109"/>
        <v>0</v>
      </c>
      <c r="BH165" s="600" t="s">
        <v>475</v>
      </c>
      <c r="BI165" s="600" t="s">
        <v>475</v>
      </c>
      <c r="BJ165" s="606">
        <f t="shared" si="129"/>
        <v>0</v>
      </c>
      <c r="BK165" s="606" t="str">
        <f t="shared" si="110"/>
        <v>n/a</v>
      </c>
      <c r="BL165" s="428" t="s">
        <v>475</v>
      </c>
      <c r="BM165" s="548" t="str">
        <f t="shared" si="111"/>
        <v>n/a</v>
      </c>
      <c r="BN165" s="606" t="str">
        <f t="shared" si="112"/>
        <v>n/a</v>
      </c>
      <c r="BO165" s="606" t="str">
        <f t="shared" si="113"/>
        <v>n/a</v>
      </c>
      <c r="BP165" s="428" t="s">
        <v>475</v>
      </c>
      <c r="BQ165" s="606" t="s">
        <v>475</v>
      </c>
      <c r="BR165" s="428" t="s">
        <v>475</v>
      </c>
      <c r="BS165" s="548" t="str">
        <f t="shared" si="114"/>
        <v>n/a</v>
      </c>
      <c r="BT165" s="607" t="str">
        <f t="shared" si="115"/>
        <v>n/a</v>
      </c>
      <c r="BU165" s="325">
        <v>0.7</v>
      </c>
      <c r="BV165" s="650" t="str">
        <f t="shared" si="116"/>
        <v>n/a</v>
      </c>
      <c r="BW165" s="1165" t="s">
        <v>891</v>
      </c>
      <c r="BX165" s="602" t="s">
        <v>475</v>
      </c>
      <c r="BY165" s="1189"/>
      <c r="BZ165" s="1189"/>
      <c r="CA165" s="608" t="str">
        <f t="shared" si="117"/>
        <v>n/a</v>
      </c>
      <c r="CB165" s="428">
        <v>0</v>
      </c>
      <c r="CC165" s="428">
        <v>0</v>
      </c>
      <c r="CD165" s="609" t="str">
        <f t="shared" si="118"/>
        <v>n/a</v>
      </c>
      <c r="CE165" s="610" t="str">
        <f t="shared" si="119"/>
        <v>n/a</v>
      </c>
      <c r="CF165" s="609" t="str">
        <f t="shared" si="120"/>
        <v>n/a</v>
      </c>
      <c r="CG165" s="658" t="str">
        <f t="shared" si="121"/>
        <v>n/a</v>
      </c>
      <c r="CH165" s="743" t="s">
        <v>893</v>
      </c>
      <c r="CI165" s="330">
        <v>0</v>
      </c>
      <c r="CJ165" s="664">
        <f t="shared" si="122"/>
        <v>0</v>
      </c>
      <c r="CK165" s="328">
        <v>0</v>
      </c>
      <c r="CL165" s="611" t="s">
        <v>671</v>
      </c>
      <c r="CM165" s="428" t="s">
        <v>475</v>
      </c>
      <c r="CN165" s="428" t="s">
        <v>475</v>
      </c>
      <c r="CO165" s="428" t="s">
        <v>38</v>
      </c>
      <c r="CP165" s="570" t="s">
        <v>170</v>
      </c>
      <c r="CQ165" s="1167" t="s">
        <v>894</v>
      </c>
      <c r="CS165" s="1069">
        <f t="shared" si="123"/>
        <v>1</v>
      </c>
      <c r="CT165" s="1069">
        <f t="shared" si="124"/>
        <v>1</v>
      </c>
      <c r="CU165" s="1066">
        <f t="shared" si="125"/>
        <v>1</v>
      </c>
      <c r="CV165" s="1066">
        <f t="shared" si="126"/>
        <v>1</v>
      </c>
      <c r="CW165" s="1082">
        <f t="shared" si="127"/>
        <v>0</v>
      </c>
      <c r="CX165" s="1082">
        <f t="shared" si="128"/>
        <v>0</v>
      </c>
    </row>
    <row r="166" spans="2:102" ht="18" customHeight="1">
      <c r="B166" s="715" t="s">
        <v>749</v>
      </c>
      <c r="C166" s="1075"/>
      <c r="D166" s="1075"/>
      <c r="E166" s="1058"/>
      <c r="F166" s="1086" t="s">
        <v>878</v>
      </c>
      <c r="G166" s="1051"/>
      <c r="H166" s="1051"/>
      <c r="I166" s="560" t="s">
        <v>33</v>
      </c>
      <c r="J166" s="560" t="s">
        <v>45</v>
      </c>
      <c r="K166" s="604" t="s">
        <v>607</v>
      </c>
      <c r="L166" s="585">
        <v>0</v>
      </c>
      <c r="M166" s="473">
        <v>0</v>
      </c>
      <c r="N166" s="570">
        <v>372</v>
      </c>
      <c r="O166" s="328"/>
      <c r="P166" s="720" t="str">
        <f t="shared" si="88"/>
        <v>1. Small</v>
      </c>
      <c r="Q166" s="968" t="s">
        <v>926</v>
      </c>
      <c r="R166" s="626"/>
      <c r="S166" s="622" t="s">
        <v>811</v>
      </c>
      <c r="T166" s="323" t="str">
        <f t="shared" si="89"/>
        <v>Covered</v>
      </c>
      <c r="U166" s="561">
        <v>42376</v>
      </c>
      <c r="V166" s="619"/>
      <c r="W166" s="558" t="s">
        <v>152</v>
      </c>
      <c r="X166" s="473">
        <v>0</v>
      </c>
      <c r="Y166" s="473">
        <v>0</v>
      </c>
      <c r="Z166" s="617" t="s">
        <v>43</v>
      </c>
      <c r="AA166" s="627">
        <v>3</v>
      </c>
      <c r="AB166" s="473">
        <v>0</v>
      </c>
      <c r="AC166" s="473">
        <v>0</v>
      </c>
      <c r="AD166" s="473">
        <v>0</v>
      </c>
      <c r="AE166" s="617"/>
      <c r="AF166" s="599">
        <v>0</v>
      </c>
      <c r="AG166" s="325">
        <v>0</v>
      </c>
      <c r="AH166" s="630">
        <f t="shared" si="90"/>
        <v>1</v>
      </c>
      <c r="AI166" s="574">
        <f t="shared" si="91"/>
        <v>372</v>
      </c>
      <c r="AJ166" s="605">
        <f t="shared" si="92"/>
        <v>1</v>
      </c>
      <c r="AK166" s="574">
        <f t="shared" si="93"/>
        <v>372</v>
      </c>
      <c r="AL166" s="605">
        <f t="shared" si="94"/>
        <v>1</v>
      </c>
      <c r="AM166" s="574">
        <f t="shared" si="95"/>
        <v>372</v>
      </c>
      <c r="AN166" s="605" t="str">
        <f t="shared" si="96"/>
        <v>80-100%</v>
      </c>
      <c r="AO166" s="605">
        <f t="shared" si="97"/>
        <v>0</v>
      </c>
      <c r="AP166" s="574">
        <f t="shared" si="98"/>
        <v>0</v>
      </c>
      <c r="AQ166" s="574" t="str">
        <f t="shared" si="99"/>
        <v>no</v>
      </c>
      <c r="AR166" s="574">
        <f t="shared" si="100"/>
        <v>0</v>
      </c>
      <c r="AS166" s="574">
        <f t="shared" si="101"/>
        <v>0</v>
      </c>
      <c r="AT166" s="574">
        <f t="shared" si="102"/>
        <v>0</v>
      </c>
      <c r="AU166" s="330">
        <v>1</v>
      </c>
      <c r="AV166" s="635">
        <f t="shared" si="103"/>
        <v>372</v>
      </c>
      <c r="AW166" s="1155" t="s">
        <v>884</v>
      </c>
      <c r="AX166" s="740">
        <v>0</v>
      </c>
      <c r="AY166" s="428"/>
      <c r="AZ166" s="428">
        <v>42</v>
      </c>
      <c r="BA166" s="473"/>
      <c r="BB166" s="548">
        <f t="shared" si="104"/>
        <v>0</v>
      </c>
      <c r="BC166" s="606">
        <f t="shared" si="105"/>
        <v>0</v>
      </c>
      <c r="BD166" s="548">
        <f t="shared" si="106"/>
        <v>0</v>
      </c>
      <c r="BE166" s="606">
        <f t="shared" si="107"/>
        <v>0</v>
      </c>
      <c r="BF166" s="549">
        <f t="shared" si="108"/>
        <v>0</v>
      </c>
      <c r="BG166" s="606">
        <f t="shared" si="109"/>
        <v>0</v>
      </c>
      <c r="BH166" s="600" t="s">
        <v>475</v>
      </c>
      <c r="BI166" s="600" t="s">
        <v>475</v>
      </c>
      <c r="BJ166" s="606">
        <f t="shared" si="129"/>
        <v>0</v>
      </c>
      <c r="BK166" s="606" t="str">
        <f t="shared" si="110"/>
        <v>n/a</v>
      </c>
      <c r="BL166" s="428" t="s">
        <v>475</v>
      </c>
      <c r="BM166" s="548" t="str">
        <f t="shared" si="111"/>
        <v>n/a</v>
      </c>
      <c r="BN166" s="606" t="str">
        <f t="shared" si="112"/>
        <v>n/a</v>
      </c>
      <c r="BO166" s="606" t="str">
        <f t="shared" si="113"/>
        <v>n/a</v>
      </c>
      <c r="BP166" s="428" t="s">
        <v>475</v>
      </c>
      <c r="BQ166" s="606" t="s">
        <v>475</v>
      </c>
      <c r="BR166" s="428" t="s">
        <v>475</v>
      </c>
      <c r="BS166" s="548" t="str">
        <f t="shared" si="114"/>
        <v>n/a</v>
      </c>
      <c r="BT166" s="607" t="str">
        <f t="shared" si="115"/>
        <v>n/a</v>
      </c>
      <c r="BU166" s="325">
        <v>0.7</v>
      </c>
      <c r="BV166" s="650" t="str">
        <f t="shared" si="116"/>
        <v>n/a</v>
      </c>
      <c r="BW166" s="1165" t="s">
        <v>891</v>
      </c>
      <c r="BX166" s="602" t="s">
        <v>475</v>
      </c>
      <c r="BY166" s="1189"/>
      <c r="BZ166" s="1189"/>
      <c r="CA166" s="608" t="str">
        <f t="shared" si="117"/>
        <v>n/a</v>
      </c>
      <c r="CB166" s="428">
        <v>0</v>
      </c>
      <c r="CC166" s="428">
        <v>0</v>
      </c>
      <c r="CD166" s="609" t="str">
        <f t="shared" si="118"/>
        <v>n/a</v>
      </c>
      <c r="CE166" s="610" t="str">
        <f t="shared" si="119"/>
        <v>n/a</v>
      </c>
      <c r="CF166" s="609" t="str">
        <f t="shared" si="120"/>
        <v>n/a</v>
      </c>
      <c r="CG166" s="658" t="str">
        <f t="shared" si="121"/>
        <v>n/a</v>
      </c>
      <c r="CH166" s="743" t="s">
        <v>893</v>
      </c>
      <c r="CI166" s="330">
        <v>0</v>
      </c>
      <c r="CJ166" s="664">
        <f t="shared" si="122"/>
        <v>0</v>
      </c>
      <c r="CK166" s="328">
        <v>0</v>
      </c>
      <c r="CL166" s="611" t="s">
        <v>671</v>
      </c>
      <c r="CM166" s="428" t="s">
        <v>475</v>
      </c>
      <c r="CN166" s="428" t="s">
        <v>475</v>
      </c>
      <c r="CO166" s="428" t="s">
        <v>38</v>
      </c>
      <c r="CP166" s="570" t="s">
        <v>170</v>
      </c>
      <c r="CQ166" s="1167" t="s">
        <v>894</v>
      </c>
      <c r="CS166" s="1069">
        <f t="shared" si="123"/>
        <v>1</v>
      </c>
      <c r="CT166" s="1069">
        <f t="shared" si="124"/>
        <v>1</v>
      </c>
      <c r="CU166" s="1066">
        <f t="shared" si="125"/>
        <v>1</v>
      </c>
      <c r="CV166" s="1066">
        <f t="shared" si="126"/>
        <v>1</v>
      </c>
      <c r="CW166" s="1082">
        <f t="shared" si="127"/>
        <v>0</v>
      </c>
      <c r="CX166" s="1082">
        <f t="shared" si="128"/>
        <v>0</v>
      </c>
    </row>
    <row r="167" spans="2:102" ht="18" customHeight="1">
      <c r="B167" s="402" t="s">
        <v>749</v>
      </c>
      <c r="C167" s="603" t="s">
        <v>1042</v>
      </c>
      <c r="D167" s="603" t="s">
        <v>799</v>
      </c>
      <c r="E167" s="1058" t="s">
        <v>1045</v>
      </c>
      <c r="F167" s="733" t="s">
        <v>799</v>
      </c>
      <c r="G167" s="1051"/>
      <c r="H167" s="1051"/>
      <c r="I167" s="560" t="s">
        <v>33</v>
      </c>
      <c r="J167" s="560" t="s">
        <v>34</v>
      </c>
      <c r="K167" s="604" t="s">
        <v>607</v>
      </c>
      <c r="L167" s="585">
        <v>0</v>
      </c>
      <c r="M167" s="473">
        <v>0</v>
      </c>
      <c r="N167" s="617">
        <v>342</v>
      </c>
      <c r="O167" s="328"/>
      <c r="P167" s="720" t="str">
        <f t="shared" si="88"/>
        <v>1. Small</v>
      </c>
      <c r="Q167" s="968" t="s">
        <v>926</v>
      </c>
      <c r="R167" s="626"/>
      <c r="S167" s="622" t="s">
        <v>143</v>
      </c>
      <c r="T167" s="323" t="str">
        <f t="shared" si="89"/>
        <v>Covered</v>
      </c>
      <c r="U167" s="561">
        <v>42376</v>
      </c>
      <c r="V167" s="619"/>
      <c r="W167" s="558" t="s">
        <v>152</v>
      </c>
      <c r="X167" s="473">
        <v>0</v>
      </c>
      <c r="Y167" s="473">
        <v>0</v>
      </c>
      <c r="Z167" s="617" t="s">
        <v>43</v>
      </c>
      <c r="AA167" s="627">
        <v>10</v>
      </c>
      <c r="AB167" s="473">
        <v>30</v>
      </c>
      <c r="AC167" s="473">
        <v>0</v>
      </c>
      <c r="AD167" s="473">
        <v>0</v>
      </c>
      <c r="AE167" s="617"/>
      <c r="AF167" s="599">
        <v>0</v>
      </c>
      <c r="AG167" s="325">
        <v>0</v>
      </c>
      <c r="AH167" s="630">
        <f t="shared" si="90"/>
        <v>1</v>
      </c>
      <c r="AI167" s="574">
        <f t="shared" si="91"/>
        <v>342</v>
      </c>
      <c r="AJ167" s="605">
        <f t="shared" si="92"/>
        <v>1</v>
      </c>
      <c r="AK167" s="574">
        <f t="shared" si="93"/>
        <v>342</v>
      </c>
      <c r="AL167" s="605">
        <f t="shared" si="94"/>
        <v>1</v>
      </c>
      <c r="AM167" s="574">
        <f t="shared" si="95"/>
        <v>342</v>
      </c>
      <c r="AN167" s="605" t="str">
        <f t="shared" si="96"/>
        <v>80-100%</v>
      </c>
      <c r="AO167" s="605">
        <f t="shared" si="97"/>
        <v>0</v>
      </c>
      <c r="AP167" s="574">
        <f t="shared" si="98"/>
        <v>0</v>
      </c>
      <c r="AQ167" s="574" t="str">
        <f t="shared" si="99"/>
        <v>no</v>
      </c>
      <c r="AR167" s="574">
        <f t="shared" si="100"/>
        <v>0</v>
      </c>
      <c r="AS167" s="574">
        <f t="shared" si="101"/>
        <v>0</v>
      </c>
      <c r="AT167" s="574">
        <f t="shared" si="102"/>
        <v>0</v>
      </c>
      <c r="AU167" s="1123">
        <v>1</v>
      </c>
      <c r="AV167" s="635">
        <f t="shared" si="103"/>
        <v>342</v>
      </c>
      <c r="AW167" s="638"/>
      <c r="AX167" s="740">
        <v>0</v>
      </c>
      <c r="AY167" s="428">
        <v>74</v>
      </c>
      <c r="AZ167" s="428">
        <v>42</v>
      </c>
      <c r="BA167" s="473" t="s">
        <v>526</v>
      </c>
      <c r="BB167" s="548">
        <f t="shared" si="104"/>
        <v>1</v>
      </c>
      <c r="BC167" s="606">
        <f t="shared" si="105"/>
        <v>342</v>
      </c>
      <c r="BD167" s="548">
        <f t="shared" si="106"/>
        <v>1</v>
      </c>
      <c r="BE167" s="606">
        <f t="shared" si="107"/>
        <v>342</v>
      </c>
      <c r="BF167" s="549">
        <f t="shared" si="108"/>
        <v>0</v>
      </c>
      <c r="BG167" s="606">
        <f t="shared" si="109"/>
        <v>0</v>
      </c>
      <c r="BH167" s="601" t="s">
        <v>475</v>
      </c>
      <c r="BI167" s="600" t="s">
        <v>475</v>
      </c>
      <c r="BJ167" s="606">
        <f t="shared" si="129"/>
        <v>0</v>
      </c>
      <c r="BK167" s="606" t="str">
        <f t="shared" si="110"/>
        <v>n/a</v>
      </c>
      <c r="BL167" s="428" t="s">
        <v>475</v>
      </c>
      <c r="BM167" s="548" t="str">
        <f t="shared" si="111"/>
        <v>n/a</v>
      </c>
      <c r="BN167" s="606" t="str">
        <f t="shared" si="112"/>
        <v>n/a</v>
      </c>
      <c r="BO167" s="606" t="str">
        <f t="shared" si="113"/>
        <v>n/a</v>
      </c>
      <c r="BP167" s="578" t="s">
        <v>475</v>
      </c>
      <c r="BQ167" s="606" t="s">
        <v>475</v>
      </c>
      <c r="BR167" s="519" t="s">
        <v>475</v>
      </c>
      <c r="BS167" s="548" t="str">
        <f t="shared" si="114"/>
        <v>n/a</v>
      </c>
      <c r="BT167" s="607" t="str">
        <f t="shared" si="115"/>
        <v>n/a</v>
      </c>
      <c r="BU167" s="325">
        <v>1</v>
      </c>
      <c r="BV167" s="650" t="str">
        <f t="shared" si="116"/>
        <v>n/a</v>
      </c>
      <c r="BW167" s="325" t="s">
        <v>567</v>
      </c>
      <c r="BX167" s="602" t="s">
        <v>475</v>
      </c>
      <c r="BY167" s="1189"/>
      <c r="BZ167" s="1189"/>
      <c r="CA167" s="608" t="str">
        <f t="shared" si="117"/>
        <v>n/a</v>
      </c>
      <c r="CB167" s="428">
        <v>0</v>
      </c>
      <c r="CC167" s="428">
        <v>0</v>
      </c>
      <c r="CD167" s="609" t="str">
        <f t="shared" si="118"/>
        <v>n/a</v>
      </c>
      <c r="CE167" s="610" t="str">
        <f t="shared" si="119"/>
        <v>n/a</v>
      </c>
      <c r="CF167" s="609" t="str">
        <f t="shared" si="120"/>
        <v>n/a</v>
      </c>
      <c r="CG167" s="658" t="str">
        <f t="shared" si="121"/>
        <v>n/a</v>
      </c>
      <c r="CH167" s="328" t="s">
        <v>809</v>
      </c>
      <c r="CI167" s="330">
        <v>0.3</v>
      </c>
      <c r="CJ167" s="664">
        <f t="shared" si="122"/>
        <v>102.6</v>
      </c>
      <c r="CK167" s="328">
        <v>2</v>
      </c>
      <c r="CL167" s="611" t="s">
        <v>671</v>
      </c>
      <c r="CM167" s="428" t="s">
        <v>475</v>
      </c>
      <c r="CN167" s="428" t="s">
        <v>475</v>
      </c>
      <c r="CO167" s="428" t="s">
        <v>38</v>
      </c>
      <c r="CP167" s="570" t="s">
        <v>170</v>
      </c>
      <c r="CQ167" s="672"/>
      <c r="CS167" s="1069">
        <f t="shared" si="123"/>
        <v>1</v>
      </c>
      <c r="CT167" s="1069">
        <f t="shared" si="124"/>
        <v>1</v>
      </c>
      <c r="CU167" s="1066">
        <f t="shared" si="125"/>
        <v>1</v>
      </c>
      <c r="CV167" s="1066">
        <f t="shared" si="126"/>
        <v>1</v>
      </c>
      <c r="CW167" s="1082">
        <f t="shared" si="127"/>
        <v>0</v>
      </c>
      <c r="CX167" s="1082">
        <f t="shared" si="128"/>
        <v>0</v>
      </c>
    </row>
    <row r="168" spans="2:102" ht="18" customHeight="1">
      <c r="B168" s="715" t="s">
        <v>749</v>
      </c>
      <c r="C168" s="1075" t="s">
        <v>1127</v>
      </c>
      <c r="D168" s="1075" t="s">
        <v>1128</v>
      </c>
      <c r="E168" s="1058" t="s">
        <v>1136</v>
      </c>
      <c r="F168" s="1086" t="s">
        <v>874</v>
      </c>
      <c r="G168" s="1051"/>
      <c r="H168" s="1051"/>
      <c r="I168" s="560" t="s">
        <v>33</v>
      </c>
      <c r="J168" s="560" t="s">
        <v>34</v>
      </c>
      <c r="K168" s="604" t="s">
        <v>607</v>
      </c>
      <c r="L168" s="585">
        <v>0</v>
      </c>
      <c r="M168" s="473">
        <v>0</v>
      </c>
      <c r="N168" s="570">
        <v>765</v>
      </c>
      <c r="O168" s="328"/>
      <c r="P168" s="720" t="str">
        <f t="shared" si="88"/>
        <v>2. Medium</v>
      </c>
      <c r="Q168" s="968" t="s">
        <v>926</v>
      </c>
      <c r="R168" s="626"/>
      <c r="S168" s="622" t="s">
        <v>811</v>
      </c>
      <c r="T168" s="323" t="str">
        <f t="shared" si="89"/>
        <v>Covered</v>
      </c>
      <c r="U168" s="561">
        <v>42376</v>
      </c>
      <c r="V168" s="619"/>
      <c r="W168" s="558" t="s">
        <v>152</v>
      </c>
      <c r="X168" s="473">
        <v>0</v>
      </c>
      <c r="Y168" s="473">
        <v>0</v>
      </c>
      <c r="Z168" s="617" t="s">
        <v>43</v>
      </c>
      <c r="AA168" s="627">
        <v>1</v>
      </c>
      <c r="AB168" s="428"/>
      <c r="AC168" s="473">
        <v>0</v>
      </c>
      <c r="AD168" s="473">
        <v>9</v>
      </c>
      <c r="AE168" s="617"/>
      <c r="AF168" s="599">
        <v>0</v>
      </c>
      <c r="AG168" s="325">
        <v>0</v>
      </c>
      <c r="AH168" s="630">
        <f t="shared" si="90"/>
        <v>0.32679738562091504</v>
      </c>
      <c r="AI168" s="574">
        <f t="shared" si="91"/>
        <v>250</v>
      </c>
      <c r="AJ168" s="605">
        <f t="shared" si="92"/>
        <v>0.32679738562091504</v>
      </c>
      <c r="AK168" s="574">
        <f t="shared" si="93"/>
        <v>250</v>
      </c>
      <c r="AL168" s="605">
        <f t="shared" si="94"/>
        <v>0.32679738562091504</v>
      </c>
      <c r="AM168" s="574">
        <f t="shared" si="95"/>
        <v>250</v>
      </c>
      <c r="AN168" s="605" t="str">
        <f t="shared" si="96"/>
        <v>30-45%</v>
      </c>
      <c r="AO168" s="605">
        <f t="shared" si="97"/>
        <v>0</v>
      </c>
      <c r="AP168" s="574">
        <f t="shared" si="98"/>
        <v>0</v>
      </c>
      <c r="AQ168" s="574" t="str">
        <f t="shared" si="99"/>
        <v>yes</v>
      </c>
      <c r="AR168" s="574">
        <f t="shared" si="100"/>
        <v>2.06</v>
      </c>
      <c r="AS168" s="574">
        <f t="shared" si="101"/>
        <v>0</v>
      </c>
      <c r="AT168" s="574">
        <f t="shared" si="102"/>
        <v>0</v>
      </c>
      <c r="AU168" s="330">
        <v>0.9</v>
      </c>
      <c r="AV168" s="635">
        <f t="shared" si="103"/>
        <v>688.5</v>
      </c>
      <c r="AW168" s="1155" t="s">
        <v>884</v>
      </c>
      <c r="AX168" s="740">
        <v>0</v>
      </c>
      <c r="AY168" s="428"/>
      <c r="AZ168" s="428">
        <v>42</v>
      </c>
      <c r="BA168" s="473"/>
      <c r="BB168" s="548">
        <f t="shared" si="104"/>
        <v>0</v>
      </c>
      <c r="BC168" s="606">
        <f t="shared" si="105"/>
        <v>0</v>
      </c>
      <c r="BD168" s="548">
        <f t="shared" si="106"/>
        <v>0</v>
      </c>
      <c r="BE168" s="606">
        <f t="shared" si="107"/>
        <v>0</v>
      </c>
      <c r="BF168" s="549">
        <f t="shared" si="108"/>
        <v>0</v>
      </c>
      <c r="BG168" s="606">
        <f t="shared" si="109"/>
        <v>0</v>
      </c>
      <c r="BH168" s="600" t="s">
        <v>475</v>
      </c>
      <c r="BI168" s="600" t="s">
        <v>475</v>
      </c>
      <c r="BJ168" s="606">
        <f t="shared" si="129"/>
        <v>0</v>
      </c>
      <c r="BK168" s="606" t="str">
        <f t="shared" si="110"/>
        <v>n/a</v>
      </c>
      <c r="BL168" s="428" t="s">
        <v>475</v>
      </c>
      <c r="BM168" s="548" t="str">
        <f t="shared" si="111"/>
        <v>n/a</v>
      </c>
      <c r="BN168" s="606" t="str">
        <f t="shared" si="112"/>
        <v>n/a</v>
      </c>
      <c r="BO168" s="606" t="str">
        <f t="shared" si="113"/>
        <v>n/a</v>
      </c>
      <c r="BP168" s="428" t="s">
        <v>475</v>
      </c>
      <c r="BQ168" s="606" t="s">
        <v>475</v>
      </c>
      <c r="BR168" s="428" t="s">
        <v>475</v>
      </c>
      <c r="BS168" s="548" t="str">
        <f t="shared" si="114"/>
        <v>n/a</v>
      </c>
      <c r="BT168" s="607" t="str">
        <f t="shared" si="115"/>
        <v>n/a</v>
      </c>
      <c r="BU168" s="325">
        <v>0.7</v>
      </c>
      <c r="BV168" s="650" t="str">
        <f t="shared" si="116"/>
        <v>n/a</v>
      </c>
      <c r="BW168" s="1165" t="s">
        <v>891</v>
      </c>
      <c r="BX168" s="602" t="s">
        <v>475</v>
      </c>
      <c r="BY168" s="1189"/>
      <c r="BZ168" s="1189"/>
      <c r="CA168" s="608" t="str">
        <f t="shared" si="117"/>
        <v>n/a</v>
      </c>
      <c r="CB168" s="428">
        <v>0</v>
      </c>
      <c r="CC168" s="428">
        <v>0</v>
      </c>
      <c r="CD168" s="609" t="str">
        <f t="shared" si="118"/>
        <v>n/a</v>
      </c>
      <c r="CE168" s="610" t="str">
        <f t="shared" si="119"/>
        <v>n/a</v>
      </c>
      <c r="CF168" s="609" t="str">
        <f t="shared" si="120"/>
        <v>n/a</v>
      </c>
      <c r="CG168" s="658" t="str">
        <f t="shared" si="121"/>
        <v>n/a</v>
      </c>
      <c r="CH168" s="743" t="s">
        <v>893</v>
      </c>
      <c r="CI168" s="330">
        <v>0</v>
      </c>
      <c r="CJ168" s="664">
        <f t="shared" si="122"/>
        <v>0</v>
      </c>
      <c r="CK168" s="328">
        <v>0</v>
      </c>
      <c r="CL168" s="611" t="s">
        <v>671</v>
      </c>
      <c r="CM168" s="428" t="s">
        <v>475</v>
      </c>
      <c r="CN168" s="428" t="s">
        <v>475</v>
      </c>
      <c r="CO168" s="428" t="s">
        <v>38</v>
      </c>
      <c r="CP168" s="570" t="s">
        <v>170</v>
      </c>
      <c r="CQ168" s="1167" t="s">
        <v>894</v>
      </c>
      <c r="CS168" s="1069">
        <f t="shared" si="123"/>
        <v>0.52287581699346408</v>
      </c>
      <c r="CT168" s="1069">
        <f t="shared" si="124"/>
        <v>0.32679738562091504</v>
      </c>
      <c r="CU168" s="1066">
        <f t="shared" si="125"/>
        <v>0.52287581699346408</v>
      </c>
      <c r="CV168" s="1066">
        <f t="shared" si="126"/>
        <v>0.32679738562091504</v>
      </c>
      <c r="CW168" s="1082">
        <f t="shared" si="127"/>
        <v>0.91250000000000009</v>
      </c>
      <c r="CX168" s="1082">
        <f t="shared" si="128"/>
        <v>2.06</v>
      </c>
    </row>
    <row r="169" spans="2:102" ht="18" customHeight="1">
      <c r="B169" s="402" t="s">
        <v>32</v>
      </c>
      <c r="C169" s="603"/>
      <c r="D169" s="603"/>
      <c r="E169" s="1052" t="s">
        <v>383</v>
      </c>
      <c r="F169" s="402" t="s">
        <v>384</v>
      </c>
      <c r="G169" s="556">
        <v>93.299485000000004</v>
      </c>
      <c r="H169" s="556">
        <v>20.480898</v>
      </c>
      <c r="I169" s="560" t="s">
        <v>33</v>
      </c>
      <c r="J169" s="560" t="s">
        <v>34</v>
      </c>
      <c r="K169" s="603" t="s">
        <v>1157</v>
      </c>
      <c r="L169" s="428">
        <v>86</v>
      </c>
      <c r="M169" s="428">
        <v>496</v>
      </c>
      <c r="N169" s="570">
        <v>496</v>
      </c>
      <c r="O169" s="328" t="s">
        <v>984</v>
      </c>
      <c r="P169" s="720" t="str">
        <f t="shared" si="88"/>
        <v>1. Small</v>
      </c>
      <c r="Q169" s="968" t="s">
        <v>139</v>
      </c>
      <c r="R169" s="625" t="s">
        <v>301</v>
      </c>
      <c r="S169" s="620" t="s">
        <v>139</v>
      </c>
      <c r="T169" s="323" t="str">
        <f t="shared" si="89"/>
        <v>Not Covered</v>
      </c>
      <c r="U169" s="561"/>
      <c r="V169" s="618"/>
      <c r="W169" s="558" t="s">
        <v>154</v>
      </c>
      <c r="X169" s="428">
        <v>0</v>
      </c>
      <c r="Y169" s="428">
        <v>0</v>
      </c>
      <c r="Z169" s="570" t="s">
        <v>43</v>
      </c>
      <c r="AA169" s="328">
        <v>1</v>
      </c>
      <c r="AB169" s="428">
        <v>3</v>
      </c>
      <c r="AC169" s="428">
        <v>0</v>
      </c>
      <c r="AD169" s="428">
        <v>8</v>
      </c>
      <c r="AE169" s="570"/>
      <c r="AF169" s="329">
        <v>0</v>
      </c>
      <c r="AG169" s="330">
        <v>1</v>
      </c>
      <c r="AH169" s="630">
        <f t="shared" si="90"/>
        <v>1</v>
      </c>
      <c r="AI169" s="574">
        <f t="shared" si="91"/>
        <v>496</v>
      </c>
      <c r="AJ169" s="605">
        <f t="shared" si="92"/>
        <v>1</v>
      </c>
      <c r="AK169" s="574">
        <f t="shared" si="93"/>
        <v>496</v>
      </c>
      <c r="AL169" s="605">
        <f t="shared" si="94"/>
        <v>1</v>
      </c>
      <c r="AM169" s="574">
        <f t="shared" si="95"/>
        <v>496</v>
      </c>
      <c r="AN169" s="605" t="str">
        <f t="shared" si="96"/>
        <v>80-100%</v>
      </c>
      <c r="AO169" s="605">
        <f t="shared" si="97"/>
        <v>0</v>
      </c>
      <c r="AP169" s="574">
        <f t="shared" si="98"/>
        <v>0</v>
      </c>
      <c r="AQ169" s="574" t="str">
        <f t="shared" si="99"/>
        <v>yes</v>
      </c>
      <c r="AR169" s="574">
        <f t="shared" si="100"/>
        <v>0</v>
      </c>
      <c r="AS169" s="574">
        <f t="shared" si="101"/>
        <v>496</v>
      </c>
      <c r="AT169" s="574">
        <f t="shared" si="102"/>
        <v>0</v>
      </c>
      <c r="AU169" s="589">
        <v>1</v>
      </c>
      <c r="AV169" s="635">
        <f t="shared" si="103"/>
        <v>496</v>
      </c>
      <c r="AW169" s="636"/>
      <c r="AX169" s="740">
        <v>0</v>
      </c>
      <c r="AY169" s="428">
        <v>22</v>
      </c>
      <c r="AZ169" s="428">
        <v>6</v>
      </c>
      <c r="BA169" s="473" t="s">
        <v>965</v>
      </c>
      <c r="BB169" s="548">
        <f t="shared" si="104"/>
        <v>0.2661290322580645</v>
      </c>
      <c r="BC169" s="606">
        <f t="shared" si="105"/>
        <v>132</v>
      </c>
      <c r="BD169" s="548">
        <f t="shared" si="106"/>
        <v>0.2661290322580645</v>
      </c>
      <c r="BE169" s="606">
        <f t="shared" si="107"/>
        <v>132</v>
      </c>
      <c r="BF169" s="549">
        <f t="shared" si="108"/>
        <v>0</v>
      </c>
      <c r="BG169" s="606">
        <f t="shared" si="109"/>
        <v>0</v>
      </c>
      <c r="BH169" s="428" t="s">
        <v>475</v>
      </c>
      <c r="BI169" s="429">
        <v>0.8</v>
      </c>
      <c r="BJ169" s="606">
        <f t="shared" ref="BJ169:BJ200" si="130">BI169*N169</f>
        <v>396.8</v>
      </c>
      <c r="BK169" s="606" t="str">
        <f t="shared" si="110"/>
        <v>n/a</v>
      </c>
      <c r="BL169" s="428">
        <v>2</v>
      </c>
      <c r="BM169" s="548" t="str">
        <f t="shared" si="111"/>
        <v>n/a</v>
      </c>
      <c r="BN169" s="606" t="str">
        <f t="shared" si="112"/>
        <v>n/a</v>
      </c>
      <c r="BO169" s="606" t="str">
        <f t="shared" si="113"/>
        <v>n/a</v>
      </c>
      <c r="BP169" s="578" t="s">
        <v>475</v>
      </c>
      <c r="BQ169" s="606" t="s">
        <v>475</v>
      </c>
      <c r="BR169" s="519" t="s">
        <v>475</v>
      </c>
      <c r="BS169" s="548" t="str">
        <f t="shared" si="114"/>
        <v>n/a</v>
      </c>
      <c r="BT169" s="607" t="str">
        <f t="shared" si="115"/>
        <v>n/a</v>
      </c>
      <c r="BU169" s="651" t="s">
        <v>475</v>
      </c>
      <c r="BV169" s="650" t="str">
        <f t="shared" si="116"/>
        <v>n/a</v>
      </c>
      <c r="BW169" s="325"/>
      <c r="BX169" s="430" t="s">
        <v>475</v>
      </c>
      <c r="BY169" s="1190"/>
      <c r="BZ169" s="1190"/>
      <c r="CA169" s="608" t="str">
        <f t="shared" si="117"/>
        <v>n/a</v>
      </c>
      <c r="CB169" s="428"/>
      <c r="CC169" s="428"/>
      <c r="CD169" s="609" t="str">
        <f t="shared" si="118"/>
        <v>n/a</v>
      </c>
      <c r="CE169" s="610" t="str">
        <f t="shared" si="119"/>
        <v>n/a</v>
      </c>
      <c r="CF169" s="609" t="str">
        <f t="shared" si="120"/>
        <v>n/a</v>
      </c>
      <c r="CG169" s="658" t="str">
        <f t="shared" si="121"/>
        <v>n/a</v>
      </c>
      <c r="CH169" s="328" t="s">
        <v>413</v>
      </c>
      <c r="CI169" s="330"/>
      <c r="CJ169" s="664">
        <f t="shared" si="122"/>
        <v>0</v>
      </c>
      <c r="CK169" s="328"/>
      <c r="CL169" s="611" t="str">
        <f t="shared" ref="CL169:CL184" si="131">IF(CK169=0,"No coverage",IF(N169/CK169&gt;1000,"Low coverage",IF(N169/CK169&gt;750,"Average coverage",IF(N169/CK169&gt;500,"Good coverage","Excellent coverage"))))</f>
        <v>No coverage</v>
      </c>
      <c r="CM169" s="428"/>
      <c r="CN169" s="428"/>
      <c r="CO169" s="428"/>
      <c r="CP169" s="570"/>
      <c r="CQ169" s="666"/>
      <c r="CS169" s="1069">
        <f t="shared" si="123"/>
        <v>1</v>
      </c>
      <c r="CT169" s="1069">
        <f t="shared" si="124"/>
        <v>1</v>
      </c>
      <c r="CU169" s="1066">
        <f t="shared" si="125"/>
        <v>1</v>
      </c>
      <c r="CV169" s="1066">
        <f t="shared" si="126"/>
        <v>1</v>
      </c>
      <c r="CW169" s="1082">
        <f t="shared" si="127"/>
        <v>0</v>
      </c>
      <c r="CX169" s="1082">
        <f t="shared" si="128"/>
        <v>0</v>
      </c>
    </row>
    <row r="170" spans="2:102" ht="18" customHeight="1">
      <c r="B170" s="402" t="s">
        <v>32</v>
      </c>
      <c r="C170" s="603"/>
      <c r="D170" s="603"/>
      <c r="E170" s="1052">
        <v>196994</v>
      </c>
      <c r="F170" s="402" t="s">
        <v>416</v>
      </c>
      <c r="G170" s="556">
        <v>93.257272</v>
      </c>
      <c r="H170" s="556">
        <v>20.392137999999999</v>
      </c>
      <c r="I170" s="560" t="s">
        <v>33</v>
      </c>
      <c r="J170" s="560" t="s">
        <v>45</v>
      </c>
      <c r="K170" s="603" t="s">
        <v>1157</v>
      </c>
      <c r="L170" s="428">
        <v>3</v>
      </c>
      <c r="M170" s="428">
        <v>20</v>
      </c>
      <c r="N170" s="570">
        <v>20</v>
      </c>
      <c r="O170" s="328" t="s">
        <v>984</v>
      </c>
      <c r="P170" s="720" t="str">
        <f t="shared" si="88"/>
        <v>1. Small</v>
      </c>
      <c r="Q170" s="968" t="s">
        <v>139</v>
      </c>
      <c r="R170" s="625"/>
      <c r="S170" s="620" t="s">
        <v>139</v>
      </c>
      <c r="T170" s="323" t="str">
        <f t="shared" si="89"/>
        <v>Not Covered</v>
      </c>
      <c r="U170" s="561"/>
      <c r="V170" s="618"/>
      <c r="W170" s="558" t="s">
        <v>154</v>
      </c>
      <c r="X170" s="428">
        <v>0</v>
      </c>
      <c r="Y170" s="428">
        <v>0</v>
      </c>
      <c r="Z170" s="570" t="s">
        <v>43</v>
      </c>
      <c r="AA170" s="328">
        <v>0</v>
      </c>
      <c r="AB170" s="428">
        <v>0</v>
      </c>
      <c r="AC170" s="428">
        <v>0</v>
      </c>
      <c r="AD170" s="428">
        <v>4</v>
      </c>
      <c r="AE170" s="570"/>
      <c r="AF170" s="329">
        <v>0</v>
      </c>
      <c r="AG170" s="330">
        <v>1</v>
      </c>
      <c r="AH170" s="630">
        <f t="shared" si="90"/>
        <v>0</v>
      </c>
      <c r="AI170" s="574">
        <f t="shared" si="91"/>
        <v>0</v>
      </c>
      <c r="AJ170" s="605">
        <f t="shared" si="92"/>
        <v>0</v>
      </c>
      <c r="AK170" s="574">
        <f t="shared" si="93"/>
        <v>0</v>
      </c>
      <c r="AL170" s="605">
        <f t="shared" si="94"/>
        <v>1</v>
      </c>
      <c r="AM170" s="574">
        <f t="shared" si="95"/>
        <v>20</v>
      </c>
      <c r="AN170" s="605" t="str">
        <f t="shared" si="96"/>
        <v>0-10%</v>
      </c>
      <c r="AO170" s="605">
        <f t="shared" si="97"/>
        <v>0</v>
      </c>
      <c r="AP170" s="574">
        <f t="shared" si="98"/>
        <v>0</v>
      </c>
      <c r="AQ170" s="574" t="str">
        <f t="shared" si="99"/>
        <v>yes</v>
      </c>
      <c r="AR170" s="574">
        <f t="shared" si="100"/>
        <v>0.08</v>
      </c>
      <c r="AS170" s="574">
        <f t="shared" si="101"/>
        <v>20</v>
      </c>
      <c r="AT170" s="574">
        <f t="shared" si="102"/>
        <v>0</v>
      </c>
      <c r="AU170" s="589">
        <v>1</v>
      </c>
      <c r="AV170" s="635">
        <f t="shared" si="103"/>
        <v>20</v>
      </c>
      <c r="AW170" s="636"/>
      <c r="AX170" s="740">
        <v>0</v>
      </c>
      <c r="AY170" s="428">
        <v>8</v>
      </c>
      <c r="AZ170" s="428">
        <v>6</v>
      </c>
      <c r="BA170" s="473" t="s">
        <v>965</v>
      </c>
      <c r="BB170" s="548">
        <f t="shared" si="104"/>
        <v>1</v>
      </c>
      <c r="BC170" s="606">
        <f t="shared" si="105"/>
        <v>20</v>
      </c>
      <c r="BD170" s="548">
        <f t="shared" si="106"/>
        <v>1</v>
      </c>
      <c r="BE170" s="606">
        <f t="shared" si="107"/>
        <v>20</v>
      </c>
      <c r="BF170" s="549">
        <f t="shared" si="108"/>
        <v>0</v>
      </c>
      <c r="BG170" s="606">
        <f t="shared" si="109"/>
        <v>0</v>
      </c>
      <c r="BH170" s="428" t="s">
        <v>475</v>
      </c>
      <c r="BI170" s="429">
        <v>1</v>
      </c>
      <c r="BJ170" s="606">
        <f t="shared" si="130"/>
        <v>20</v>
      </c>
      <c r="BK170" s="606" t="str">
        <f t="shared" si="110"/>
        <v>n/a</v>
      </c>
      <c r="BL170" s="428">
        <v>0</v>
      </c>
      <c r="BM170" s="548" t="str">
        <f t="shared" si="111"/>
        <v>n/a</v>
      </c>
      <c r="BN170" s="606" t="str">
        <f t="shared" si="112"/>
        <v>n/a</v>
      </c>
      <c r="BO170" s="606" t="str">
        <f t="shared" si="113"/>
        <v>n/a</v>
      </c>
      <c r="BP170" s="578" t="s">
        <v>475</v>
      </c>
      <c r="BQ170" s="606" t="s">
        <v>475</v>
      </c>
      <c r="BR170" s="519" t="s">
        <v>475</v>
      </c>
      <c r="BS170" s="548" t="str">
        <f t="shared" si="114"/>
        <v>n/a</v>
      </c>
      <c r="BT170" s="607" t="str">
        <f t="shared" si="115"/>
        <v>n/a</v>
      </c>
      <c r="BU170" s="651" t="s">
        <v>475</v>
      </c>
      <c r="BV170" s="650" t="str">
        <f t="shared" si="116"/>
        <v>n/a</v>
      </c>
      <c r="BW170" s="325"/>
      <c r="BX170" s="430" t="s">
        <v>475</v>
      </c>
      <c r="BY170" s="1190"/>
      <c r="BZ170" s="1190"/>
      <c r="CA170" s="608" t="str">
        <f t="shared" si="117"/>
        <v>n/a</v>
      </c>
      <c r="CB170" s="428"/>
      <c r="CC170" s="428"/>
      <c r="CD170" s="609" t="str">
        <f t="shared" si="118"/>
        <v>n/a</v>
      </c>
      <c r="CE170" s="610" t="str">
        <f t="shared" si="119"/>
        <v>n/a</v>
      </c>
      <c r="CF170" s="609" t="str">
        <f t="shared" si="120"/>
        <v>n/a</v>
      </c>
      <c r="CG170" s="658" t="str">
        <f t="shared" si="121"/>
        <v>n/a</v>
      </c>
      <c r="CH170" s="328"/>
      <c r="CI170" s="330"/>
      <c r="CJ170" s="664">
        <f t="shared" si="122"/>
        <v>0</v>
      </c>
      <c r="CK170" s="328"/>
      <c r="CL170" s="611" t="str">
        <f t="shared" si="131"/>
        <v>No coverage</v>
      </c>
      <c r="CM170" s="428"/>
      <c r="CN170" s="428"/>
      <c r="CO170" s="428"/>
      <c r="CP170" s="570"/>
      <c r="CQ170" s="666"/>
      <c r="CS170" s="1069">
        <f t="shared" si="123"/>
        <v>0</v>
      </c>
      <c r="CT170" s="1069">
        <f t="shared" si="124"/>
        <v>0</v>
      </c>
      <c r="CU170" s="1066">
        <f t="shared" si="125"/>
        <v>0</v>
      </c>
      <c r="CV170" s="1066">
        <f t="shared" si="126"/>
        <v>0</v>
      </c>
      <c r="CW170" s="1082">
        <f t="shared" si="127"/>
        <v>0.05</v>
      </c>
      <c r="CX170" s="1082">
        <f t="shared" si="128"/>
        <v>0.08</v>
      </c>
    </row>
    <row r="171" spans="2:102" ht="18" customHeight="1">
      <c r="B171" s="402" t="s">
        <v>32</v>
      </c>
      <c r="C171" s="603"/>
      <c r="D171" s="603"/>
      <c r="E171" s="1052" t="s">
        <v>389</v>
      </c>
      <c r="F171" s="402" t="s">
        <v>417</v>
      </c>
      <c r="G171" s="556">
        <v>93.249669999999995</v>
      </c>
      <c r="H171" s="556">
        <v>20.39902</v>
      </c>
      <c r="I171" s="560" t="s">
        <v>44</v>
      </c>
      <c r="J171" s="560" t="s">
        <v>34</v>
      </c>
      <c r="K171" s="604" t="s">
        <v>1157</v>
      </c>
      <c r="L171" s="428">
        <v>86</v>
      </c>
      <c r="M171" s="428">
        <v>521</v>
      </c>
      <c r="N171" s="570">
        <v>521</v>
      </c>
      <c r="O171" s="328" t="s">
        <v>984</v>
      </c>
      <c r="P171" s="720" t="str">
        <f t="shared" si="88"/>
        <v>2. Medium</v>
      </c>
      <c r="Q171" s="968" t="s">
        <v>139</v>
      </c>
      <c r="R171" s="625" t="s">
        <v>301</v>
      </c>
      <c r="S171" s="620" t="s">
        <v>139</v>
      </c>
      <c r="T171" s="323" t="str">
        <f t="shared" si="89"/>
        <v>Not Covered</v>
      </c>
      <c r="U171" s="561"/>
      <c r="V171" s="618"/>
      <c r="W171" s="558" t="s">
        <v>153</v>
      </c>
      <c r="X171" s="428">
        <v>0</v>
      </c>
      <c r="Y171" s="428">
        <v>0</v>
      </c>
      <c r="Z171" s="570" t="s">
        <v>43</v>
      </c>
      <c r="AA171" s="328">
        <v>0</v>
      </c>
      <c r="AB171" s="428">
        <v>0</v>
      </c>
      <c r="AC171" s="428">
        <v>0</v>
      </c>
      <c r="AD171" s="428">
        <v>5</v>
      </c>
      <c r="AE171" s="570"/>
      <c r="AF171" s="329">
        <v>0</v>
      </c>
      <c r="AG171" s="330">
        <v>1</v>
      </c>
      <c r="AH171" s="630">
        <f t="shared" si="90"/>
        <v>0</v>
      </c>
      <c r="AI171" s="574">
        <f t="shared" si="91"/>
        <v>0</v>
      </c>
      <c r="AJ171" s="605">
        <f t="shared" si="92"/>
        <v>0</v>
      </c>
      <c r="AK171" s="574">
        <f t="shared" si="93"/>
        <v>0</v>
      </c>
      <c r="AL171" s="605">
        <f t="shared" si="94"/>
        <v>1</v>
      </c>
      <c r="AM171" s="574">
        <f t="shared" si="95"/>
        <v>521</v>
      </c>
      <c r="AN171" s="605" t="str">
        <f t="shared" si="96"/>
        <v>0-10%</v>
      </c>
      <c r="AO171" s="605">
        <f t="shared" si="97"/>
        <v>0</v>
      </c>
      <c r="AP171" s="574">
        <f t="shared" si="98"/>
        <v>0</v>
      </c>
      <c r="AQ171" s="574" t="str">
        <f t="shared" si="99"/>
        <v>yes</v>
      </c>
      <c r="AR171" s="574">
        <f t="shared" si="100"/>
        <v>1.3025</v>
      </c>
      <c r="AS171" s="574">
        <f t="shared" si="101"/>
        <v>521</v>
      </c>
      <c r="AT171" s="574">
        <f t="shared" si="102"/>
        <v>0</v>
      </c>
      <c r="AU171" s="589">
        <v>1</v>
      </c>
      <c r="AV171" s="635">
        <f t="shared" si="103"/>
        <v>521</v>
      </c>
      <c r="AW171" s="636"/>
      <c r="AX171" s="740">
        <v>0</v>
      </c>
      <c r="AY171" s="428">
        <v>18</v>
      </c>
      <c r="AZ171" s="428">
        <v>20</v>
      </c>
      <c r="BA171" s="473" t="s">
        <v>973</v>
      </c>
      <c r="BB171" s="548">
        <f t="shared" si="104"/>
        <v>0.69097888675623798</v>
      </c>
      <c r="BC171" s="606">
        <f t="shared" si="105"/>
        <v>360</v>
      </c>
      <c r="BD171" s="548">
        <f t="shared" si="106"/>
        <v>0.69097888675623798</v>
      </c>
      <c r="BE171" s="606">
        <f t="shared" si="107"/>
        <v>360</v>
      </c>
      <c r="BF171" s="549">
        <f t="shared" si="108"/>
        <v>0</v>
      </c>
      <c r="BG171" s="606">
        <f t="shared" si="109"/>
        <v>0</v>
      </c>
      <c r="BH171" s="428" t="s">
        <v>491</v>
      </c>
      <c r="BI171" s="429">
        <v>1</v>
      </c>
      <c r="BJ171" s="606">
        <f t="shared" si="130"/>
        <v>521</v>
      </c>
      <c r="BK171" s="606">
        <f t="shared" si="110"/>
        <v>8.0500000000000007</v>
      </c>
      <c r="BL171" s="428">
        <v>3</v>
      </c>
      <c r="BM171" s="548">
        <f t="shared" si="111"/>
        <v>3.2245681381957769E-2</v>
      </c>
      <c r="BN171" s="606">
        <f t="shared" si="112"/>
        <v>16.799999999999997</v>
      </c>
      <c r="BO171" s="606">
        <f t="shared" si="113"/>
        <v>90.035714285714292</v>
      </c>
      <c r="BP171" s="578">
        <v>1</v>
      </c>
      <c r="BQ171" s="606">
        <v>514</v>
      </c>
      <c r="BR171" s="519">
        <v>0</v>
      </c>
      <c r="BS171" s="548">
        <f t="shared" si="114"/>
        <v>0</v>
      </c>
      <c r="BT171" s="607">
        <f t="shared" si="115"/>
        <v>5.21</v>
      </c>
      <c r="BU171" s="651">
        <v>0.23</v>
      </c>
      <c r="BV171" s="650">
        <f t="shared" si="116"/>
        <v>119.83</v>
      </c>
      <c r="BW171" s="325" t="s">
        <v>412</v>
      </c>
      <c r="BX171" s="430"/>
      <c r="BY171" s="1190"/>
      <c r="BZ171" s="1190"/>
      <c r="CA171" s="608" t="str">
        <f t="shared" si="117"/>
        <v>To be done</v>
      </c>
      <c r="CB171" s="428"/>
      <c r="CC171" s="428"/>
      <c r="CD171" s="609">
        <f t="shared" si="118"/>
        <v>86</v>
      </c>
      <c r="CE171" s="610">
        <f t="shared" si="119"/>
        <v>0</v>
      </c>
      <c r="CF171" s="609">
        <f t="shared" si="120"/>
        <v>0</v>
      </c>
      <c r="CG171" s="658">
        <f t="shared" si="121"/>
        <v>0</v>
      </c>
      <c r="CH171" s="328" t="s">
        <v>236</v>
      </c>
      <c r="CI171" s="330"/>
      <c r="CJ171" s="664">
        <f t="shared" si="122"/>
        <v>0</v>
      </c>
      <c r="CK171" s="328"/>
      <c r="CL171" s="611" t="str">
        <f t="shared" si="131"/>
        <v>No coverage</v>
      </c>
      <c r="CM171" s="428"/>
      <c r="CN171" s="428"/>
      <c r="CO171" s="428"/>
      <c r="CP171" s="570"/>
      <c r="CQ171" s="666"/>
      <c r="CS171" s="1069">
        <f t="shared" si="123"/>
        <v>0</v>
      </c>
      <c r="CT171" s="1069">
        <f t="shared" si="124"/>
        <v>0</v>
      </c>
      <c r="CU171" s="1066">
        <f t="shared" si="125"/>
        <v>0</v>
      </c>
      <c r="CV171" s="1066">
        <f t="shared" si="126"/>
        <v>0</v>
      </c>
      <c r="CW171" s="1082">
        <f t="shared" si="127"/>
        <v>1.3025</v>
      </c>
      <c r="CX171" s="1082">
        <f t="shared" si="128"/>
        <v>2.0840000000000001</v>
      </c>
    </row>
    <row r="172" spans="2:102" ht="18" customHeight="1">
      <c r="B172" s="721" t="s">
        <v>32</v>
      </c>
      <c r="C172" s="604"/>
      <c r="D172" s="604"/>
      <c r="E172" s="1054" t="s">
        <v>392</v>
      </c>
      <c r="F172" s="721" t="s">
        <v>418</v>
      </c>
      <c r="G172" s="722">
        <v>93.257272</v>
      </c>
      <c r="H172" s="722">
        <v>20.392137999999999</v>
      </c>
      <c r="I172" s="595" t="s">
        <v>33</v>
      </c>
      <c r="J172" s="560" t="s">
        <v>34</v>
      </c>
      <c r="K172" s="604" t="s">
        <v>1157</v>
      </c>
      <c r="L172" s="585">
        <v>187</v>
      </c>
      <c r="M172" s="585">
        <v>1001</v>
      </c>
      <c r="N172" s="723">
        <v>1001</v>
      </c>
      <c r="O172" s="328" t="s">
        <v>984</v>
      </c>
      <c r="P172" s="1134" t="str">
        <f t="shared" si="88"/>
        <v>3. Large</v>
      </c>
      <c r="Q172" s="968" t="s">
        <v>139</v>
      </c>
      <c r="R172" s="1137" t="s">
        <v>301</v>
      </c>
      <c r="S172" s="621" t="s">
        <v>139</v>
      </c>
      <c r="T172" s="323" t="str">
        <f t="shared" si="89"/>
        <v>Not Covered</v>
      </c>
      <c r="U172" s="581"/>
      <c r="V172" s="1145"/>
      <c r="W172" s="558" t="s">
        <v>153</v>
      </c>
      <c r="X172" s="585">
        <v>0</v>
      </c>
      <c r="Y172" s="585">
        <v>0</v>
      </c>
      <c r="Z172" s="598" t="s">
        <v>43</v>
      </c>
      <c r="AA172" s="597">
        <v>0</v>
      </c>
      <c r="AB172" s="585">
        <v>0</v>
      </c>
      <c r="AC172" s="585">
        <v>0</v>
      </c>
      <c r="AD172" s="585">
        <v>6</v>
      </c>
      <c r="AE172" s="598"/>
      <c r="AF172" s="583">
        <v>0</v>
      </c>
      <c r="AG172" s="584">
        <v>1</v>
      </c>
      <c r="AH172" s="630">
        <f t="shared" si="90"/>
        <v>0</v>
      </c>
      <c r="AI172" s="574">
        <f t="shared" si="91"/>
        <v>0</v>
      </c>
      <c r="AJ172" s="605">
        <f t="shared" si="92"/>
        <v>0</v>
      </c>
      <c r="AK172" s="574">
        <f t="shared" si="93"/>
        <v>0</v>
      </c>
      <c r="AL172" s="631">
        <f t="shared" si="94"/>
        <v>1</v>
      </c>
      <c r="AM172" s="574">
        <f t="shared" si="95"/>
        <v>1001</v>
      </c>
      <c r="AN172" s="605" t="str">
        <f t="shared" si="96"/>
        <v>0-10%</v>
      </c>
      <c r="AO172" s="631">
        <f t="shared" si="97"/>
        <v>0</v>
      </c>
      <c r="AP172" s="574">
        <f t="shared" si="98"/>
        <v>0</v>
      </c>
      <c r="AQ172" s="574" t="str">
        <f t="shared" si="99"/>
        <v>yes</v>
      </c>
      <c r="AR172" s="574">
        <f t="shared" si="100"/>
        <v>4.0039999999999996</v>
      </c>
      <c r="AS172" s="574">
        <f t="shared" si="101"/>
        <v>1001</v>
      </c>
      <c r="AT172" s="574">
        <f t="shared" si="102"/>
        <v>0</v>
      </c>
      <c r="AU172" s="589">
        <v>1</v>
      </c>
      <c r="AV172" s="635">
        <f t="shared" si="103"/>
        <v>1001</v>
      </c>
      <c r="AW172" s="637" t="s">
        <v>590</v>
      </c>
      <c r="AX172" s="1079"/>
      <c r="AY172" s="580">
        <v>41</v>
      </c>
      <c r="AZ172" s="428">
        <v>6</v>
      </c>
      <c r="BA172" s="473" t="s">
        <v>965</v>
      </c>
      <c r="BB172" s="548">
        <f t="shared" si="104"/>
        <v>0.24575424575424576</v>
      </c>
      <c r="BC172" s="606">
        <f t="shared" si="105"/>
        <v>246</v>
      </c>
      <c r="BD172" s="548">
        <f t="shared" si="106"/>
        <v>0.24575424575424576</v>
      </c>
      <c r="BE172" s="606">
        <f t="shared" si="107"/>
        <v>246</v>
      </c>
      <c r="BF172" s="646">
        <f t="shared" si="108"/>
        <v>0</v>
      </c>
      <c r="BG172" s="606">
        <f t="shared" si="109"/>
        <v>0</v>
      </c>
      <c r="BH172" s="580" t="s">
        <v>491</v>
      </c>
      <c r="BI172" s="587">
        <v>1</v>
      </c>
      <c r="BJ172" s="606">
        <f t="shared" si="130"/>
        <v>1001</v>
      </c>
      <c r="BK172" s="596" t="str">
        <f t="shared" si="110"/>
        <v>n/a</v>
      </c>
      <c r="BL172" s="580">
        <v>3</v>
      </c>
      <c r="BM172" s="645" t="str">
        <f t="shared" si="111"/>
        <v>n/a</v>
      </c>
      <c r="BN172" s="606" t="str">
        <f t="shared" si="112"/>
        <v>n/a</v>
      </c>
      <c r="BO172" s="596" t="str">
        <f t="shared" si="113"/>
        <v>n/a</v>
      </c>
      <c r="BP172" s="647">
        <v>0.8928571428571429</v>
      </c>
      <c r="BQ172" s="606" t="s">
        <v>475</v>
      </c>
      <c r="BR172" s="593"/>
      <c r="BS172" s="645" t="str">
        <f t="shared" si="114"/>
        <v>n/a</v>
      </c>
      <c r="BT172" s="648" t="str">
        <f t="shared" si="115"/>
        <v>n/a</v>
      </c>
      <c r="BU172" s="652">
        <v>0</v>
      </c>
      <c r="BV172" s="650" t="str">
        <f t="shared" si="116"/>
        <v>n/a</v>
      </c>
      <c r="BW172" s="584" t="s">
        <v>412</v>
      </c>
      <c r="BX172" s="588" t="s">
        <v>475</v>
      </c>
      <c r="BY172" s="1191"/>
      <c r="BZ172" s="1191"/>
      <c r="CA172" s="659" t="str">
        <f t="shared" si="117"/>
        <v>n/a</v>
      </c>
      <c r="CB172" s="580"/>
      <c r="CC172" s="580"/>
      <c r="CD172" s="660" t="str">
        <f t="shared" si="118"/>
        <v>n/a</v>
      </c>
      <c r="CE172" s="661" t="str">
        <f t="shared" si="119"/>
        <v>n/a</v>
      </c>
      <c r="CF172" s="609" t="str">
        <f t="shared" si="120"/>
        <v>n/a</v>
      </c>
      <c r="CG172" s="662" t="str">
        <f t="shared" si="121"/>
        <v>n/a</v>
      </c>
      <c r="CH172" s="579" t="s">
        <v>236</v>
      </c>
      <c r="CI172" s="330"/>
      <c r="CJ172" s="664">
        <f t="shared" si="122"/>
        <v>0</v>
      </c>
      <c r="CK172" s="579"/>
      <c r="CL172" s="674" t="str">
        <f t="shared" si="131"/>
        <v>No coverage</v>
      </c>
      <c r="CM172" s="580"/>
      <c r="CN172" s="580"/>
      <c r="CO172" s="580"/>
      <c r="CP172" s="590"/>
      <c r="CQ172" s="667"/>
      <c r="CS172" s="1069">
        <f t="shared" si="123"/>
        <v>0</v>
      </c>
      <c r="CT172" s="1069">
        <f t="shared" si="124"/>
        <v>0</v>
      </c>
      <c r="CU172" s="1066">
        <f t="shared" si="125"/>
        <v>0</v>
      </c>
      <c r="CV172" s="1066">
        <f t="shared" si="126"/>
        <v>0</v>
      </c>
      <c r="CW172" s="1082">
        <f t="shared" si="127"/>
        <v>2.5024999999999999</v>
      </c>
      <c r="CX172" s="1082">
        <f t="shared" si="128"/>
        <v>4.0039999999999996</v>
      </c>
    </row>
    <row r="173" spans="2:102" ht="18" customHeight="1">
      <c r="B173" s="402" t="s">
        <v>32</v>
      </c>
      <c r="C173" s="603"/>
      <c r="D173" s="603"/>
      <c r="E173" s="1052" t="s">
        <v>385</v>
      </c>
      <c r="F173" s="402" t="s">
        <v>386</v>
      </c>
      <c r="G173" s="556">
        <v>93.271642</v>
      </c>
      <c r="H173" s="556">
        <v>20.377523</v>
      </c>
      <c r="I173" s="560" t="s">
        <v>33</v>
      </c>
      <c r="J173" s="560" t="s">
        <v>34</v>
      </c>
      <c r="K173" s="603" t="s">
        <v>1157</v>
      </c>
      <c r="L173" s="428">
        <v>19</v>
      </c>
      <c r="M173" s="428">
        <v>142</v>
      </c>
      <c r="N173" s="570">
        <v>1716</v>
      </c>
      <c r="O173" s="328" t="s">
        <v>984</v>
      </c>
      <c r="P173" s="720" t="str">
        <f t="shared" si="88"/>
        <v>3. Large</v>
      </c>
      <c r="Q173" s="968" t="s">
        <v>139</v>
      </c>
      <c r="R173" s="625" t="s">
        <v>301</v>
      </c>
      <c r="S173" s="620" t="s">
        <v>139</v>
      </c>
      <c r="T173" s="323" t="str">
        <f t="shared" si="89"/>
        <v>Not Covered</v>
      </c>
      <c r="U173" s="561"/>
      <c r="V173" s="618"/>
      <c r="W173" s="558" t="s">
        <v>153</v>
      </c>
      <c r="X173" s="428">
        <v>0</v>
      </c>
      <c r="Y173" s="428">
        <v>0</v>
      </c>
      <c r="Z173" s="570" t="s">
        <v>43</v>
      </c>
      <c r="AA173" s="328">
        <v>0</v>
      </c>
      <c r="AB173" s="428">
        <v>0</v>
      </c>
      <c r="AC173" s="428">
        <v>0</v>
      </c>
      <c r="AD173" s="428">
        <v>17</v>
      </c>
      <c r="AE173" s="570"/>
      <c r="AF173" s="329">
        <v>0</v>
      </c>
      <c r="AG173" s="330">
        <v>8.7995337995337999E-2</v>
      </c>
      <c r="AH173" s="630">
        <f t="shared" si="90"/>
        <v>0</v>
      </c>
      <c r="AI173" s="574">
        <f t="shared" si="91"/>
        <v>0</v>
      </c>
      <c r="AJ173" s="605">
        <f t="shared" si="92"/>
        <v>0</v>
      </c>
      <c r="AK173" s="574">
        <f t="shared" si="93"/>
        <v>0</v>
      </c>
      <c r="AL173" s="605">
        <f t="shared" si="94"/>
        <v>8.7995337995337999E-2</v>
      </c>
      <c r="AM173" s="574">
        <f t="shared" si="95"/>
        <v>151</v>
      </c>
      <c r="AN173" s="605" t="str">
        <f t="shared" si="96"/>
        <v>0-10%</v>
      </c>
      <c r="AO173" s="605">
        <f t="shared" si="97"/>
        <v>0</v>
      </c>
      <c r="AP173" s="574">
        <f t="shared" si="98"/>
        <v>0</v>
      </c>
      <c r="AQ173" s="574" t="str">
        <f t="shared" si="99"/>
        <v>yes</v>
      </c>
      <c r="AR173" s="574">
        <f t="shared" si="100"/>
        <v>6.8639999999999999</v>
      </c>
      <c r="AS173" s="574">
        <f t="shared" si="101"/>
        <v>151</v>
      </c>
      <c r="AT173" s="574">
        <f t="shared" si="102"/>
        <v>0</v>
      </c>
      <c r="AU173" s="589">
        <v>0.09</v>
      </c>
      <c r="AV173" s="635">
        <f t="shared" si="103"/>
        <v>154.44</v>
      </c>
      <c r="AW173" s="636" t="s">
        <v>591</v>
      </c>
      <c r="AX173" s="740">
        <v>0</v>
      </c>
      <c r="AY173" s="428">
        <v>17</v>
      </c>
      <c r="AZ173" s="428">
        <v>6</v>
      </c>
      <c r="BA173" s="473" t="s">
        <v>963</v>
      </c>
      <c r="BB173" s="548">
        <f t="shared" si="104"/>
        <v>5.944055944055944E-2</v>
      </c>
      <c r="BC173" s="606">
        <f t="shared" si="105"/>
        <v>102</v>
      </c>
      <c r="BD173" s="548">
        <f t="shared" si="106"/>
        <v>5.944055944055944E-2</v>
      </c>
      <c r="BE173" s="606">
        <f t="shared" si="107"/>
        <v>102</v>
      </c>
      <c r="BF173" s="549">
        <f t="shared" si="108"/>
        <v>0</v>
      </c>
      <c r="BG173" s="606">
        <f t="shared" si="109"/>
        <v>0</v>
      </c>
      <c r="BH173" s="428" t="s">
        <v>475</v>
      </c>
      <c r="BI173" s="429">
        <v>0.8</v>
      </c>
      <c r="BJ173" s="606">
        <f t="shared" si="130"/>
        <v>1372.8000000000002</v>
      </c>
      <c r="BK173" s="606" t="str">
        <f t="shared" si="110"/>
        <v>n/a</v>
      </c>
      <c r="BL173" s="428">
        <v>0</v>
      </c>
      <c r="BM173" s="548" t="str">
        <f t="shared" si="111"/>
        <v>n/a</v>
      </c>
      <c r="BN173" s="606" t="str">
        <f t="shared" si="112"/>
        <v>n/a</v>
      </c>
      <c r="BO173" s="606" t="str">
        <f t="shared" si="113"/>
        <v>n/a</v>
      </c>
      <c r="BP173" s="578" t="s">
        <v>475</v>
      </c>
      <c r="BQ173" s="606" t="s">
        <v>475</v>
      </c>
      <c r="BR173" s="519" t="s">
        <v>475</v>
      </c>
      <c r="BS173" s="548" t="str">
        <f t="shared" si="114"/>
        <v>n/a</v>
      </c>
      <c r="BT173" s="607" t="str">
        <f t="shared" si="115"/>
        <v>n/a</v>
      </c>
      <c r="BU173" s="651" t="s">
        <v>475</v>
      </c>
      <c r="BV173" s="650" t="str">
        <f t="shared" si="116"/>
        <v>n/a</v>
      </c>
      <c r="BW173" s="325"/>
      <c r="BX173" s="430" t="s">
        <v>475</v>
      </c>
      <c r="BY173" s="1190"/>
      <c r="BZ173" s="1190"/>
      <c r="CA173" s="608" t="str">
        <f t="shared" si="117"/>
        <v>n/a</v>
      </c>
      <c r="CB173" s="428"/>
      <c r="CC173" s="428"/>
      <c r="CD173" s="609" t="str">
        <f t="shared" si="118"/>
        <v>n/a</v>
      </c>
      <c r="CE173" s="610" t="str">
        <f t="shared" si="119"/>
        <v>n/a</v>
      </c>
      <c r="CF173" s="609" t="str">
        <f t="shared" si="120"/>
        <v>n/a</v>
      </c>
      <c r="CG173" s="658" t="str">
        <f t="shared" si="121"/>
        <v>n/a</v>
      </c>
      <c r="CH173" s="328" t="s">
        <v>236</v>
      </c>
      <c r="CI173" s="330"/>
      <c r="CJ173" s="664">
        <f t="shared" si="122"/>
        <v>0</v>
      </c>
      <c r="CK173" s="328"/>
      <c r="CL173" s="611" t="str">
        <f t="shared" si="131"/>
        <v>No coverage</v>
      </c>
      <c r="CM173" s="428"/>
      <c r="CN173" s="428"/>
      <c r="CO173" s="428"/>
      <c r="CP173" s="570"/>
      <c r="CQ173" s="666"/>
      <c r="CS173" s="1069">
        <f t="shared" si="123"/>
        <v>0</v>
      </c>
      <c r="CT173" s="1069">
        <f t="shared" si="124"/>
        <v>0</v>
      </c>
      <c r="CU173" s="1066">
        <f t="shared" si="125"/>
        <v>0</v>
      </c>
      <c r="CV173" s="1066">
        <f t="shared" si="126"/>
        <v>0</v>
      </c>
      <c r="CW173" s="1082">
        <f t="shared" si="127"/>
        <v>4.29</v>
      </c>
      <c r="CX173" s="1082">
        <f t="shared" si="128"/>
        <v>6.8639999999999999</v>
      </c>
    </row>
    <row r="174" spans="2:102" ht="18" customHeight="1">
      <c r="B174" s="402" t="s">
        <v>32</v>
      </c>
      <c r="C174" s="603"/>
      <c r="D174" s="603"/>
      <c r="E174" s="1052" t="s">
        <v>387</v>
      </c>
      <c r="F174" s="402" t="s">
        <v>388</v>
      </c>
      <c r="G174" s="556">
        <v>93.313627999999994</v>
      </c>
      <c r="H174" s="556">
        <v>20.407971</v>
      </c>
      <c r="I174" s="560" t="s">
        <v>33</v>
      </c>
      <c r="J174" s="560" t="s">
        <v>34</v>
      </c>
      <c r="K174" s="603" t="s">
        <v>1157</v>
      </c>
      <c r="L174" s="428">
        <v>225</v>
      </c>
      <c r="M174" s="428">
        <v>1318</v>
      </c>
      <c r="N174" s="570">
        <v>1989</v>
      </c>
      <c r="O174" s="328" t="s">
        <v>984</v>
      </c>
      <c r="P174" s="720" t="str">
        <f t="shared" si="88"/>
        <v>3. Large</v>
      </c>
      <c r="Q174" s="968" t="s">
        <v>139</v>
      </c>
      <c r="R174" s="625" t="s">
        <v>301</v>
      </c>
      <c r="S174" s="620" t="s">
        <v>139</v>
      </c>
      <c r="T174" s="323" t="str">
        <f t="shared" si="89"/>
        <v>Not Covered</v>
      </c>
      <c r="U174" s="561"/>
      <c r="V174" s="618"/>
      <c r="W174" s="558" t="s">
        <v>153</v>
      </c>
      <c r="X174" s="428">
        <v>0</v>
      </c>
      <c r="Y174" s="428">
        <v>0</v>
      </c>
      <c r="Z174" s="570" t="s">
        <v>43</v>
      </c>
      <c r="AA174" s="328">
        <v>0</v>
      </c>
      <c r="AB174" s="428">
        <v>0</v>
      </c>
      <c r="AC174" s="428">
        <v>0</v>
      </c>
      <c r="AD174" s="428">
        <v>7</v>
      </c>
      <c r="AE174" s="570"/>
      <c r="AF174" s="329">
        <v>0</v>
      </c>
      <c r="AG174" s="330">
        <v>0.69029663147310205</v>
      </c>
      <c r="AH174" s="630">
        <f t="shared" si="90"/>
        <v>0</v>
      </c>
      <c r="AI174" s="574">
        <f t="shared" si="91"/>
        <v>0</v>
      </c>
      <c r="AJ174" s="605">
        <f t="shared" si="92"/>
        <v>0</v>
      </c>
      <c r="AK174" s="574">
        <f t="shared" si="93"/>
        <v>0</v>
      </c>
      <c r="AL174" s="605">
        <f t="shared" si="94"/>
        <v>0.69029663147310205</v>
      </c>
      <c r="AM174" s="574">
        <f t="shared" si="95"/>
        <v>1373</v>
      </c>
      <c r="AN174" s="605" t="str">
        <f t="shared" si="96"/>
        <v>0-10%</v>
      </c>
      <c r="AO174" s="605">
        <f t="shared" si="97"/>
        <v>0</v>
      </c>
      <c r="AP174" s="574">
        <f t="shared" si="98"/>
        <v>0</v>
      </c>
      <c r="AQ174" s="574" t="str">
        <f t="shared" si="99"/>
        <v>yes</v>
      </c>
      <c r="AR174" s="574">
        <f t="shared" si="100"/>
        <v>7.9560000000000004</v>
      </c>
      <c r="AS174" s="574">
        <f t="shared" si="101"/>
        <v>1373</v>
      </c>
      <c r="AT174" s="574">
        <f t="shared" si="102"/>
        <v>0</v>
      </c>
      <c r="AU174" s="589">
        <v>1</v>
      </c>
      <c r="AV174" s="635">
        <f t="shared" si="103"/>
        <v>1989</v>
      </c>
      <c r="AW174" s="636" t="s">
        <v>592</v>
      </c>
      <c r="AX174" s="740">
        <v>0</v>
      </c>
      <c r="AY174" s="428">
        <v>37</v>
      </c>
      <c r="AZ174" s="428">
        <v>6</v>
      </c>
      <c r="BA174" s="473" t="s">
        <v>963</v>
      </c>
      <c r="BB174" s="548">
        <f t="shared" si="104"/>
        <v>0.11161387631975868</v>
      </c>
      <c r="BC174" s="606">
        <f t="shared" si="105"/>
        <v>222</v>
      </c>
      <c r="BD174" s="548">
        <f t="shared" si="106"/>
        <v>0.11161387631975868</v>
      </c>
      <c r="BE174" s="606">
        <f t="shared" si="107"/>
        <v>222</v>
      </c>
      <c r="BF174" s="549">
        <f t="shared" si="108"/>
        <v>0</v>
      </c>
      <c r="BG174" s="606">
        <f t="shared" si="109"/>
        <v>0</v>
      </c>
      <c r="BH174" s="428" t="s">
        <v>475</v>
      </c>
      <c r="BI174" s="429">
        <v>1</v>
      </c>
      <c r="BJ174" s="606">
        <f t="shared" si="130"/>
        <v>1989</v>
      </c>
      <c r="BK174" s="606" t="str">
        <f t="shared" si="110"/>
        <v>n/a</v>
      </c>
      <c r="BL174" s="428">
        <v>4</v>
      </c>
      <c r="BM174" s="548" t="str">
        <f t="shared" si="111"/>
        <v>n/a</v>
      </c>
      <c r="BN174" s="606" t="str">
        <f t="shared" si="112"/>
        <v>n/a</v>
      </c>
      <c r="BO174" s="606" t="str">
        <f t="shared" si="113"/>
        <v>n/a</v>
      </c>
      <c r="BP174" s="578" t="s">
        <v>475</v>
      </c>
      <c r="BQ174" s="606" t="s">
        <v>475</v>
      </c>
      <c r="BR174" s="519" t="s">
        <v>475</v>
      </c>
      <c r="BS174" s="548" t="str">
        <f t="shared" si="114"/>
        <v>n/a</v>
      </c>
      <c r="BT174" s="607" t="str">
        <f t="shared" si="115"/>
        <v>n/a</v>
      </c>
      <c r="BU174" s="651" t="s">
        <v>475</v>
      </c>
      <c r="BV174" s="650" t="str">
        <f t="shared" si="116"/>
        <v>n/a</v>
      </c>
      <c r="BW174" s="325" t="s">
        <v>412</v>
      </c>
      <c r="BX174" s="430" t="s">
        <v>475</v>
      </c>
      <c r="BY174" s="1190"/>
      <c r="BZ174" s="1190"/>
      <c r="CA174" s="608" t="str">
        <f t="shared" si="117"/>
        <v>n/a</v>
      </c>
      <c r="CB174" s="428"/>
      <c r="CC174" s="428"/>
      <c r="CD174" s="609" t="str">
        <f t="shared" si="118"/>
        <v>n/a</v>
      </c>
      <c r="CE174" s="610" t="str">
        <f t="shared" si="119"/>
        <v>n/a</v>
      </c>
      <c r="CF174" s="609" t="str">
        <f t="shared" si="120"/>
        <v>n/a</v>
      </c>
      <c r="CG174" s="658" t="str">
        <f t="shared" si="121"/>
        <v>n/a</v>
      </c>
      <c r="CH174" s="328" t="s">
        <v>236</v>
      </c>
      <c r="CI174" s="330"/>
      <c r="CJ174" s="664">
        <f t="shared" si="122"/>
        <v>0</v>
      </c>
      <c r="CK174" s="328"/>
      <c r="CL174" s="611" t="str">
        <f t="shared" si="131"/>
        <v>No coverage</v>
      </c>
      <c r="CM174" s="428"/>
      <c r="CN174" s="428"/>
      <c r="CO174" s="428"/>
      <c r="CP174" s="570"/>
      <c r="CQ174" s="666"/>
      <c r="CS174" s="1069">
        <f t="shared" si="123"/>
        <v>0</v>
      </c>
      <c r="CT174" s="1069">
        <f t="shared" si="124"/>
        <v>0</v>
      </c>
      <c r="CU174" s="1066">
        <f t="shared" si="125"/>
        <v>0</v>
      </c>
      <c r="CV174" s="1066">
        <f t="shared" si="126"/>
        <v>0</v>
      </c>
      <c r="CW174" s="1082">
        <f t="shared" si="127"/>
        <v>4.9725000000000001</v>
      </c>
      <c r="CX174" s="1082">
        <f t="shared" si="128"/>
        <v>7.9560000000000004</v>
      </c>
    </row>
    <row r="175" spans="2:102" ht="18" customHeight="1">
      <c r="B175" s="402" t="s">
        <v>32</v>
      </c>
      <c r="C175" s="603"/>
      <c r="D175" s="603"/>
      <c r="E175" s="1052" t="s">
        <v>390</v>
      </c>
      <c r="F175" s="402" t="s">
        <v>391</v>
      </c>
      <c r="G175" s="556">
        <v>93.314695</v>
      </c>
      <c r="H175" s="556">
        <v>20.409645000000001</v>
      </c>
      <c r="I175" s="560" t="s">
        <v>44</v>
      </c>
      <c r="J175" s="560" t="s">
        <v>45</v>
      </c>
      <c r="K175" s="604" t="s">
        <v>1157</v>
      </c>
      <c r="L175" s="428">
        <v>18</v>
      </c>
      <c r="M175" s="428">
        <v>72</v>
      </c>
      <c r="N175" s="570">
        <v>72</v>
      </c>
      <c r="O175" s="328" t="s">
        <v>984</v>
      </c>
      <c r="P175" s="720" t="str">
        <f t="shared" si="88"/>
        <v>1. Small</v>
      </c>
      <c r="Q175" s="968" t="s">
        <v>139</v>
      </c>
      <c r="R175" s="625" t="s">
        <v>301</v>
      </c>
      <c r="S175" s="620" t="s">
        <v>139</v>
      </c>
      <c r="T175" s="323" t="str">
        <f t="shared" si="89"/>
        <v>Not Covered</v>
      </c>
      <c r="U175" s="561"/>
      <c r="V175" s="618"/>
      <c r="W175" s="558" t="s">
        <v>153</v>
      </c>
      <c r="X175" s="428">
        <v>0</v>
      </c>
      <c r="Y175" s="428">
        <v>0</v>
      </c>
      <c r="Z175" s="570" t="s">
        <v>43</v>
      </c>
      <c r="AA175" s="328">
        <v>0</v>
      </c>
      <c r="AB175" s="428">
        <v>0</v>
      </c>
      <c r="AC175" s="428">
        <v>0</v>
      </c>
      <c r="AD175" s="428">
        <v>3</v>
      </c>
      <c r="AE175" s="570"/>
      <c r="AF175" s="329">
        <v>0</v>
      </c>
      <c r="AG175" s="330">
        <v>1</v>
      </c>
      <c r="AH175" s="630">
        <f t="shared" si="90"/>
        <v>0</v>
      </c>
      <c r="AI175" s="574">
        <f t="shared" si="91"/>
        <v>0</v>
      </c>
      <c r="AJ175" s="605">
        <f t="shared" si="92"/>
        <v>0</v>
      </c>
      <c r="AK175" s="574">
        <f t="shared" si="93"/>
        <v>0</v>
      </c>
      <c r="AL175" s="605">
        <f t="shared" si="94"/>
        <v>1</v>
      </c>
      <c r="AM175" s="574">
        <f t="shared" si="95"/>
        <v>72</v>
      </c>
      <c r="AN175" s="605" t="str">
        <f t="shared" si="96"/>
        <v>0-10%</v>
      </c>
      <c r="AO175" s="605">
        <f t="shared" si="97"/>
        <v>0</v>
      </c>
      <c r="AP175" s="574">
        <f t="shared" si="98"/>
        <v>0</v>
      </c>
      <c r="AQ175" s="574" t="str">
        <f t="shared" si="99"/>
        <v>yes</v>
      </c>
      <c r="AR175" s="574">
        <f t="shared" si="100"/>
        <v>0.18</v>
      </c>
      <c r="AS175" s="574">
        <f t="shared" si="101"/>
        <v>72</v>
      </c>
      <c r="AT175" s="574">
        <f t="shared" si="102"/>
        <v>0</v>
      </c>
      <c r="AU175" s="589">
        <v>1</v>
      </c>
      <c r="AV175" s="635">
        <f t="shared" si="103"/>
        <v>72</v>
      </c>
      <c r="AW175" s="636"/>
      <c r="AX175" s="740">
        <v>0</v>
      </c>
      <c r="AY175" s="428">
        <v>6</v>
      </c>
      <c r="AZ175" s="428">
        <v>20</v>
      </c>
      <c r="BA175" s="473" t="s">
        <v>973</v>
      </c>
      <c r="BB175" s="548">
        <f t="shared" si="104"/>
        <v>1</v>
      </c>
      <c r="BC175" s="606">
        <f t="shared" si="105"/>
        <v>72</v>
      </c>
      <c r="BD175" s="548">
        <f t="shared" si="106"/>
        <v>1</v>
      </c>
      <c r="BE175" s="606">
        <f t="shared" si="107"/>
        <v>72</v>
      </c>
      <c r="BF175" s="549">
        <f t="shared" si="108"/>
        <v>0</v>
      </c>
      <c r="BG175" s="606">
        <f t="shared" si="109"/>
        <v>0</v>
      </c>
      <c r="BH175" s="428" t="s">
        <v>491</v>
      </c>
      <c r="BI175" s="429">
        <v>1</v>
      </c>
      <c r="BJ175" s="606">
        <f t="shared" si="130"/>
        <v>72</v>
      </c>
      <c r="BK175" s="606">
        <f t="shared" si="110"/>
        <v>0</v>
      </c>
      <c r="BL175" s="428">
        <v>2</v>
      </c>
      <c r="BM175" s="548">
        <f t="shared" si="111"/>
        <v>0.15555555555555556</v>
      </c>
      <c r="BN175" s="606">
        <f t="shared" si="112"/>
        <v>11.2</v>
      </c>
      <c r="BO175" s="606">
        <f t="shared" si="113"/>
        <v>10.857142857142858</v>
      </c>
      <c r="BP175" s="578">
        <v>1</v>
      </c>
      <c r="BQ175" s="606">
        <v>73</v>
      </c>
      <c r="BR175" s="519">
        <v>0</v>
      </c>
      <c r="BS175" s="548">
        <f t="shared" si="114"/>
        <v>0</v>
      </c>
      <c r="BT175" s="607">
        <f t="shared" si="115"/>
        <v>0.72</v>
      </c>
      <c r="BU175" s="651">
        <v>0</v>
      </c>
      <c r="BV175" s="650">
        <f t="shared" si="116"/>
        <v>0</v>
      </c>
      <c r="BW175" s="325"/>
      <c r="BX175" s="430"/>
      <c r="BY175" s="1190"/>
      <c r="BZ175" s="1190"/>
      <c r="CA175" s="608" t="str">
        <f t="shared" si="117"/>
        <v>To be done</v>
      </c>
      <c r="CB175" s="428"/>
      <c r="CC175" s="428"/>
      <c r="CD175" s="609">
        <f t="shared" si="118"/>
        <v>18</v>
      </c>
      <c r="CE175" s="610">
        <f t="shared" si="119"/>
        <v>0</v>
      </c>
      <c r="CF175" s="609">
        <f t="shared" si="120"/>
        <v>0</v>
      </c>
      <c r="CG175" s="658">
        <f t="shared" si="121"/>
        <v>0</v>
      </c>
      <c r="CH175" s="328" t="s">
        <v>236</v>
      </c>
      <c r="CI175" s="330"/>
      <c r="CJ175" s="664">
        <f t="shared" si="122"/>
        <v>0</v>
      </c>
      <c r="CK175" s="328"/>
      <c r="CL175" s="611" t="str">
        <f t="shared" si="131"/>
        <v>No coverage</v>
      </c>
      <c r="CM175" s="428"/>
      <c r="CN175" s="428"/>
      <c r="CO175" s="428"/>
      <c r="CP175" s="570"/>
      <c r="CQ175" s="666"/>
      <c r="CS175" s="1069">
        <f t="shared" si="123"/>
        <v>0</v>
      </c>
      <c r="CT175" s="1069">
        <f t="shared" si="124"/>
        <v>0</v>
      </c>
      <c r="CU175" s="1066">
        <f t="shared" si="125"/>
        <v>0</v>
      </c>
      <c r="CV175" s="1066">
        <f t="shared" si="126"/>
        <v>0</v>
      </c>
      <c r="CW175" s="1082">
        <f t="shared" si="127"/>
        <v>0.18</v>
      </c>
      <c r="CX175" s="1082">
        <f t="shared" si="128"/>
        <v>0.28799999999999998</v>
      </c>
    </row>
    <row r="176" spans="2:102" ht="18" customHeight="1">
      <c r="B176" s="402" t="s">
        <v>32</v>
      </c>
      <c r="C176" s="603"/>
      <c r="D176" s="603"/>
      <c r="E176" s="1052" t="s">
        <v>393</v>
      </c>
      <c r="F176" s="402" t="s">
        <v>394</v>
      </c>
      <c r="G176" s="556">
        <v>93.258573999999996</v>
      </c>
      <c r="H176" s="556">
        <v>20.587142</v>
      </c>
      <c r="I176" s="560" t="s">
        <v>33</v>
      </c>
      <c r="J176" s="560" t="s">
        <v>34</v>
      </c>
      <c r="K176" s="603" t="s">
        <v>1157</v>
      </c>
      <c r="L176" s="428">
        <v>275</v>
      </c>
      <c r="M176" s="428">
        <v>1637</v>
      </c>
      <c r="N176" s="570">
        <v>1637</v>
      </c>
      <c r="O176" s="328" t="s">
        <v>985</v>
      </c>
      <c r="P176" s="720" t="str">
        <f t="shared" si="88"/>
        <v>3. Large</v>
      </c>
      <c r="Q176" s="968" t="s">
        <v>139</v>
      </c>
      <c r="R176" s="625" t="s">
        <v>301</v>
      </c>
      <c r="S176" s="620" t="s">
        <v>139</v>
      </c>
      <c r="T176" s="323" t="str">
        <f t="shared" si="89"/>
        <v>Not Covered</v>
      </c>
      <c r="U176" s="561"/>
      <c r="V176" s="618"/>
      <c r="W176" s="558" t="s">
        <v>154</v>
      </c>
      <c r="X176" s="428">
        <v>0</v>
      </c>
      <c r="Y176" s="428">
        <v>0</v>
      </c>
      <c r="Z176" s="570" t="s">
        <v>43</v>
      </c>
      <c r="AA176" s="328">
        <v>2</v>
      </c>
      <c r="AB176" s="428">
        <v>1</v>
      </c>
      <c r="AC176" s="428">
        <v>0</v>
      </c>
      <c r="AD176" s="428">
        <v>2</v>
      </c>
      <c r="AE176" s="570"/>
      <c r="AF176" s="329">
        <v>0</v>
      </c>
      <c r="AG176" s="330">
        <v>1</v>
      </c>
      <c r="AH176" s="630">
        <f t="shared" si="90"/>
        <v>0.45815516188149052</v>
      </c>
      <c r="AI176" s="574">
        <f t="shared" si="91"/>
        <v>750</v>
      </c>
      <c r="AJ176" s="605">
        <f t="shared" si="92"/>
        <v>0.45815516188149052</v>
      </c>
      <c r="AK176" s="574">
        <f t="shared" si="93"/>
        <v>750</v>
      </c>
      <c r="AL176" s="605">
        <f t="shared" si="94"/>
        <v>1</v>
      </c>
      <c r="AM176" s="574">
        <f t="shared" si="95"/>
        <v>1637</v>
      </c>
      <c r="AN176" s="605" t="str">
        <f t="shared" si="96"/>
        <v>45-60%</v>
      </c>
      <c r="AO176" s="605">
        <f t="shared" si="97"/>
        <v>0</v>
      </c>
      <c r="AP176" s="574">
        <f t="shared" si="98"/>
        <v>0</v>
      </c>
      <c r="AQ176" s="574" t="str">
        <f t="shared" si="99"/>
        <v>yes</v>
      </c>
      <c r="AR176" s="574">
        <f t="shared" si="100"/>
        <v>3.548</v>
      </c>
      <c r="AS176" s="574">
        <f t="shared" si="101"/>
        <v>1637</v>
      </c>
      <c r="AT176" s="574">
        <f t="shared" si="102"/>
        <v>0</v>
      </c>
      <c r="AU176" s="589">
        <v>1</v>
      </c>
      <c r="AV176" s="635">
        <f t="shared" si="103"/>
        <v>1637</v>
      </c>
      <c r="AW176" s="636"/>
      <c r="AX176" s="740">
        <v>10</v>
      </c>
      <c r="AY176" s="428">
        <v>41</v>
      </c>
      <c r="AZ176" s="428">
        <v>6</v>
      </c>
      <c r="BA176" s="473" t="s">
        <v>965</v>
      </c>
      <c r="BB176" s="548">
        <f t="shared" si="104"/>
        <v>0.15027489309712888</v>
      </c>
      <c r="BC176" s="606">
        <f t="shared" si="105"/>
        <v>245.99999999999997</v>
      </c>
      <c r="BD176" s="548">
        <f t="shared" si="106"/>
        <v>0.15027489309712888</v>
      </c>
      <c r="BE176" s="606">
        <f t="shared" si="107"/>
        <v>245.99999999999997</v>
      </c>
      <c r="BF176" s="549">
        <f t="shared" si="108"/>
        <v>0</v>
      </c>
      <c r="BG176" s="606">
        <f t="shared" si="109"/>
        <v>0</v>
      </c>
      <c r="BH176" s="428" t="s">
        <v>475</v>
      </c>
      <c r="BI176" s="429">
        <v>1</v>
      </c>
      <c r="BJ176" s="606">
        <f t="shared" si="130"/>
        <v>1637</v>
      </c>
      <c r="BK176" s="606" t="str">
        <f t="shared" si="110"/>
        <v>n/a</v>
      </c>
      <c r="BL176" s="428">
        <v>2</v>
      </c>
      <c r="BM176" s="548" t="str">
        <f t="shared" si="111"/>
        <v>n/a</v>
      </c>
      <c r="BN176" s="606" t="str">
        <f t="shared" si="112"/>
        <v>n/a</v>
      </c>
      <c r="BO176" s="606" t="str">
        <f t="shared" si="113"/>
        <v>n/a</v>
      </c>
      <c r="BP176" s="578" t="s">
        <v>475</v>
      </c>
      <c r="BQ176" s="606" t="s">
        <v>475</v>
      </c>
      <c r="BR176" s="519" t="s">
        <v>475</v>
      </c>
      <c r="BS176" s="548" t="str">
        <f t="shared" si="114"/>
        <v>n/a</v>
      </c>
      <c r="BT176" s="607" t="str">
        <f t="shared" si="115"/>
        <v>n/a</v>
      </c>
      <c r="BU176" s="651" t="s">
        <v>475</v>
      </c>
      <c r="BV176" s="650" t="str">
        <f t="shared" si="116"/>
        <v>n/a</v>
      </c>
      <c r="BW176" s="325"/>
      <c r="BX176" s="430" t="s">
        <v>475</v>
      </c>
      <c r="BY176" s="1190"/>
      <c r="BZ176" s="1190"/>
      <c r="CA176" s="608" t="str">
        <f t="shared" si="117"/>
        <v>n/a</v>
      </c>
      <c r="CB176" s="428"/>
      <c r="CC176" s="428"/>
      <c r="CD176" s="609" t="str">
        <f t="shared" si="118"/>
        <v>n/a</v>
      </c>
      <c r="CE176" s="610" t="str">
        <f t="shared" si="119"/>
        <v>n/a</v>
      </c>
      <c r="CF176" s="609" t="str">
        <f t="shared" si="120"/>
        <v>n/a</v>
      </c>
      <c r="CG176" s="658" t="str">
        <f t="shared" si="121"/>
        <v>n/a</v>
      </c>
      <c r="CH176" s="328" t="s">
        <v>414</v>
      </c>
      <c r="CI176" s="330"/>
      <c r="CJ176" s="664">
        <f t="shared" si="122"/>
        <v>0</v>
      </c>
      <c r="CK176" s="328"/>
      <c r="CL176" s="611" t="str">
        <f t="shared" si="131"/>
        <v>No coverage</v>
      </c>
      <c r="CM176" s="428"/>
      <c r="CN176" s="428"/>
      <c r="CO176" s="428"/>
      <c r="CP176" s="570"/>
      <c r="CQ176" s="666"/>
      <c r="CS176" s="1069">
        <f t="shared" si="123"/>
        <v>0.79413561392791687</v>
      </c>
      <c r="CT176" s="1069">
        <f t="shared" si="124"/>
        <v>0.45815516188149052</v>
      </c>
      <c r="CU176" s="1066">
        <f t="shared" si="125"/>
        <v>0.79413561392791687</v>
      </c>
      <c r="CV176" s="1066">
        <f t="shared" si="126"/>
        <v>0.45815516188149052</v>
      </c>
      <c r="CW176" s="1082">
        <f t="shared" si="127"/>
        <v>1.0925000000000002</v>
      </c>
      <c r="CX176" s="1082">
        <f t="shared" si="128"/>
        <v>3.548</v>
      </c>
    </row>
    <row r="177" spans="2:102" ht="18" customHeight="1">
      <c r="B177" s="402" t="s">
        <v>46</v>
      </c>
      <c r="C177" s="603"/>
      <c r="D177" s="603"/>
      <c r="E177" s="1052" t="s">
        <v>395</v>
      </c>
      <c r="F177" s="402" t="s">
        <v>396</v>
      </c>
      <c r="G177" s="556">
        <v>93.245551000000006</v>
      </c>
      <c r="H177" s="556">
        <v>20.576577</v>
      </c>
      <c r="I177" s="560" t="s">
        <v>33</v>
      </c>
      <c r="J177" s="560" t="s">
        <v>34</v>
      </c>
      <c r="K177" s="603" t="s">
        <v>1157</v>
      </c>
      <c r="L177" s="428">
        <v>204</v>
      </c>
      <c r="M177" s="428">
        <v>1127</v>
      </c>
      <c r="N177" s="570">
        <v>3489</v>
      </c>
      <c r="O177" s="328" t="s">
        <v>984</v>
      </c>
      <c r="P177" s="720" t="str">
        <f t="shared" si="88"/>
        <v>3. Large</v>
      </c>
      <c r="Q177" s="968" t="s">
        <v>139</v>
      </c>
      <c r="R177" s="625" t="s">
        <v>301</v>
      </c>
      <c r="S177" s="620" t="s">
        <v>139</v>
      </c>
      <c r="T177" s="323" t="str">
        <f t="shared" si="89"/>
        <v>Not Covered</v>
      </c>
      <c r="U177" s="561"/>
      <c r="V177" s="618"/>
      <c r="W177" s="558" t="s">
        <v>154</v>
      </c>
      <c r="X177" s="428">
        <v>0</v>
      </c>
      <c r="Y177" s="428">
        <v>0</v>
      </c>
      <c r="Z177" s="570" t="s">
        <v>43</v>
      </c>
      <c r="AA177" s="328">
        <v>0</v>
      </c>
      <c r="AB177" s="428">
        <v>0</v>
      </c>
      <c r="AC177" s="428">
        <v>0</v>
      </c>
      <c r="AD177" s="428">
        <v>9</v>
      </c>
      <c r="AE177" s="570"/>
      <c r="AF177" s="329">
        <v>0</v>
      </c>
      <c r="AG177" s="330">
        <v>0.35798222986529094</v>
      </c>
      <c r="AH177" s="630">
        <f t="shared" si="90"/>
        <v>0</v>
      </c>
      <c r="AI177" s="574">
        <f t="shared" si="91"/>
        <v>0</v>
      </c>
      <c r="AJ177" s="605">
        <f t="shared" si="92"/>
        <v>0</v>
      </c>
      <c r="AK177" s="574">
        <f t="shared" si="93"/>
        <v>0</v>
      </c>
      <c r="AL177" s="605">
        <f t="shared" si="94"/>
        <v>0.35798222986529094</v>
      </c>
      <c r="AM177" s="574">
        <f t="shared" si="95"/>
        <v>1249</v>
      </c>
      <c r="AN177" s="605" t="str">
        <f t="shared" si="96"/>
        <v>0-10%</v>
      </c>
      <c r="AO177" s="605">
        <f t="shared" si="97"/>
        <v>0</v>
      </c>
      <c r="AP177" s="574">
        <f t="shared" si="98"/>
        <v>0</v>
      </c>
      <c r="AQ177" s="574" t="str">
        <f t="shared" si="99"/>
        <v>yes</v>
      </c>
      <c r="AR177" s="574">
        <f t="shared" si="100"/>
        <v>13.956</v>
      </c>
      <c r="AS177" s="574">
        <f t="shared" si="101"/>
        <v>1249</v>
      </c>
      <c r="AT177" s="574">
        <f t="shared" si="102"/>
        <v>0</v>
      </c>
      <c r="AU177" s="589">
        <v>1</v>
      </c>
      <c r="AV177" s="635">
        <f t="shared" si="103"/>
        <v>3489</v>
      </c>
      <c r="AW177" s="636" t="s">
        <v>593</v>
      </c>
      <c r="AX177" s="740">
        <v>0</v>
      </c>
      <c r="AY177" s="428">
        <v>30</v>
      </c>
      <c r="AZ177" s="428">
        <v>6</v>
      </c>
      <c r="BA177" s="473" t="s">
        <v>963</v>
      </c>
      <c r="BB177" s="548">
        <f t="shared" si="104"/>
        <v>5.1590713671539126E-2</v>
      </c>
      <c r="BC177" s="606">
        <f t="shared" si="105"/>
        <v>180</v>
      </c>
      <c r="BD177" s="548">
        <f t="shared" si="106"/>
        <v>5.1590713671539126E-2</v>
      </c>
      <c r="BE177" s="606">
        <f t="shared" si="107"/>
        <v>180</v>
      </c>
      <c r="BF177" s="549">
        <f t="shared" si="108"/>
        <v>0</v>
      </c>
      <c r="BG177" s="606">
        <f t="shared" si="109"/>
        <v>0</v>
      </c>
      <c r="BH177" s="428" t="s">
        <v>475</v>
      </c>
      <c r="BI177" s="429">
        <v>1</v>
      </c>
      <c r="BJ177" s="606">
        <f t="shared" si="130"/>
        <v>3489</v>
      </c>
      <c r="BK177" s="606" t="str">
        <f t="shared" si="110"/>
        <v>n/a</v>
      </c>
      <c r="BL177" s="428">
        <v>0</v>
      </c>
      <c r="BM177" s="548" t="str">
        <f t="shared" si="111"/>
        <v>n/a</v>
      </c>
      <c r="BN177" s="606" t="str">
        <f t="shared" si="112"/>
        <v>n/a</v>
      </c>
      <c r="BO177" s="606" t="str">
        <f t="shared" si="113"/>
        <v>n/a</v>
      </c>
      <c r="BP177" s="578" t="s">
        <v>475</v>
      </c>
      <c r="BQ177" s="606" t="s">
        <v>475</v>
      </c>
      <c r="BR177" s="519" t="s">
        <v>475</v>
      </c>
      <c r="BS177" s="548" t="str">
        <f t="shared" si="114"/>
        <v>n/a</v>
      </c>
      <c r="BT177" s="607" t="str">
        <f t="shared" si="115"/>
        <v>n/a</v>
      </c>
      <c r="BU177" s="651" t="s">
        <v>475</v>
      </c>
      <c r="BV177" s="650" t="str">
        <f t="shared" si="116"/>
        <v>n/a</v>
      </c>
      <c r="BW177" s="325"/>
      <c r="BX177" s="430" t="s">
        <v>475</v>
      </c>
      <c r="BY177" s="1190"/>
      <c r="BZ177" s="1190"/>
      <c r="CA177" s="608" t="str">
        <f t="shared" si="117"/>
        <v>n/a</v>
      </c>
      <c r="CB177" s="428"/>
      <c r="CC177" s="428"/>
      <c r="CD177" s="609" t="str">
        <f t="shared" si="118"/>
        <v>n/a</v>
      </c>
      <c r="CE177" s="610" t="str">
        <f t="shared" si="119"/>
        <v>n/a</v>
      </c>
      <c r="CF177" s="609" t="str">
        <f t="shared" si="120"/>
        <v>n/a</v>
      </c>
      <c r="CG177" s="658" t="str">
        <f t="shared" si="121"/>
        <v>n/a</v>
      </c>
      <c r="CH177" s="328"/>
      <c r="CI177" s="330"/>
      <c r="CJ177" s="664">
        <f t="shared" si="122"/>
        <v>0</v>
      </c>
      <c r="CK177" s="328"/>
      <c r="CL177" s="611" t="str">
        <f t="shared" si="131"/>
        <v>No coverage</v>
      </c>
      <c r="CM177" s="428"/>
      <c r="CN177" s="428"/>
      <c r="CO177" s="428"/>
      <c r="CP177" s="570"/>
      <c r="CQ177" s="666"/>
      <c r="CS177" s="1069">
        <f t="shared" si="123"/>
        <v>0</v>
      </c>
      <c r="CT177" s="1069">
        <f t="shared" si="124"/>
        <v>0</v>
      </c>
      <c r="CU177" s="1066">
        <f t="shared" si="125"/>
        <v>0</v>
      </c>
      <c r="CV177" s="1066">
        <f t="shared" si="126"/>
        <v>0</v>
      </c>
      <c r="CW177" s="1082">
        <f t="shared" si="127"/>
        <v>8.7225000000000001</v>
      </c>
      <c r="CX177" s="1082">
        <f t="shared" si="128"/>
        <v>13.956</v>
      </c>
    </row>
    <row r="178" spans="2:102" ht="18" customHeight="1">
      <c r="B178" s="402" t="s">
        <v>46</v>
      </c>
      <c r="C178" s="603"/>
      <c r="D178" s="603"/>
      <c r="E178" s="1053">
        <v>196429</v>
      </c>
      <c r="F178" s="402" t="s">
        <v>716</v>
      </c>
      <c r="G178" s="556">
        <v>93.246099999999998</v>
      </c>
      <c r="H178" s="556">
        <v>20.581499999999998</v>
      </c>
      <c r="I178" s="560" t="s">
        <v>33</v>
      </c>
      <c r="J178" s="560" t="s">
        <v>45</v>
      </c>
      <c r="K178" s="604" t="s">
        <v>508</v>
      </c>
      <c r="L178" s="428">
        <v>0</v>
      </c>
      <c r="M178" s="428">
        <v>0</v>
      </c>
      <c r="N178" s="570">
        <v>308</v>
      </c>
      <c r="O178" s="328" t="s">
        <v>984</v>
      </c>
      <c r="P178" s="720" t="str">
        <f t="shared" si="88"/>
        <v>1. Small</v>
      </c>
      <c r="Q178" s="968" t="s">
        <v>139</v>
      </c>
      <c r="R178" s="625"/>
      <c r="S178" s="620" t="s">
        <v>139</v>
      </c>
      <c r="T178" s="323" t="str">
        <f t="shared" si="89"/>
        <v>Not Covered</v>
      </c>
      <c r="U178" s="561"/>
      <c r="V178" s="618"/>
      <c r="W178" s="558" t="s">
        <v>154</v>
      </c>
      <c r="X178" s="428">
        <v>0</v>
      </c>
      <c r="Y178" s="428">
        <v>0</v>
      </c>
      <c r="Z178" s="570" t="s">
        <v>43</v>
      </c>
      <c r="AA178" s="328">
        <v>1</v>
      </c>
      <c r="AB178" s="428">
        <v>0</v>
      </c>
      <c r="AC178" s="428">
        <v>0</v>
      </c>
      <c r="AD178" s="428">
        <v>1</v>
      </c>
      <c r="AE178" s="570"/>
      <c r="AF178" s="329">
        <v>0</v>
      </c>
      <c r="AG178" s="330">
        <v>1</v>
      </c>
      <c r="AH178" s="630">
        <f t="shared" si="90"/>
        <v>0.81168831168831168</v>
      </c>
      <c r="AI178" s="574">
        <f t="shared" si="91"/>
        <v>250</v>
      </c>
      <c r="AJ178" s="605">
        <f t="shared" si="92"/>
        <v>0.81168831168831168</v>
      </c>
      <c r="AK178" s="574">
        <f t="shared" si="93"/>
        <v>250</v>
      </c>
      <c r="AL178" s="605">
        <f t="shared" si="94"/>
        <v>1</v>
      </c>
      <c r="AM178" s="574">
        <f t="shared" si="95"/>
        <v>308</v>
      </c>
      <c r="AN178" s="605" t="str">
        <f t="shared" si="96"/>
        <v>80-100%</v>
      </c>
      <c r="AO178" s="605">
        <f t="shared" si="97"/>
        <v>0</v>
      </c>
      <c r="AP178" s="574">
        <f t="shared" si="98"/>
        <v>0</v>
      </c>
      <c r="AQ178" s="574" t="str">
        <f t="shared" si="99"/>
        <v>yes</v>
      </c>
      <c r="AR178" s="574">
        <f t="shared" si="100"/>
        <v>0.23199999999999998</v>
      </c>
      <c r="AS178" s="574">
        <f t="shared" si="101"/>
        <v>308</v>
      </c>
      <c r="AT178" s="574">
        <f t="shared" si="102"/>
        <v>0</v>
      </c>
      <c r="AU178" s="589">
        <v>1</v>
      </c>
      <c r="AV178" s="635">
        <f t="shared" si="103"/>
        <v>308</v>
      </c>
      <c r="AW178" s="636"/>
      <c r="AX178" s="740">
        <v>0</v>
      </c>
      <c r="AY178" s="428">
        <v>4</v>
      </c>
      <c r="AZ178" s="428">
        <v>6</v>
      </c>
      <c r="BA178" s="473" t="s">
        <v>963</v>
      </c>
      <c r="BB178" s="548">
        <f t="shared" si="104"/>
        <v>7.792207792207792E-2</v>
      </c>
      <c r="BC178" s="606">
        <f t="shared" si="105"/>
        <v>24</v>
      </c>
      <c r="BD178" s="548">
        <f t="shared" si="106"/>
        <v>7.792207792207792E-2</v>
      </c>
      <c r="BE178" s="606">
        <f t="shared" si="107"/>
        <v>24</v>
      </c>
      <c r="BF178" s="549">
        <f t="shared" si="108"/>
        <v>0</v>
      </c>
      <c r="BG178" s="606">
        <f t="shared" si="109"/>
        <v>0</v>
      </c>
      <c r="BH178" s="428" t="s">
        <v>475</v>
      </c>
      <c r="BI178" s="429">
        <v>0.9</v>
      </c>
      <c r="BJ178" s="606">
        <f t="shared" si="130"/>
        <v>277.2</v>
      </c>
      <c r="BK178" s="606" t="str">
        <f t="shared" si="110"/>
        <v>n/a</v>
      </c>
      <c r="BL178" s="428">
        <v>0</v>
      </c>
      <c r="BM178" s="548" t="str">
        <f t="shared" si="111"/>
        <v>n/a</v>
      </c>
      <c r="BN178" s="606" t="str">
        <f t="shared" si="112"/>
        <v>n/a</v>
      </c>
      <c r="BO178" s="606" t="str">
        <f t="shared" si="113"/>
        <v>n/a</v>
      </c>
      <c r="BP178" s="578" t="s">
        <v>475</v>
      </c>
      <c r="BQ178" s="606" t="s">
        <v>475</v>
      </c>
      <c r="BR178" s="519" t="s">
        <v>475</v>
      </c>
      <c r="BS178" s="548" t="str">
        <f t="shared" si="114"/>
        <v>n/a</v>
      </c>
      <c r="BT178" s="607" t="str">
        <f t="shared" si="115"/>
        <v>n/a</v>
      </c>
      <c r="BU178" s="651" t="s">
        <v>475</v>
      </c>
      <c r="BV178" s="650" t="str">
        <f t="shared" si="116"/>
        <v>n/a</v>
      </c>
      <c r="BW178" s="325"/>
      <c r="BX178" s="470" t="s">
        <v>475</v>
      </c>
      <c r="BY178" s="1192"/>
      <c r="BZ178" s="1192"/>
      <c r="CA178" s="608" t="str">
        <f t="shared" si="117"/>
        <v>n/a</v>
      </c>
      <c r="CB178" s="428"/>
      <c r="CC178" s="428"/>
      <c r="CD178" s="609" t="str">
        <f t="shared" si="118"/>
        <v>n/a</v>
      </c>
      <c r="CE178" s="610" t="str">
        <f t="shared" si="119"/>
        <v>n/a</v>
      </c>
      <c r="CF178" s="609" t="str">
        <f t="shared" si="120"/>
        <v>n/a</v>
      </c>
      <c r="CG178" s="658" t="str">
        <f t="shared" si="121"/>
        <v>n/a</v>
      </c>
      <c r="CH178" s="328"/>
      <c r="CI178" s="330"/>
      <c r="CJ178" s="664">
        <f t="shared" si="122"/>
        <v>0</v>
      </c>
      <c r="CK178" s="328"/>
      <c r="CL178" s="611" t="str">
        <f t="shared" si="131"/>
        <v>No coverage</v>
      </c>
      <c r="CM178" s="428"/>
      <c r="CN178" s="428"/>
      <c r="CO178" s="428"/>
      <c r="CP178" s="570"/>
      <c r="CQ178" s="666"/>
      <c r="CS178" s="1069">
        <f t="shared" si="123"/>
        <v>1</v>
      </c>
      <c r="CT178" s="1069">
        <f t="shared" si="124"/>
        <v>0.81168831168831168</v>
      </c>
      <c r="CU178" s="1066">
        <f t="shared" si="125"/>
        <v>1</v>
      </c>
      <c r="CV178" s="1066">
        <f t="shared" si="126"/>
        <v>0.81168831168831168</v>
      </c>
      <c r="CW178" s="1082">
        <f t="shared" si="127"/>
        <v>0</v>
      </c>
      <c r="CX178" s="1082">
        <f t="shared" si="128"/>
        <v>0.23199999999999998</v>
      </c>
    </row>
    <row r="179" spans="2:102" ht="18" customHeight="1">
      <c r="B179" s="402" t="s">
        <v>46</v>
      </c>
      <c r="C179" s="603"/>
      <c r="D179" s="603"/>
      <c r="E179" s="1052" t="s">
        <v>397</v>
      </c>
      <c r="F179" s="402" t="s">
        <v>398</v>
      </c>
      <c r="G179" s="556">
        <v>93.239519999999999</v>
      </c>
      <c r="H179" s="556">
        <v>20.61692</v>
      </c>
      <c r="I179" s="560" t="s">
        <v>44</v>
      </c>
      <c r="J179" s="560" t="s">
        <v>47</v>
      </c>
      <c r="K179" s="604" t="s">
        <v>1157</v>
      </c>
      <c r="L179" s="428">
        <v>10</v>
      </c>
      <c r="M179" s="428">
        <v>64</v>
      </c>
      <c r="N179" s="570">
        <v>64</v>
      </c>
      <c r="O179" s="328" t="s">
        <v>985</v>
      </c>
      <c r="P179" s="720" t="str">
        <f t="shared" si="88"/>
        <v>1. Small</v>
      </c>
      <c r="Q179" s="968" t="s">
        <v>139</v>
      </c>
      <c r="R179" s="625" t="s">
        <v>301</v>
      </c>
      <c r="S179" s="620" t="s">
        <v>139</v>
      </c>
      <c r="T179" s="323" t="str">
        <f t="shared" si="89"/>
        <v>Not Covered</v>
      </c>
      <c r="U179" s="561"/>
      <c r="V179" s="618"/>
      <c r="W179" s="558" t="s">
        <v>153</v>
      </c>
      <c r="X179" s="428">
        <v>0</v>
      </c>
      <c r="Y179" s="428">
        <v>0</v>
      </c>
      <c r="Z179" s="570" t="s">
        <v>43</v>
      </c>
      <c r="AA179" s="328">
        <v>0</v>
      </c>
      <c r="AB179" s="428">
        <v>0</v>
      </c>
      <c r="AC179" s="428">
        <v>0</v>
      </c>
      <c r="AD179" s="428">
        <v>1</v>
      </c>
      <c r="AE179" s="570"/>
      <c r="AF179" s="329">
        <v>0</v>
      </c>
      <c r="AG179" s="330">
        <v>1</v>
      </c>
      <c r="AH179" s="630">
        <f t="shared" si="90"/>
        <v>0</v>
      </c>
      <c r="AI179" s="574">
        <f t="shared" si="91"/>
        <v>0</v>
      </c>
      <c r="AJ179" s="605">
        <f t="shared" si="92"/>
        <v>0</v>
      </c>
      <c r="AK179" s="574">
        <f t="shared" si="93"/>
        <v>0</v>
      </c>
      <c r="AL179" s="605">
        <f t="shared" si="94"/>
        <v>1</v>
      </c>
      <c r="AM179" s="574">
        <f t="shared" si="95"/>
        <v>64</v>
      </c>
      <c r="AN179" s="605" t="str">
        <f t="shared" si="96"/>
        <v>0-10%</v>
      </c>
      <c r="AO179" s="605">
        <f t="shared" si="97"/>
        <v>0</v>
      </c>
      <c r="AP179" s="574">
        <f t="shared" si="98"/>
        <v>0</v>
      </c>
      <c r="AQ179" s="574" t="str">
        <f t="shared" si="99"/>
        <v>yes</v>
      </c>
      <c r="AR179" s="574">
        <f t="shared" si="100"/>
        <v>0.16</v>
      </c>
      <c r="AS179" s="574">
        <f t="shared" si="101"/>
        <v>64</v>
      </c>
      <c r="AT179" s="574">
        <f t="shared" si="102"/>
        <v>0</v>
      </c>
      <c r="AU179" s="589">
        <v>1</v>
      </c>
      <c r="AV179" s="635">
        <f t="shared" si="103"/>
        <v>64</v>
      </c>
      <c r="AW179" s="636"/>
      <c r="AX179" s="740">
        <v>0</v>
      </c>
      <c r="AY179" s="428">
        <v>3</v>
      </c>
      <c r="AZ179" s="428">
        <v>20</v>
      </c>
      <c r="BA179" s="473" t="s">
        <v>973</v>
      </c>
      <c r="BB179" s="548">
        <f t="shared" si="104"/>
        <v>0.9375</v>
      </c>
      <c r="BC179" s="606">
        <f t="shared" si="105"/>
        <v>60</v>
      </c>
      <c r="BD179" s="548">
        <f t="shared" si="106"/>
        <v>0.9375</v>
      </c>
      <c r="BE179" s="606">
        <f t="shared" si="107"/>
        <v>60</v>
      </c>
      <c r="BF179" s="549">
        <f t="shared" si="108"/>
        <v>0</v>
      </c>
      <c r="BG179" s="606">
        <f t="shared" si="109"/>
        <v>0</v>
      </c>
      <c r="BH179" s="428" t="s">
        <v>491</v>
      </c>
      <c r="BI179" s="429">
        <v>0.94</v>
      </c>
      <c r="BJ179" s="606">
        <f t="shared" si="130"/>
        <v>60.16</v>
      </c>
      <c r="BK179" s="606">
        <f t="shared" si="110"/>
        <v>0.20000000000000018</v>
      </c>
      <c r="BL179" s="428">
        <v>0</v>
      </c>
      <c r="BM179" s="548">
        <f t="shared" si="111"/>
        <v>0</v>
      </c>
      <c r="BN179" s="606">
        <f t="shared" si="112"/>
        <v>0</v>
      </c>
      <c r="BO179" s="606">
        <f t="shared" si="113"/>
        <v>11.428571428571429</v>
      </c>
      <c r="BP179" s="578">
        <v>0</v>
      </c>
      <c r="BQ179" s="606">
        <v>0</v>
      </c>
      <c r="BR179" s="519">
        <v>0</v>
      </c>
      <c r="BS179" s="548">
        <f t="shared" si="114"/>
        <v>0</v>
      </c>
      <c r="BT179" s="607">
        <f t="shared" si="115"/>
        <v>0.64</v>
      </c>
      <c r="BU179" s="651">
        <v>0</v>
      </c>
      <c r="BV179" s="650">
        <f t="shared" si="116"/>
        <v>0</v>
      </c>
      <c r="BW179" s="325"/>
      <c r="BX179" s="430"/>
      <c r="BY179" s="1190"/>
      <c r="BZ179" s="1190"/>
      <c r="CA179" s="608" t="str">
        <f t="shared" si="117"/>
        <v>To be done</v>
      </c>
      <c r="CB179" s="428"/>
      <c r="CC179" s="428"/>
      <c r="CD179" s="609">
        <f t="shared" si="118"/>
        <v>10</v>
      </c>
      <c r="CE179" s="610">
        <f t="shared" si="119"/>
        <v>0</v>
      </c>
      <c r="CF179" s="609">
        <f t="shared" si="120"/>
        <v>0</v>
      </c>
      <c r="CG179" s="658">
        <f t="shared" si="121"/>
        <v>0</v>
      </c>
      <c r="CH179" s="328"/>
      <c r="CI179" s="330"/>
      <c r="CJ179" s="664">
        <f t="shared" si="122"/>
        <v>0</v>
      </c>
      <c r="CK179" s="328"/>
      <c r="CL179" s="611" t="str">
        <f t="shared" si="131"/>
        <v>No coverage</v>
      </c>
      <c r="CM179" s="428"/>
      <c r="CN179" s="428"/>
      <c r="CO179" s="428"/>
      <c r="CP179" s="570"/>
      <c r="CQ179" s="666"/>
      <c r="CS179" s="1069">
        <f t="shared" si="123"/>
        <v>0</v>
      </c>
      <c r="CT179" s="1069">
        <f t="shared" si="124"/>
        <v>0</v>
      </c>
      <c r="CU179" s="1066">
        <f t="shared" si="125"/>
        <v>0</v>
      </c>
      <c r="CV179" s="1066">
        <f t="shared" si="126"/>
        <v>0</v>
      </c>
      <c r="CW179" s="1082">
        <f t="shared" si="127"/>
        <v>0.16</v>
      </c>
      <c r="CX179" s="1082">
        <f t="shared" si="128"/>
        <v>0.25600000000000001</v>
      </c>
    </row>
    <row r="180" spans="2:102" ht="18" customHeight="1">
      <c r="B180" s="402" t="s">
        <v>46</v>
      </c>
      <c r="C180" s="603"/>
      <c r="D180" s="603"/>
      <c r="E180" s="1052" t="s">
        <v>400</v>
      </c>
      <c r="F180" s="402" t="s">
        <v>401</v>
      </c>
      <c r="G180" s="556">
        <v>93.217039999999997</v>
      </c>
      <c r="H180" s="556">
        <v>20.501757999999999</v>
      </c>
      <c r="I180" s="560" t="s">
        <v>33</v>
      </c>
      <c r="J180" s="560" t="s">
        <v>34</v>
      </c>
      <c r="K180" s="603" t="s">
        <v>1157</v>
      </c>
      <c r="L180" s="428">
        <v>365</v>
      </c>
      <c r="M180" s="428">
        <v>2366</v>
      </c>
      <c r="N180" s="570">
        <v>2366</v>
      </c>
      <c r="O180" s="328" t="s">
        <v>984</v>
      </c>
      <c r="P180" s="720" t="str">
        <f t="shared" si="88"/>
        <v>3. Large</v>
      </c>
      <c r="Q180" s="968" t="s">
        <v>139</v>
      </c>
      <c r="R180" s="625" t="s">
        <v>301</v>
      </c>
      <c r="S180" s="620" t="s">
        <v>139</v>
      </c>
      <c r="T180" s="323" t="str">
        <f t="shared" si="89"/>
        <v>Not Covered</v>
      </c>
      <c r="U180" s="561"/>
      <c r="V180" s="618"/>
      <c r="W180" s="558" t="s">
        <v>153</v>
      </c>
      <c r="X180" s="428">
        <v>0</v>
      </c>
      <c r="Y180" s="428">
        <v>0</v>
      </c>
      <c r="Z180" s="570" t="s">
        <v>43</v>
      </c>
      <c r="AA180" s="328">
        <v>3</v>
      </c>
      <c r="AB180" s="428">
        <v>5</v>
      </c>
      <c r="AC180" s="428">
        <v>0</v>
      </c>
      <c r="AD180" s="428">
        <v>5</v>
      </c>
      <c r="AE180" s="570"/>
      <c r="AF180" s="329">
        <v>0</v>
      </c>
      <c r="AG180" s="330">
        <v>1</v>
      </c>
      <c r="AH180" s="630">
        <f t="shared" si="90"/>
        <v>0.84530853761622993</v>
      </c>
      <c r="AI180" s="574">
        <f t="shared" si="91"/>
        <v>2000</v>
      </c>
      <c r="AJ180" s="605">
        <f t="shared" si="92"/>
        <v>0.84530853761622993</v>
      </c>
      <c r="AK180" s="574">
        <f t="shared" si="93"/>
        <v>2000</v>
      </c>
      <c r="AL180" s="605">
        <f t="shared" si="94"/>
        <v>1</v>
      </c>
      <c r="AM180" s="574">
        <f t="shared" si="95"/>
        <v>2366</v>
      </c>
      <c r="AN180" s="605" t="str">
        <f t="shared" si="96"/>
        <v>80-100%</v>
      </c>
      <c r="AO180" s="605">
        <f t="shared" si="97"/>
        <v>0</v>
      </c>
      <c r="AP180" s="574">
        <f t="shared" si="98"/>
        <v>0</v>
      </c>
      <c r="AQ180" s="574" t="str">
        <f t="shared" si="99"/>
        <v>yes</v>
      </c>
      <c r="AR180" s="574">
        <f t="shared" si="100"/>
        <v>1.4640000000000004</v>
      </c>
      <c r="AS180" s="574">
        <f t="shared" si="101"/>
        <v>2366</v>
      </c>
      <c r="AT180" s="574">
        <f t="shared" si="102"/>
        <v>0</v>
      </c>
      <c r="AU180" s="589">
        <v>1</v>
      </c>
      <c r="AV180" s="635">
        <f t="shared" si="103"/>
        <v>2366</v>
      </c>
      <c r="AW180" s="636"/>
      <c r="AX180" s="740">
        <v>0</v>
      </c>
      <c r="AY180" s="428">
        <v>30</v>
      </c>
      <c r="AZ180" s="428">
        <v>6</v>
      </c>
      <c r="BA180" s="473" t="s">
        <v>965</v>
      </c>
      <c r="BB180" s="548">
        <f t="shared" si="104"/>
        <v>7.6077768385460695E-2</v>
      </c>
      <c r="BC180" s="606">
        <f t="shared" si="105"/>
        <v>180</v>
      </c>
      <c r="BD180" s="548">
        <f t="shared" si="106"/>
        <v>7.6077768385460695E-2</v>
      </c>
      <c r="BE180" s="606">
        <f t="shared" si="107"/>
        <v>180</v>
      </c>
      <c r="BF180" s="549">
        <f t="shared" si="108"/>
        <v>0</v>
      </c>
      <c r="BG180" s="606">
        <f t="shared" si="109"/>
        <v>0</v>
      </c>
      <c r="BH180" s="428" t="s">
        <v>475</v>
      </c>
      <c r="BI180" s="429">
        <v>0.8</v>
      </c>
      <c r="BJ180" s="606">
        <f t="shared" si="130"/>
        <v>1892.8000000000002</v>
      </c>
      <c r="BK180" s="606" t="str">
        <f t="shared" si="110"/>
        <v>n/a</v>
      </c>
      <c r="BL180" s="428">
        <v>13</v>
      </c>
      <c r="BM180" s="548" t="str">
        <f t="shared" si="111"/>
        <v>n/a</v>
      </c>
      <c r="BN180" s="606" t="str">
        <f t="shared" si="112"/>
        <v>n/a</v>
      </c>
      <c r="BO180" s="606" t="str">
        <f t="shared" si="113"/>
        <v>n/a</v>
      </c>
      <c r="BP180" s="578" t="s">
        <v>475</v>
      </c>
      <c r="BQ180" s="606" t="s">
        <v>475</v>
      </c>
      <c r="BR180" s="519" t="s">
        <v>475</v>
      </c>
      <c r="BS180" s="548" t="str">
        <f t="shared" si="114"/>
        <v>n/a</v>
      </c>
      <c r="BT180" s="607" t="str">
        <f t="shared" si="115"/>
        <v>n/a</v>
      </c>
      <c r="BU180" s="651" t="s">
        <v>475</v>
      </c>
      <c r="BV180" s="650" t="str">
        <f t="shared" si="116"/>
        <v>n/a</v>
      </c>
      <c r="BW180" s="325" t="s">
        <v>412</v>
      </c>
      <c r="BX180" s="430" t="s">
        <v>475</v>
      </c>
      <c r="BY180" s="1190"/>
      <c r="BZ180" s="1190"/>
      <c r="CA180" s="608" t="str">
        <f t="shared" si="117"/>
        <v>n/a</v>
      </c>
      <c r="CB180" s="428"/>
      <c r="CC180" s="428"/>
      <c r="CD180" s="609" t="str">
        <f t="shared" si="118"/>
        <v>n/a</v>
      </c>
      <c r="CE180" s="610" t="str">
        <f t="shared" si="119"/>
        <v>n/a</v>
      </c>
      <c r="CF180" s="609" t="str">
        <f t="shared" si="120"/>
        <v>n/a</v>
      </c>
      <c r="CG180" s="658" t="str">
        <f t="shared" si="121"/>
        <v>n/a</v>
      </c>
      <c r="CH180" s="328"/>
      <c r="CI180" s="330"/>
      <c r="CJ180" s="664">
        <f t="shared" si="122"/>
        <v>0</v>
      </c>
      <c r="CK180" s="328"/>
      <c r="CL180" s="611" t="str">
        <f t="shared" si="131"/>
        <v>No coverage</v>
      </c>
      <c r="CM180" s="428"/>
      <c r="CN180" s="428"/>
      <c r="CO180" s="428"/>
      <c r="CP180" s="570"/>
      <c r="CQ180" s="666"/>
      <c r="CS180" s="1069">
        <f t="shared" si="123"/>
        <v>1</v>
      </c>
      <c r="CT180" s="1069">
        <f t="shared" si="124"/>
        <v>0.84530853761622993</v>
      </c>
      <c r="CU180" s="1066">
        <f t="shared" si="125"/>
        <v>1</v>
      </c>
      <c r="CV180" s="1066">
        <f t="shared" si="126"/>
        <v>0.84530853761622993</v>
      </c>
      <c r="CW180" s="1082">
        <f t="shared" si="127"/>
        <v>0</v>
      </c>
      <c r="CX180" s="1082">
        <f t="shared" si="128"/>
        <v>1.4640000000000004</v>
      </c>
    </row>
    <row r="181" spans="2:102" ht="18" customHeight="1">
      <c r="B181" s="402" t="s">
        <v>46</v>
      </c>
      <c r="C181" s="603"/>
      <c r="D181" s="603"/>
      <c r="E181" s="1052" t="s">
        <v>399</v>
      </c>
      <c r="F181" s="402" t="s">
        <v>419</v>
      </c>
      <c r="G181" s="556">
        <v>93.246863000000005</v>
      </c>
      <c r="H181" s="556">
        <v>20.495086000000001</v>
      </c>
      <c r="I181" s="560" t="s">
        <v>44</v>
      </c>
      <c r="J181" s="560" t="s">
        <v>45</v>
      </c>
      <c r="K181" s="604" t="s">
        <v>1157</v>
      </c>
      <c r="L181" s="428">
        <v>31</v>
      </c>
      <c r="M181" s="428">
        <v>131</v>
      </c>
      <c r="N181" s="570">
        <v>131</v>
      </c>
      <c r="O181" s="328" t="s">
        <v>985</v>
      </c>
      <c r="P181" s="720" t="str">
        <f t="shared" si="88"/>
        <v>1. Small</v>
      </c>
      <c r="Q181" s="968" t="s">
        <v>139</v>
      </c>
      <c r="R181" s="625" t="s">
        <v>301</v>
      </c>
      <c r="S181" s="620" t="s">
        <v>139</v>
      </c>
      <c r="T181" s="323" t="str">
        <f t="shared" si="89"/>
        <v>Not Covered</v>
      </c>
      <c r="U181" s="561"/>
      <c r="V181" s="618"/>
      <c r="W181" s="558" t="s">
        <v>153</v>
      </c>
      <c r="X181" s="428">
        <v>0</v>
      </c>
      <c r="Y181" s="428">
        <v>0</v>
      </c>
      <c r="Z181" s="570" t="s">
        <v>43</v>
      </c>
      <c r="AA181" s="328">
        <v>0</v>
      </c>
      <c r="AB181" s="428">
        <v>0</v>
      </c>
      <c r="AC181" s="428">
        <v>0</v>
      </c>
      <c r="AD181" s="428">
        <v>5</v>
      </c>
      <c r="AE181" s="570"/>
      <c r="AF181" s="329">
        <v>0</v>
      </c>
      <c r="AG181" s="330">
        <v>1</v>
      </c>
      <c r="AH181" s="630">
        <f t="shared" si="90"/>
        <v>0</v>
      </c>
      <c r="AI181" s="574">
        <f t="shared" si="91"/>
        <v>0</v>
      </c>
      <c r="AJ181" s="605">
        <f t="shared" si="92"/>
        <v>0</v>
      </c>
      <c r="AK181" s="574">
        <f t="shared" si="93"/>
        <v>0</v>
      </c>
      <c r="AL181" s="605">
        <f t="shared" si="94"/>
        <v>1</v>
      </c>
      <c r="AM181" s="574">
        <f t="shared" si="95"/>
        <v>131</v>
      </c>
      <c r="AN181" s="605" t="str">
        <f t="shared" si="96"/>
        <v>0-10%</v>
      </c>
      <c r="AO181" s="605">
        <f t="shared" si="97"/>
        <v>0</v>
      </c>
      <c r="AP181" s="574">
        <f t="shared" si="98"/>
        <v>0</v>
      </c>
      <c r="AQ181" s="574" t="str">
        <f t="shared" si="99"/>
        <v>yes</v>
      </c>
      <c r="AR181" s="574">
        <f t="shared" si="100"/>
        <v>0.32750000000000001</v>
      </c>
      <c r="AS181" s="574">
        <f t="shared" si="101"/>
        <v>131</v>
      </c>
      <c r="AT181" s="574">
        <f t="shared" si="102"/>
        <v>0</v>
      </c>
      <c r="AU181" s="589">
        <v>1</v>
      </c>
      <c r="AV181" s="635">
        <f t="shared" si="103"/>
        <v>131</v>
      </c>
      <c r="AW181" s="636"/>
      <c r="AX181" s="740">
        <v>0</v>
      </c>
      <c r="AY181" s="428">
        <v>10</v>
      </c>
      <c r="AZ181" s="428">
        <v>20</v>
      </c>
      <c r="BA181" s="473" t="s">
        <v>964</v>
      </c>
      <c r="BB181" s="548">
        <f t="shared" si="104"/>
        <v>1</v>
      </c>
      <c r="BC181" s="606">
        <f t="shared" si="105"/>
        <v>131</v>
      </c>
      <c r="BD181" s="548">
        <f t="shared" si="106"/>
        <v>1</v>
      </c>
      <c r="BE181" s="606">
        <f t="shared" si="107"/>
        <v>131</v>
      </c>
      <c r="BF181" s="549">
        <f t="shared" si="108"/>
        <v>0</v>
      </c>
      <c r="BG181" s="606">
        <f t="shared" si="109"/>
        <v>0</v>
      </c>
      <c r="BH181" s="428" t="s">
        <v>491</v>
      </c>
      <c r="BI181" s="429">
        <v>1</v>
      </c>
      <c r="BJ181" s="606">
        <f t="shared" si="130"/>
        <v>131</v>
      </c>
      <c r="BK181" s="606">
        <f t="shared" si="110"/>
        <v>0</v>
      </c>
      <c r="BL181" s="428">
        <v>0</v>
      </c>
      <c r="BM181" s="548">
        <f t="shared" si="111"/>
        <v>0</v>
      </c>
      <c r="BN181" s="606">
        <f t="shared" si="112"/>
        <v>0</v>
      </c>
      <c r="BO181" s="606">
        <f t="shared" si="113"/>
        <v>23.392857142857146</v>
      </c>
      <c r="BP181" s="578">
        <v>0</v>
      </c>
      <c r="BQ181" s="606">
        <v>0</v>
      </c>
      <c r="BR181" s="519">
        <v>0</v>
      </c>
      <c r="BS181" s="548">
        <f t="shared" si="114"/>
        <v>0</v>
      </c>
      <c r="BT181" s="607">
        <f t="shared" si="115"/>
        <v>1.31</v>
      </c>
      <c r="BU181" s="651">
        <v>0</v>
      </c>
      <c r="BV181" s="650">
        <f t="shared" si="116"/>
        <v>0</v>
      </c>
      <c r="BW181" s="325"/>
      <c r="BX181" s="430"/>
      <c r="BY181" s="1190"/>
      <c r="BZ181" s="1190"/>
      <c r="CA181" s="608" t="str">
        <f t="shared" si="117"/>
        <v>To be done</v>
      </c>
      <c r="CB181" s="428"/>
      <c r="CC181" s="428"/>
      <c r="CD181" s="609">
        <f t="shared" si="118"/>
        <v>31</v>
      </c>
      <c r="CE181" s="610">
        <f t="shared" si="119"/>
        <v>0</v>
      </c>
      <c r="CF181" s="609">
        <f t="shared" si="120"/>
        <v>0</v>
      </c>
      <c r="CG181" s="658">
        <f t="shared" si="121"/>
        <v>0</v>
      </c>
      <c r="CH181" s="328"/>
      <c r="CI181" s="330"/>
      <c r="CJ181" s="664">
        <f t="shared" si="122"/>
        <v>0</v>
      </c>
      <c r="CK181" s="328"/>
      <c r="CL181" s="611" t="str">
        <f t="shared" si="131"/>
        <v>No coverage</v>
      </c>
      <c r="CM181" s="428"/>
      <c r="CN181" s="428"/>
      <c r="CO181" s="428"/>
      <c r="CP181" s="570"/>
      <c r="CQ181" s="666"/>
      <c r="CS181" s="1069">
        <f t="shared" si="123"/>
        <v>0</v>
      </c>
      <c r="CT181" s="1069">
        <f t="shared" si="124"/>
        <v>0</v>
      </c>
      <c r="CU181" s="1066">
        <f t="shared" si="125"/>
        <v>0</v>
      </c>
      <c r="CV181" s="1066">
        <f t="shared" si="126"/>
        <v>0</v>
      </c>
      <c r="CW181" s="1082">
        <f t="shared" si="127"/>
        <v>0.32750000000000001</v>
      </c>
      <c r="CX181" s="1082">
        <f t="shared" si="128"/>
        <v>0.52400000000000002</v>
      </c>
    </row>
    <row r="182" spans="2:102" ht="18" customHeight="1">
      <c r="B182" s="402" t="s">
        <v>171</v>
      </c>
      <c r="C182" s="603"/>
      <c r="D182" s="603"/>
      <c r="E182" s="1052">
        <v>197254</v>
      </c>
      <c r="F182" s="402" t="s">
        <v>658</v>
      </c>
      <c r="G182" s="556">
        <v>93.367999999999995</v>
      </c>
      <c r="H182" s="556">
        <v>20.0215</v>
      </c>
      <c r="I182" s="560" t="s">
        <v>33</v>
      </c>
      <c r="J182" s="560" t="s">
        <v>45</v>
      </c>
      <c r="K182" s="604" t="s">
        <v>508</v>
      </c>
      <c r="L182" s="428">
        <v>0</v>
      </c>
      <c r="M182" s="428">
        <v>0</v>
      </c>
      <c r="N182" s="570">
        <v>652</v>
      </c>
      <c r="O182" s="328" t="s">
        <v>983</v>
      </c>
      <c r="P182" s="720" t="str">
        <f t="shared" si="88"/>
        <v>2. Medium</v>
      </c>
      <c r="Q182" s="968" t="s">
        <v>153</v>
      </c>
      <c r="R182" s="625"/>
      <c r="S182" s="620" t="s">
        <v>49</v>
      </c>
      <c r="T182" s="323" t="str">
        <f t="shared" si="89"/>
        <v>Covered</v>
      </c>
      <c r="U182" s="561">
        <v>42338</v>
      </c>
      <c r="V182" s="618"/>
      <c r="W182" s="558" t="s">
        <v>152</v>
      </c>
      <c r="X182" s="428">
        <v>0</v>
      </c>
      <c r="Y182" s="428">
        <v>0</v>
      </c>
      <c r="Z182" s="570" t="s">
        <v>43</v>
      </c>
      <c r="AA182" s="328">
        <v>0</v>
      </c>
      <c r="AB182" s="428">
        <v>0</v>
      </c>
      <c r="AC182" s="428">
        <v>0</v>
      </c>
      <c r="AD182" s="428">
        <v>0</v>
      </c>
      <c r="AE182" s="570"/>
      <c r="AF182" s="329">
        <v>0</v>
      </c>
      <c r="AG182" s="330">
        <v>0</v>
      </c>
      <c r="AH182" s="630">
        <f t="shared" si="90"/>
        <v>0</v>
      </c>
      <c r="AI182" s="574">
        <f t="shared" si="91"/>
        <v>0</v>
      </c>
      <c r="AJ182" s="605">
        <f t="shared" si="92"/>
        <v>0</v>
      </c>
      <c r="AK182" s="574">
        <f t="shared" si="93"/>
        <v>0</v>
      </c>
      <c r="AL182" s="605">
        <f t="shared" si="94"/>
        <v>0</v>
      </c>
      <c r="AM182" s="574">
        <f t="shared" si="95"/>
        <v>0</v>
      </c>
      <c r="AN182" s="605" t="str">
        <f t="shared" si="96"/>
        <v>0-10%</v>
      </c>
      <c r="AO182" s="605">
        <f t="shared" si="97"/>
        <v>0</v>
      </c>
      <c r="AP182" s="574">
        <f t="shared" si="98"/>
        <v>0</v>
      </c>
      <c r="AQ182" s="574" t="str">
        <f t="shared" si="99"/>
        <v>no</v>
      </c>
      <c r="AR182" s="574">
        <f t="shared" si="100"/>
        <v>2.6080000000000001</v>
      </c>
      <c r="AS182" s="574">
        <f t="shared" si="101"/>
        <v>0</v>
      </c>
      <c r="AT182" s="574">
        <f t="shared" si="102"/>
        <v>0</v>
      </c>
      <c r="AU182" s="589">
        <v>0</v>
      </c>
      <c r="AV182" s="635">
        <f t="shared" si="103"/>
        <v>0</v>
      </c>
      <c r="AW182" s="636" t="s">
        <v>703</v>
      </c>
      <c r="AX182" s="740">
        <v>0</v>
      </c>
      <c r="AY182" s="428">
        <v>0</v>
      </c>
      <c r="AZ182" s="428">
        <v>6</v>
      </c>
      <c r="BA182" s="473" t="s">
        <v>526</v>
      </c>
      <c r="BB182" s="548">
        <f t="shared" si="104"/>
        <v>0</v>
      </c>
      <c r="BC182" s="606">
        <f t="shared" si="105"/>
        <v>0</v>
      </c>
      <c r="BD182" s="548">
        <f t="shared" si="106"/>
        <v>0</v>
      </c>
      <c r="BE182" s="606">
        <f t="shared" si="107"/>
        <v>0</v>
      </c>
      <c r="BF182" s="549">
        <f t="shared" si="108"/>
        <v>0</v>
      </c>
      <c r="BG182" s="606">
        <f t="shared" si="109"/>
        <v>0</v>
      </c>
      <c r="BH182" s="519" t="s">
        <v>475</v>
      </c>
      <c r="BI182" s="429">
        <v>0.36809815950920244</v>
      </c>
      <c r="BJ182" s="606">
        <f t="shared" si="130"/>
        <v>240</v>
      </c>
      <c r="BK182" s="606" t="str">
        <f t="shared" si="110"/>
        <v>n/a</v>
      </c>
      <c r="BL182" s="428" t="s">
        <v>475</v>
      </c>
      <c r="BM182" s="548" t="str">
        <f t="shared" si="111"/>
        <v>n/a</v>
      </c>
      <c r="BN182" s="606" t="str">
        <f t="shared" si="112"/>
        <v>n/a</v>
      </c>
      <c r="BO182" s="606" t="str">
        <f t="shared" si="113"/>
        <v>n/a</v>
      </c>
      <c r="BP182" s="578" t="s">
        <v>475</v>
      </c>
      <c r="BQ182" s="606" t="s">
        <v>475</v>
      </c>
      <c r="BR182" s="578" t="s">
        <v>475</v>
      </c>
      <c r="BS182" s="548" t="str">
        <f t="shared" si="114"/>
        <v>n/a</v>
      </c>
      <c r="BT182" s="607" t="str">
        <f t="shared" si="115"/>
        <v>n/a</v>
      </c>
      <c r="BU182" s="651" t="s">
        <v>475</v>
      </c>
      <c r="BV182" s="650" t="str">
        <f t="shared" si="116"/>
        <v>n/a</v>
      </c>
      <c r="BW182" s="325" t="s">
        <v>704</v>
      </c>
      <c r="BX182" s="470" t="s">
        <v>475</v>
      </c>
      <c r="BY182" s="1192"/>
      <c r="BZ182" s="1192"/>
      <c r="CA182" s="608" t="str">
        <f t="shared" si="117"/>
        <v>n/a</v>
      </c>
      <c r="CB182" s="428"/>
      <c r="CC182" s="428"/>
      <c r="CD182" s="609" t="str">
        <f t="shared" si="118"/>
        <v>n/a</v>
      </c>
      <c r="CE182" s="610" t="str">
        <f t="shared" si="119"/>
        <v>n/a</v>
      </c>
      <c r="CF182" s="609" t="str">
        <f t="shared" si="120"/>
        <v>n/a</v>
      </c>
      <c r="CG182" s="658" t="str">
        <f t="shared" si="121"/>
        <v>n/a</v>
      </c>
      <c r="CH182" s="328"/>
      <c r="CI182" s="330"/>
      <c r="CJ182" s="664">
        <f t="shared" si="122"/>
        <v>0</v>
      </c>
      <c r="CK182" s="328"/>
      <c r="CL182" s="611" t="str">
        <f t="shared" si="131"/>
        <v>No coverage</v>
      </c>
      <c r="CM182" s="428" t="s">
        <v>38</v>
      </c>
      <c r="CN182" s="428" t="s">
        <v>475</v>
      </c>
      <c r="CO182" s="428" t="s">
        <v>38</v>
      </c>
      <c r="CP182" s="570" t="s">
        <v>38</v>
      </c>
      <c r="CQ182" s="669"/>
      <c r="CS182" s="1069">
        <f t="shared" si="123"/>
        <v>0</v>
      </c>
      <c r="CT182" s="1069">
        <f t="shared" si="124"/>
        <v>0</v>
      </c>
      <c r="CU182" s="1066">
        <f t="shared" si="125"/>
        <v>0</v>
      </c>
      <c r="CV182" s="1066">
        <f t="shared" si="126"/>
        <v>0</v>
      </c>
      <c r="CW182" s="1082">
        <f t="shared" si="127"/>
        <v>1.63</v>
      </c>
      <c r="CX182" s="1082">
        <f t="shared" si="128"/>
        <v>2.6080000000000001</v>
      </c>
    </row>
    <row r="183" spans="2:102" ht="18" customHeight="1">
      <c r="B183" s="402" t="s">
        <v>171</v>
      </c>
      <c r="C183" s="603"/>
      <c r="D183" s="603"/>
      <c r="E183" s="1052">
        <v>197253</v>
      </c>
      <c r="F183" s="402" t="s">
        <v>659</v>
      </c>
      <c r="G183" s="556">
        <v>93.3767</v>
      </c>
      <c r="H183" s="556">
        <v>20.023900000000001</v>
      </c>
      <c r="I183" s="560" t="s">
        <v>33</v>
      </c>
      <c r="J183" s="560" t="s">
        <v>45</v>
      </c>
      <c r="K183" s="604" t="s">
        <v>508</v>
      </c>
      <c r="L183" s="428">
        <v>0</v>
      </c>
      <c r="M183" s="428">
        <v>0</v>
      </c>
      <c r="N183" s="570">
        <v>421</v>
      </c>
      <c r="O183" s="328" t="s">
        <v>983</v>
      </c>
      <c r="P183" s="720" t="str">
        <f t="shared" si="88"/>
        <v>1. Small</v>
      </c>
      <c r="Q183" s="968" t="s">
        <v>153</v>
      </c>
      <c r="R183" s="625"/>
      <c r="S183" s="620" t="s">
        <v>49</v>
      </c>
      <c r="T183" s="323" t="str">
        <f t="shared" si="89"/>
        <v>Covered</v>
      </c>
      <c r="U183" s="561">
        <v>42338</v>
      </c>
      <c r="V183" s="618"/>
      <c r="W183" s="558" t="s">
        <v>152</v>
      </c>
      <c r="X183" s="428">
        <v>0</v>
      </c>
      <c r="Y183" s="428">
        <v>0</v>
      </c>
      <c r="Z183" s="570" t="s">
        <v>43</v>
      </c>
      <c r="AA183" s="328">
        <v>0</v>
      </c>
      <c r="AB183" s="428">
        <v>0</v>
      </c>
      <c r="AC183" s="428">
        <v>0</v>
      </c>
      <c r="AD183" s="428">
        <v>1</v>
      </c>
      <c r="AE183" s="570"/>
      <c r="AF183" s="329">
        <v>0</v>
      </c>
      <c r="AG183" s="330">
        <v>0</v>
      </c>
      <c r="AH183" s="630">
        <f t="shared" si="90"/>
        <v>0</v>
      </c>
      <c r="AI183" s="574">
        <f t="shared" si="91"/>
        <v>0</v>
      </c>
      <c r="AJ183" s="605">
        <f t="shared" si="92"/>
        <v>0</v>
      </c>
      <c r="AK183" s="574">
        <f t="shared" si="93"/>
        <v>0</v>
      </c>
      <c r="AL183" s="605">
        <f t="shared" si="94"/>
        <v>0</v>
      </c>
      <c r="AM183" s="574">
        <f t="shared" si="95"/>
        <v>0</v>
      </c>
      <c r="AN183" s="605" t="str">
        <f t="shared" si="96"/>
        <v>0-10%</v>
      </c>
      <c r="AO183" s="605">
        <f t="shared" si="97"/>
        <v>0</v>
      </c>
      <c r="AP183" s="574">
        <f t="shared" si="98"/>
        <v>0</v>
      </c>
      <c r="AQ183" s="574" t="str">
        <f t="shared" si="99"/>
        <v>yes</v>
      </c>
      <c r="AR183" s="574">
        <f t="shared" si="100"/>
        <v>1.6839999999999999</v>
      </c>
      <c r="AS183" s="574">
        <f t="shared" si="101"/>
        <v>0</v>
      </c>
      <c r="AT183" s="574">
        <f t="shared" si="102"/>
        <v>0</v>
      </c>
      <c r="AU183" s="589">
        <v>0</v>
      </c>
      <c r="AV183" s="635">
        <f t="shared" si="103"/>
        <v>0</v>
      </c>
      <c r="AW183" s="636"/>
      <c r="AX183" s="740">
        <v>0</v>
      </c>
      <c r="AY183" s="428">
        <v>0</v>
      </c>
      <c r="AZ183" s="428">
        <v>6</v>
      </c>
      <c r="BA183" s="473" t="s">
        <v>526</v>
      </c>
      <c r="BB183" s="548">
        <f t="shared" si="104"/>
        <v>0</v>
      </c>
      <c r="BC183" s="606">
        <f t="shared" si="105"/>
        <v>0</v>
      </c>
      <c r="BD183" s="548">
        <f t="shared" si="106"/>
        <v>0</v>
      </c>
      <c r="BE183" s="606">
        <f t="shared" si="107"/>
        <v>0</v>
      </c>
      <c r="BF183" s="549">
        <f t="shared" si="108"/>
        <v>0</v>
      </c>
      <c r="BG183" s="606">
        <f t="shared" si="109"/>
        <v>0</v>
      </c>
      <c r="BH183" s="519" t="s">
        <v>475</v>
      </c>
      <c r="BI183" s="429">
        <v>0.71258907363420421</v>
      </c>
      <c r="BJ183" s="606">
        <f t="shared" si="130"/>
        <v>299.99999999999994</v>
      </c>
      <c r="BK183" s="606" t="str">
        <f t="shared" si="110"/>
        <v>n/a</v>
      </c>
      <c r="BL183" s="428" t="s">
        <v>475</v>
      </c>
      <c r="BM183" s="548" t="str">
        <f t="shared" si="111"/>
        <v>n/a</v>
      </c>
      <c r="BN183" s="606" t="str">
        <f t="shared" si="112"/>
        <v>n/a</v>
      </c>
      <c r="BO183" s="606" t="str">
        <f t="shared" si="113"/>
        <v>n/a</v>
      </c>
      <c r="BP183" s="578" t="s">
        <v>475</v>
      </c>
      <c r="BQ183" s="606" t="s">
        <v>475</v>
      </c>
      <c r="BR183" s="578" t="s">
        <v>475</v>
      </c>
      <c r="BS183" s="548" t="str">
        <f t="shared" si="114"/>
        <v>n/a</v>
      </c>
      <c r="BT183" s="607" t="str">
        <f t="shared" si="115"/>
        <v>n/a</v>
      </c>
      <c r="BU183" s="651" t="s">
        <v>475</v>
      </c>
      <c r="BV183" s="650" t="str">
        <f t="shared" si="116"/>
        <v>n/a</v>
      </c>
      <c r="BW183" s="325" t="s">
        <v>664</v>
      </c>
      <c r="BX183" s="470" t="s">
        <v>475</v>
      </c>
      <c r="BY183" s="1192"/>
      <c r="BZ183" s="1192"/>
      <c r="CA183" s="608" t="str">
        <f t="shared" si="117"/>
        <v>n/a</v>
      </c>
      <c r="CB183" s="428"/>
      <c r="CC183" s="428"/>
      <c r="CD183" s="609" t="str">
        <f t="shared" si="118"/>
        <v>n/a</v>
      </c>
      <c r="CE183" s="610" t="str">
        <f t="shared" si="119"/>
        <v>n/a</v>
      </c>
      <c r="CF183" s="609" t="str">
        <f t="shared" si="120"/>
        <v>n/a</v>
      </c>
      <c r="CG183" s="658" t="str">
        <f t="shared" si="121"/>
        <v>n/a</v>
      </c>
      <c r="CH183" s="328"/>
      <c r="CI183" s="330"/>
      <c r="CJ183" s="664">
        <f t="shared" si="122"/>
        <v>0</v>
      </c>
      <c r="CK183" s="328"/>
      <c r="CL183" s="611" t="str">
        <f t="shared" si="131"/>
        <v>No coverage</v>
      </c>
      <c r="CM183" s="428" t="s">
        <v>38</v>
      </c>
      <c r="CN183" s="428" t="s">
        <v>475</v>
      </c>
      <c r="CO183" s="428" t="s">
        <v>38</v>
      </c>
      <c r="CP183" s="570" t="s">
        <v>38</v>
      </c>
      <c r="CQ183" s="669"/>
      <c r="CS183" s="1069">
        <f t="shared" si="123"/>
        <v>0</v>
      </c>
      <c r="CT183" s="1069">
        <f t="shared" si="124"/>
        <v>0</v>
      </c>
      <c r="CU183" s="1066">
        <f t="shared" si="125"/>
        <v>0</v>
      </c>
      <c r="CV183" s="1066">
        <f t="shared" si="126"/>
        <v>0</v>
      </c>
      <c r="CW183" s="1082">
        <f t="shared" si="127"/>
        <v>1.0525</v>
      </c>
      <c r="CX183" s="1082">
        <f t="shared" si="128"/>
        <v>1.6839999999999999</v>
      </c>
    </row>
    <row r="184" spans="2:102" ht="18" customHeight="1">
      <c r="B184" s="402" t="s">
        <v>171</v>
      </c>
      <c r="C184" s="603"/>
      <c r="D184" s="603"/>
      <c r="E184" s="1052">
        <v>217974</v>
      </c>
      <c r="F184" s="402" t="s">
        <v>695</v>
      </c>
      <c r="G184" s="556">
        <v>93.375100000000003</v>
      </c>
      <c r="H184" s="556">
        <v>20.032299999999999</v>
      </c>
      <c r="I184" s="560" t="s">
        <v>33</v>
      </c>
      <c r="J184" s="560" t="s">
        <v>45</v>
      </c>
      <c r="K184" s="604" t="s">
        <v>508</v>
      </c>
      <c r="L184" s="428">
        <v>0</v>
      </c>
      <c r="M184" s="428">
        <v>0</v>
      </c>
      <c r="N184" s="570">
        <v>360</v>
      </c>
      <c r="O184" s="328" t="s">
        <v>983</v>
      </c>
      <c r="P184" s="720" t="str">
        <f t="shared" si="88"/>
        <v>1. Small</v>
      </c>
      <c r="Q184" s="968" t="s">
        <v>153</v>
      </c>
      <c r="R184" s="625"/>
      <c r="S184" s="620" t="s">
        <v>49</v>
      </c>
      <c r="T184" s="323" t="str">
        <f t="shared" si="89"/>
        <v>Covered</v>
      </c>
      <c r="U184" s="561">
        <v>42338</v>
      </c>
      <c r="V184" s="618"/>
      <c r="W184" s="558" t="s">
        <v>152</v>
      </c>
      <c r="X184" s="428">
        <v>0</v>
      </c>
      <c r="Y184" s="428">
        <v>0</v>
      </c>
      <c r="Z184" s="570" t="s">
        <v>43</v>
      </c>
      <c r="AA184" s="328">
        <v>0</v>
      </c>
      <c r="AB184" s="428">
        <v>0</v>
      </c>
      <c r="AC184" s="428">
        <v>0</v>
      </c>
      <c r="AD184" s="428">
        <v>0</v>
      </c>
      <c r="AE184" s="570"/>
      <c r="AF184" s="329">
        <v>0</v>
      </c>
      <c r="AG184" s="330">
        <v>0</v>
      </c>
      <c r="AH184" s="630">
        <f t="shared" si="90"/>
        <v>0</v>
      </c>
      <c r="AI184" s="574">
        <f t="shared" si="91"/>
        <v>0</v>
      </c>
      <c r="AJ184" s="605">
        <f t="shared" si="92"/>
        <v>0</v>
      </c>
      <c r="AK184" s="574">
        <f t="shared" si="93"/>
        <v>0</v>
      </c>
      <c r="AL184" s="605">
        <f t="shared" si="94"/>
        <v>0</v>
      </c>
      <c r="AM184" s="574">
        <f t="shared" si="95"/>
        <v>0</v>
      </c>
      <c r="AN184" s="605" t="str">
        <f t="shared" si="96"/>
        <v>0-10%</v>
      </c>
      <c r="AO184" s="605">
        <f t="shared" si="97"/>
        <v>0</v>
      </c>
      <c r="AP184" s="574">
        <f t="shared" si="98"/>
        <v>0</v>
      </c>
      <c r="AQ184" s="574" t="str">
        <f t="shared" si="99"/>
        <v>no</v>
      </c>
      <c r="AR184" s="574">
        <f t="shared" si="100"/>
        <v>1.44</v>
      </c>
      <c r="AS184" s="574">
        <f t="shared" si="101"/>
        <v>0</v>
      </c>
      <c r="AT184" s="574">
        <f t="shared" si="102"/>
        <v>0</v>
      </c>
      <c r="AU184" s="589">
        <v>0</v>
      </c>
      <c r="AV184" s="635">
        <f t="shared" si="103"/>
        <v>0</v>
      </c>
      <c r="AW184" s="636" t="s">
        <v>703</v>
      </c>
      <c r="AX184" s="740">
        <v>0</v>
      </c>
      <c r="AY184" s="428">
        <v>0</v>
      </c>
      <c r="AZ184" s="428">
        <v>6</v>
      </c>
      <c r="BA184" s="473" t="s">
        <v>526</v>
      </c>
      <c r="BB184" s="548">
        <f t="shared" si="104"/>
        <v>0</v>
      </c>
      <c r="BC184" s="606">
        <f t="shared" si="105"/>
        <v>0</v>
      </c>
      <c r="BD184" s="548">
        <f t="shared" si="106"/>
        <v>0</v>
      </c>
      <c r="BE184" s="606">
        <f t="shared" si="107"/>
        <v>0</v>
      </c>
      <c r="BF184" s="549">
        <f t="shared" si="108"/>
        <v>0</v>
      </c>
      <c r="BG184" s="606">
        <f t="shared" si="109"/>
        <v>0</v>
      </c>
      <c r="BH184" s="519" t="s">
        <v>475</v>
      </c>
      <c r="BI184" s="429">
        <v>1</v>
      </c>
      <c r="BJ184" s="606">
        <f t="shared" si="130"/>
        <v>360</v>
      </c>
      <c r="BK184" s="606" t="str">
        <f t="shared" si="110"/>
        <v>n/a</v>
      </c>
      <c r="BL184" s="428" t="s">
        <v>475</v>
      </c>
      <c r="BM184" s="548" t="str">
        <f t="shared" si="111"/>
        <v>n/a</v>
      </c>
      <c r="BN184" s="606" t="str">
        <f t="shared" si="112"/>
        <v>n/a</v>
      </c>
      <c r="BO184" s="606" t="str">
        <f t="shared" si="113"/>
        <v>n/a</v>
      </c>
      <c r="BP184" s="578" t="s">
        <v>475</v>
      </c>
      <c r="BQ184" s="606" t="s">
        <v>475</v>
      </c>
      <c r="BR184" s="578" t="s">
        <v>475</v>
      </c>
      <c r="BS184" s="548" t="str">
        <f t="shared" si="114"/>
        <v>n/a</v>
      </c>
      <c r="BT184" s="607" t="str">
        <f t="shared" si="115"/>
        <v>n/a</v>
      </c>
      <c r="BU184" s="651" t="s">
        <v>475</v>
      </c>
      <c r="BV184" s="650" t="str">
        <f t="shared" si="116"/>
        <v>n/a</v>
      </c>
      <c r="BW184" s="325" t="s">
        <v>663</v>
      </c>
      <c r="BX184" s="470" t="s">
        <v>475</v>
      </c>
      <c r="BY184" s="1192"/>
      <c r="BZ184" s="1192"/>
      <c r="CA184" s="608" t="str">
        <f t="shared" si="117"/>
        <v>n/a</v>
      </c>
      <c r="CB184" s="428"/>
      <c r="CC184" s="428"/>
      <c r="CD184" s="609" t="str">
        <f t="shared" si="118"/>
        <v>n/a</v>
      </c>
      <c r="CE184" s="610" t="str">
        <f t="shared" si="119"/>
        <v>n/a</v>
      </c>
      <c r="CF184" s="609" t="str">
        <f t="shared" si="120"/>
        <v>n/a</v>
      </c>
      <c r="CG184" s="658" t="str">
        <f t="shared" si="121"/>
        <v>n/a</v>
      </c>
      <c r="CH184" s="328"/>
      <c r="CI184" s="330"/>
      <c r="CJ184" s="664">
        <f t="shared" si="122"/>
        <v>0</v>
      </c>
      <c r="CK184" s="328"/>
      <c r="CL184" s="611" t="str">
        <f t="shared" si="131"/>
        <v>No coverage</v>
      </c>
      <c r="CM184" s="428" t="s">
        <v>38</v>
      </c>
      <c r="CN184" s="428" t="s">
        <v>475</v>
      </c>
      <c r="CO184" s="428" t="s">
        <v>38</v>
      </c>
      <c r="CP184" s="570" t="s">
        <v>38</v>
      </c>
      <c r="CQ184" s="669"/>
      <c r="CS184" s="1069">
        <f t="shared" si="123"/>
        <v>0</v>
      </c>
      <c r="CT184" s="1069">
        <f t="shared" si="124"/>
        <v>0</v>
      </c>
      <c r="CU184" s="1066">
        <f t="shared" si="125"/>
        <v>0</v>
      </c>
      <c r="CV184" s="1066">
        <f t="shared" si="126"/>
        <v>0</v>
      </c>
      <c r="CW184" s="1082">
        <f t="shared" si="127"/>
        <v>0.9</v>
      </c>
      <c r="CX184" s="1082">
        <f t="shared" si="128"/>
        <v>1.44</v>
      </c>
    </row>
    <row r="185" spans="2:102" ht="18" customHeight="1">
      <c r="B185" s="721" t="s">
        <v>171</v>
      </c>
      <c r="C185" s="604"/>
      <c r="D185" s="604"/>
      <c r="E185" s="1057">
        <v>197279</v>
      </c>
      <c r="F185" s="721" t="s">
        <v>697</v>
      </c>
      <c r="G185" s="722">
        <v>93.35</v>
      </c>
      <c r="H185" s="722">
        <v>20.100000000000001</v>
      </c>
      <c r="I185" s="595" t="s">
        <v>33</v>
      </c>
      <c r="J185" s="595" t="s">
        <v>45</v>
      </c>
      <c r="K185" s="604" t="s">
        <v>607</v>
      </c>
      <c r="L185" s="585">
        <v>0</v>
      </c>
      <c r="M185" s="585">
        <v>0</v>
      </c>
      <c r="N185" s="726">
        <v>964</v>
      </c>
      <c r="O185" s="328" t="s">
        <v>983</v>
      </c>
      <c r="P185" s="1134" t="str">
        <f t="shared" si="88"/>
        <v>2. Medium</v>
      </c>
      <c r="Q185" s="968" t="s">
        <v>153</v>
      </c>
      <c r="R185" s="1137"/>
      <c r="S185" s="621" t="s">
        <v>49</v>
      </c>
      <c r="T185" s="323" t="str">
        <f t="shared" si="89"/>
        <v>Covered</v>
      </c>
      <c r="U185" s="581">
        <v>42338</v>
      </c>
      <c r="V185" s="1145"/>
      <c r="W185" s="558" t="s">
        <v>154</v>
      </c>
      <c r="X185" s="585">
        <v>0</v>
      </c>
      <c r="Y185" s="585">
        <v>0</v>
      </c>
      <c r="Z185" s="598" t="s">
        <v>43</v>
      </c>
      <c r="AA185" s="597"/>
      <c r="AB185" s="585"/>
      <c r="AC185" s="585"/>
      <c r="AD185" s="585"/>
      <c r="AE185" s="598"/>
      <c r="AF185" s="583"/>
      <c r="AG185" s="584"/>
      <c r="AH185" s="630">
        <f t="shared" si="90"/>
        <v>0</v>
      </c>
      <c r="AI185" s="577">
        <f t="shared" si="91"/>
        <v>0</v>
      </c>
      <c r="AJ185" s="605">
        <f t="shared" si="92"/>
        <v>0</v>
      </c>
      <c r="AK185" s="577">
        <f t="shared" si="93"/>
        <v>0</v>
      </c>
      <c r="AL185" s="631">
        <f t="shared" si="94"/>
        <v>0</v>
      </c>
      <c r="AM185" s="577">
        <f t="shared" si="95"/>
        <v>0</v>
      </c>
      <c r="AN185" s="633" t="str">
        <f t="shared" si="96"/>
        <v>0-10%</v>
      </c>
      <c r="AO185" s="631">
        <f t="shared" si="97"/>
        <v>0</v>
      </c>
      <c r="AP185" s="577">
        <f t="shared" si="98"/>
        <v>0</v>
      </c>
      <c r="AQ185" s="577" t="str">
        <f t="shared" si="99"/>
        <v>no</v>
      </c>
      <c r="AR185" s="574">
        <f t="shared" si="100"/>
        <v>3.8559999999999999</v>
      </c>
      <c r="AS185" s="574">
        <f t="shared" si="101"/>
        <v>0</v>
      </c>
      <c r="AT185" s="574">
        <f t="shared" si="102"/>
        <v>0</v>
      </c>
      <c r="AU185" s="589"/>
      <c r="AV185" s="635">
        <f t="shared" si="103"/>
        <v>0</v>
      </c>
      <c r="AW185" s="637"/>
      <c r="AX185" s="1079"/>
      <c r="AY185" s="580"/>
      <c r="AZ185" s="428">
        <v>6</v>
      </c>
      <c r="BA185" s="473"/>
      <c r="BB185" s="548">
        <f t="shared" si="104"/>
        <v>0</v>
      </c>
      <c r="BC185" s="606">
        <f t="shared" si="105"/>
        <v>0</v>
      </c>
      <c r="BD185" s="548">
        <f t="shared" si="106"/>
        <v>0</v>
      </c>
      <c r="BE185" s="576">
        <f t="shared" si="107"/>
        <v>0</v>
      </c>
      <c r="BF185" s="646">
        <f t="shared" si="108"/>
        <v>0</v>
      </c>
      <c r="BG185" s="606">
        <f t="shared" si="109"/>
        <v>0</v>
      </c>
      <c r="BH185" s="593" t="s">
        <v>475</v>
      </c>
      <c r="BI185" s="586">
        <v>0.09</v>
      </c>
      <c r="BJ185" s="606">
        <f t="shared" si="130"/>
        <v>86.759999999999991</v>
      </c>
      <c r="BK185" s="596" t="str">
        <f t="shared" si="110"/>
        <v>n/a</v>
      </c>
      <c r="BL185" s="580" t="s">
        <v>475</v>
      </c>
      <c r="BM185" s="645" t="str">
        <f t="shared" si="111"/>
        <v>n/a</v>
      </c>
      <c r="BN185" s="606" t="str">
        <f t="shared" si="112"/>
        <v>n/a</v>
      </c>
      <c r="BO185" s="596" t="str">
        <f t="shared" si="113"/>
        <v>n/a</v>
      </c>
      <c r="BP185" s="647" t="s">
        <v>475</v>
      </c>
      <c r="BQ185" s="606" t="s">
        <v>475</v>
      </c>
      <c r="BR185" s="647" t="s">
        <v>475</v>
      </c>
      <c r="BS185" s="645" t="str">
        <f t="shared" si="114"/>
        <v>n/a</v>
      </c>
      <c r="BT185" s="648" t="str">
        <f t="shared" si="115"/>
        <v>n/a</v>
      </c>
      <c r="BU185" s="652" t="s">
        <v>475</v>
      </c>
      <c r="BV185" s="650" t="str">
        <f t="shared" si="116"/>
        <v>n/a</v>
      </c>
      <c r="BW185" s="584"/>
      <c r="BX185" s="591" t="s">
        <v>475</v>
      </c>
      <c r="BY185" s="1193"/>
      <c r="BZ185" s="1193"/>
      <c r="CA185" s="659" t="str">
        <f t="shared" si="117"/>
        <v>n/a</v>
      </c>
      <c r="CB185" s="580"/>
      <c r="CC185" s="580"/>
      <c r="CD185" s="660" t="str">
        <f t="shared" si="118"/>
        <v>n/a</v>
      </c>
      <c r="CE185" s="661" t="str">
        <f t="shared" si="119"/>
        <v>n/a</v>
      </c>
      <c r="CF185" s="609" t="str">
        <f t="shared" si="120"/>
        <v>n/a</v>
      </c>
      <c r="CG185" s="662" t="str">
        <f t="shared" si="121"/>
        <v>n/a</v>
      </c>
      <c r="CH185" s="579"/>
      <c r="CI185" s="589"/>
      <c r="CJ185" s="664">
        <f t="shared" si="122"/>
        <v>0</v>
      </c>
      <c r="CK185" s="579"/>
      <c r="CL185" s="674" t="s">
        <v>670</v>
      </c>
      <c r="CM185" s="580" t="s">
        <v>38</v>
      </c>
      <c r="CN185" s="580" t="s">
        <v>475</v>
      </c>
      <c r="CO185" s="580" t="s">
        <v>38</v>
      </c>
      <c r="CP185" s="590" t="s">
        <v>38</v>
      </c>
      <c r="CQ185" s="670"/>
      <c r="CS185" s="1069">
        <f t="shared" si="123"/>
        <v>0</v>
      </c>
      <c r="CT185" s="1069">
        <f t="shared" si="124"/>
        <v>0</v>
      </c>
      <c r="CU185" s="1066">
        <f t="shared" si="125"/>
        <v>0</v>
      </c>
      <c r="CV185" s="1066">
        <f t="shared" si="126"/>
        <v>0</v>
      </c>
      <c r="CW185" s="1082">
        <f t="shared" si="127"/>
        <v>2.41</v>
      </c>
      <c r="CX185" s="1082">
        <f t="shared" si="128"/>
        <v>3.8559999999999999</v>
      </c>
    </row>
    <row r="186" spans="2:102" ht="18" customHeight="1">
      <c r="B186" s="721" t="s">
        <v>171</v>
      </c>
      <c r="C186" s="604"/>
      <c r="D186" s="604"/>
      <c r="E186" s="1057">
        <v>197277</v>
      </c>
      <c r="F186" s="721" t="s">
        <v>698</v>
      </c>
      <c r="G186" s="722">
        <v>93.36</v>
      </c>
      <c r="H186" s="722">
        <v>20.079999999999998</v>
      </c>
      <c r="I186" s="595" t="s">
        <v>33</v>
      </c>
      <c r="J186" s="595" t="s">
        <v>45</v>
      </c>
      <c r="K186" s="604" t="s">
        <v>607</v>
      </c>
      <c r="L186" s="585">
        <v>0</v>
      </c>
      <c r="M186" s="585">
        <v>0</v>
      </c>
      <c r="N186" s="726">
        <v>368</v>
      </c>
      <c r="O186" s="328" t="s">
        <v>983</v>
      </c>
      <c r="P186" s="1134" t="str">
        <f t="shared" si="88"/>
        <v>1. Small</v>
      </c>
      <c r="Q186" s="968" t="s">
        <v>153</v>
      </c>
      <c r="R186" s="1137"/>
      <c r="S186" s="621" t="s">
        <v>49</v>
      </c>
      <c r="T186" s="323" t="str">
        <f t="shared" si="89"/>
        <v>Covered</v>
      </c>
      <c r="U186" s="581">
        <v>42338</v>
      </c>
      <c r="V186" s="1145"/>
      <c r="W186" s="558" t="s">
        <v>154</v>
      </c>
      <c r="X186" s="585">
        <v>0</v>
      </c>
      <c r="Y186" s="585">
        <v>0</v>
      </c>
      <c r="Z186" s="598" t="s">
        <v>43</v>
      </c>
      <c r="AA186" s="597"/>
      <c r="AB186" s="585"/>
      <c r="AC186" s="585"/>
      <c r="AD186" s="585"/>
      <c r="AE186" s="598"/>
      <c r="AF186" s="583"/>
      <c r="AG186" s="584"/>
      <c r="AH186" s="630">
        <f t="shared" si="90"/>
        <v>0</v>
      </c>
      <c r="AI186" s="577">
        <f t="shared" si="91"/>
        <v>0</v>
      </c>
      <c r="AJ186" s="605">
        <f t="shared" si="92"/>
        <v>0</v>
      </c>
      <c r="AK186" s="577">
        <f t="shared" si="93"/>
        <v>0</v>
      </c>
      <c r="AL186" s="631">
        <f t="shared" si="94"/>
        <v>0</v>
      </c>
      <c r="AM186" s="577">
        <f t="shared" si="95"/>
        <v>0</v>
      </c>
      <c r="AN186" s="633" t="str">
        <f t="shared" si="96"/>
        <v>0-10%</v>
      </c>
      <c r="AO186" s="631">
        <f t="shared" si="97"/>
        <v>0</v>
      </c>
      <c r="AP186" s="577">
        <f t="shared" si="98"/>
        <v>0</v>
      </c>
      <c r="AQ186" s="577" t="str">
        <f t="shared" si="99"/>
        <v>no</v>
      </c>
      <c r="AR186" s="574">
        <f t="shared" si="100"/>
        <v>1.472</v>
      </c>
      <c r="AS186" s="574">
        <f t="shared" si="101"/>
        <v>0</v>
      </c>
      <c r="AT186" s="574">
        <f t="shared" si="102"/>
        <v>0</v>
      </c>
      <c r="AU186" s="589"/>
      <c r="AV186" s="635">
        <f t="shared" si="103"/>
        <v>0</v>
      </c>
      <c r="AW186" s="637"/>
      <c r="AX186" s="1079"/>
      <c r="AY186" s="580"/>
      <c r="AZ186" s="428">
        <v>6</v>
      </c>
      <c r="BA186" s="473"/>
      <c r="BB186" s="548">
        <f t="shared" si="104"/>
        <v>0</v>
      </c>
      <c r="BC186" s="606">
        <f t="shared" si="105"/>
        <v>0</v>
      </c>
      <c r="BD186" s="548">
        <f t="shared" si="106"/>
        <v>0</v>
      </c>
      <c r="BE186" s="576">
        <f t="shared" si="107"/>
        <v>0</v>
      </c>
      <c r="BF186" s="646">
        <f t="shared" si="108"/>
        <v>0</v>
      </c>
      <c r="BG186" s="606">
        <f t="shared" si="109"/>
        <v>0</v>
      </c>
      <c r="BH186" s="593" t="s">
        <v>475</v>
      </c>
      <c r="BI186" s="586">
        <v>0</v>
      </c>
      <c r="BJ186" s="606">
        <f t="shared" si="130"/>
        <v>0</v>
      </c>
      <c r="BK186" s="596" t="str">
        <f t="shared" si="110"/>
        <v>n/a</v>
      </c>
      <c r="BL186" s="580" t="s">
        <v>475</v>
      </c>
      <c r="BM186" s="645" t="str">
        <f t="shared" si="111"/>
        <v>n/a</v>
      </c>
      <c r="BN186" s="606" t="str">
        <f t="shared" si="112"/>
        <v>n/a</v>
      </c>
      <c r="BO186" s="596" t="str">
        <f t="shared" si="113"/>
        <v>n/a</v>
      </c>
      <c r="BP186" s="647" t="s">
        <v>475</v>
      </c>
      <c r="BQ186" s="606" t="s">
        <v>475</v>
      </c>
      <c r="BR186" s="647" t="s">
        <v>475</v>
      </c>
      <c r="BS186" s="645" t="str">
        <f t="shared" si="114"/>
        <v>n/a</v>
      </c>
      <c r="BT186" s="648" t="str">
        <f t="shared" si="115"/>
        <v>n/a</v>
      </c>
      <c r="BU186" s="652" t="s">
        <v>475</v>
      </c>
      <c r="BV186" s="650" t="str">
        <f t="shared" si="116"/>
        <v>n/a</v>
      </c>
      <c r="BW186" s="584"/>
      <c r="BX186" s="591" t="s">
        <v>475</v>
      </c>
      <c r="BY186" s="1193"/>
      <c r="BZ186" s="1193"/>
      <c r="CA186" s="659" t="str">
        <f t="shared" si="117"/>
        <v>n/a</v>
      </c>
      <c r="CB186" s="580"/>
      <c r="CC186" s="580"/>
      <c r="CD186" s="660" t="str">
        <f t="shared" si="118"/>
        <v>n/a</v>
      </c>
      <c r="CE186" s="661" t="str">
        <f t="shared" si="119"/>
        <v>n/a</v>
      </c>
      <c r="CF186" s="609" t="str">
        <f t="shared" si="120"/>
        <v>n/a</v>
      </c>
      <c r="CG186" s="662" t="str">
        <f t="shared" si="121"/>
        <v>n/a</v>
      </c>
      <c r="CH186" s="579"/>
      <c r="CI186" s="589"/>
      <c r="CJ186" s="664">
        <f t="shared" si="122"/>
        <v>0</v>
      </c>
      <c r="CK186" s="579"/>
      <c r="CL186" s="674" t="s">
        <v>670</v>
      </c>
      <c r="CM186" s="580" t="s">
        <v>38</v>
      </c>
      <c r="CN186" s="580" t="s">
        <v>475</v>
      </c>
      <c r="CO186" s="580" t="s">
        <v>38</v>
      </c>
      <c r="CP186" s="590" t="s">
        <v>38</v>
      </c>
      <c r="CQ186" s="670"/>
      <c r="CS186" s="1069">
        <f t="shared" si="123"/>
        <v>0</v>
      </c>
      <c r="CT186" s="1069">
        <f t="shared" si="124"/>
        <v>0</v>
      </c>
      <c r="CU186" s="1066">
        <f t="shared" si="125"/>
        <v>0</v>
      </c>
      <c r="CV186" s="1066">
        <f t="shared" si="126"/>
        <v>0</v>
      </c>
      <c r="CW186" s="1082">
        <f t="shared" si="127"/>
        <v>0.92</v>
      </c>
      <c r="CX186" s="1082">
        <f t="shared" si="128"/>
        <v>1.472</v>
      </c>
    </row>
    <row r="187" spans="2:102" ht="18" customHeight="1">
      <c r="B187" s="402" t="s">
        <v>171</v>
      </c>
      <c r="C187" s="603"/>
      <c r="D187" s="603"/>
      <c r="E187" s="1052" t="s">
        <v>207</v>
      </c>
      <c r="F187" s="402" t="s">
        <v>50</v>
      </c>
      <c r="G187" s="556">
        <v>93.373951000000005</v>
      </c>
      <c r="H187" s="556">
        <v>20.041981</v>
      </c>
      <c r="I187" s="560" t="s">
        <v>44</v>
      </c>
      <c r="J187" s="560" t="s">
        <v>45</v>
      </c>
      <c r="K187" s="604" t="s">
        <v>640</v>
      </c>
      <c r="L187" s="428">
        <v>41</v>
      </c>
      <c r="M187" s="428">
        <v>198</v>
      </c>
      <c r="N187" s="570">
        <v>198</v>
      </c>
      <c r="O187" s="328" t="s">
        <v>983</v>
      </c>
      <c r="P187" s="720" t="str">
        <f t="shared" si="88"/>
        <v>1. Small</v>
      </c>
      <c r="Q187" s="968" t="s">
        <v>153</v>
      </c>
      <c r="R187" s="625" t="s">
        <v>49</v>
      </c>
      <c r="S187" s="620" t="s">
        <v>49</v>
      </c>
      <c r="T187" s="323" t="str">
        <f t="shared" si="89"/>
        <v>Covered</v>
      </c>
      <c r="U187" s="561">
        <v>42338</v>
      </c>
      <c r="V187" s="618"/>
      <c r="W187" s="558" t="s">
        <v>152</v>
      </c>
      <c r="X187" s="428">
        <v>0</v>
      </c>
      <c r="Y187" s="428">
        <v>0</v>
      </c>
      <c r="Z187" s="570" t="s">
        <v>43</v>
      </c>
      <c r="AA187" s="328">
        <v>0</v>
      </c>
      <c r="AB187" s="428">
        <v>0</v>
      </c>
      <c r="AC187" s="428">
        <v>0</v>
      </c>
      <c r="AD187" s="428">
        <v>1</v>
      </c>
      <c r="AE187" s="570"/>
      <c r="AF187" s="329">
        <v>1</v>
      </c>
      <c r="AG187" s="330">
        <v>1</v>
      </c>
      <c r="AH187" s="630">
        <f t="shared" si="90"/>
        <v>0</v>
      </c>
      <c r="AI187" s="574">
        <f t="shared" si="91"/>
        <v>0</v>
      </c>
      <c r="AJ187" s="605">
        <f t="shared" si="92"/>
        <v>0</v>
      </c>
      <c r="AK187" s="574">
        <f t="shared" si="93"/>
        <v>0</v>
      </c>
      <c r="AL187" s="605">
        <f t="shared" si="94"/>
        <v>1</v>
      </c>
      <c r="AM187" s="574">
        <f t="shared" si="95"/>
        <v>198</v>
      </c>
      <c r="AN187" s="605" t="str">
        <f t="shared" si="96"/>
        <v>0-10%</v>
      </c>
      <c r="AO187" s="605">
        <f t="shared" si="97"/>
        <v>0</v>
      </c>
      <c r="AP187" s="574">
        <f t="shared" si="98"/>
        <v>0</v>
      </c>
      <c r="AQ187" s="574" t="str">
        <f t="shared" si="99"/>
        <v>yes</v>
      </c>
      <c r="AR187" s="574">
        <f t="shared" si="100"/>
        <v>0.495</v>
      </c>
      <c r="AS187" s="574">
        <f t="shared" si="101"/>
        <v>198</v>
      </c>
      <c r="AT187" s="574">
        <f t="shared" si="102"/>
        <v>198</v>
      </c>
      <c r="AU187" s="589">
        <v>1</v>
      </c>
      <c r="AV187" s="635">
        <f t="shared" si="103"/>
        <v>198</v>
      </c>
      <c r="AW187" s="636" t="s">
        <v>513</v>
      </c>
      <c r="AX187" s="740">
        <v>0</v>
      </c>
      <c r="AY187" s="428">
        <v>14</v>
      </c>
      <c r="AZ187" s="428">
        <v>20</v>
      </c>
      <c r="BA187" s="473" t="s">
        <v>964</v>
      </c>
      <c r="BB187" s="548">
        <f t="shared" si="104"/>
        <v>1</v>
      </c>
      <c r="BC187" s="606">
        <f t="shared" si="105"/>
        <v>198</v>
      </c>
      <c r="BD187" s="548">
        <f t="shared" si="106"/>
        <v>1</v>
      </c>
      <c r="BE187" s="606">
        <f t="shared" si="107"/>
        <v>198</v>
      </c>
      <c r="BF187" s="549">
        <f t="shared" si="108"/>
        <v>0</v>
      </c>
      <c r="BG187" s="606">
        <f t="shared" si="109"/>
        <v>0</v>
      </c>
      <c r="BH187" s="519" t="s">
        <v>475</v>
      </c>
      <c r="BI187" s="429">
        <v>1</v>
      </c>
      <c r="BJ187" s="606">
        <f t="shared" si="130"/>
        <v>198</v>
      </c>
      <c r="BK187" s="606">
        <f t="shared" si="110"/>
        <v>0</v>
      </c>
      <c r="BL187" s="428">
        <v>7</v>
      </c>
      <c r="BM187" s="548">
        <f t="shared" si="111"/>
        <v>0.19797979797979795</v>
      </c>
      <c r="BN187" s="606">
        <f t="shared" si="112"/>
        <v>39.199999999999996</v>
      </c>
      <c r="BO187" s="606">
        <f t="shared" si="113"/>
        <v>28.357142857142861</v>
      </c>
      <c r="BP187" s="578">
        <v>1</v>
      </c>
      <c r="BQ187" s="606">
        <v>198</v>
      </c>
      <c r="BR187" s="519">
        <v>2</v>
      </c>
      <c r="BS187" s="548">
        <f t="shared" si="114"/>
        <v>1</v>
      </c>
      <c r="BT187" s="607">
        <f t="shared" si="115"/>
        <v>0</v>
      </c>
      <c r="BU187" s="651">
        <v>0</v>
      </c>
      <c r="BV187" s="650">
        <f t="shared" si="116"/>
        <v>0</v>
      </c>
      <c r="BW187" s="325" t="s">
        <v>662</v>
      </c>
      <c r="BX187" s="470">
        <v>42261</v>
      </c>
      <c r="BY187" s="1192"/>
      <c r="BZ187" s="1192"/>
      <c r="CA187" s="608">
        <f t="shared" si="117"/>
        <v>42626</v>
      </c>
      <c r="CB187" s="428">
        <v>42</v>
      </c>
      <c r="CC187" s="428">
        <v>4</v>
      </c>
      <c r="CD187" s="609">
        <f t="shared" si="118"/>
        <v>0</v>
      </c>
      <c r="CE187" s="610">
        <f t="shared" si="119"/>
        <v>1</v>
      </c>
      <c r="CF187" s="609">
        <f t="shared" si="120"/>
        <v>198</v>
      </c>
      <c r="CG187" s="658">
        <f t="shared" si="121"/>
        <v>0</v>
      </c>
      <c r="CH187" s="328"/>
      <c r="CI187" s="330">
        <v>1</v>
      </c>
      <c r="CJ187" s="664">
        <f t="shared" si="122"/>
        <v>198</v>
      </c>
      <c r="CK187" s="328">
        <v>2</v>
      </c>
      <c r="CL187" s="611" t="str">
        <f>IF(CK187=0,"No coverage",IF(N187/CK187&gt;1000,"Low coverage",IF(N187/CK187&gt;750,"Average coverage",IF(N187/CK187&gt;500,"Good coverage","Excellent coverage"))))</f>
        <v>Excellent coverage</v>
      </c>
      <c r="CM187" s="428" t="s">
        <v>170</v>
      </c>
      <c r="CN187" s="428" t="s">
        <v>35</v>
      </c>
      <c r="CO187" s="428" t="s">
        <v>41</v>
      </c>
      <c r="CP187" s="570" t="s">
        <v>41</v>
      </c>
      <c r="CQ187" s="669" t="s">
        <v>666</v>
      </c>
      <c r="CS187" s="1069">
        <f t="shared" si="123"/>
        <v>0</v>
      </c>
      <c r="CT187" s="1069">
        <f t="shared" si="124"/>
        <v>0</v>
      </c>
      <c r="CU187" s="1066">
        <f t="shared" si="125"/>
        <v>0</v>
      </c>
      <c r="CV187" s="1066">
        <f t="shared" si="126"/>
        <v>0</v>
      </c>
      <c r="CW187" s="1082">
        <f t="shared" si="127"/>
        <v>0.495</v>
      </c>
      <c r="CX187" s="1082">
        <f t="shared" si="128"/>
        <v>0.79200000000000004</v>
      </c>
    </row>
    <row r="188" spans="2:102" ht="18" customHeight="1">
      <c r="B188" s="402" t="s">
        <v>171</v>
      </c>
      <c r="C188" s="603"/>
      <c r="D188" s="603"/>
      <c r="E188" s="1052" t="s">
        <v>207</v>
      </c>
      <c r="F188" s="402" t="s">
        <v>50</v>
      </c>
      <c r="G188" s="556">
        <v>93.373951000000005</v>
      </c>
      <c r="H188" s="556">
        <v>20.041981</v>
      </c>
      <c r="I188" s="560" t="s">
        <v>33</v>
      </c>
      <c r="J188" s="560" t="s">
        <v>45</v>
      </c>
      <c r="K188" s="604" t="s">
        <v>508</v>
      </c>
      <c r="L188" s="428">
        <v>0</v>
      </c>
      <c r="M188" s="428">
        <v>0</v>
      </c>
      <c r="N188" s="570">
        <v>1047</v>
      </c>
      <c r="O188" s="328" t="s">
        <v>983</v>
      </c>
      <c r="P188" s="720" t="str">
        <f t="shared" si="88"/>
        <v>3. Large</v>
      </c>
      <c r="Q188" s="968" t="s">
        <v>153</v>
      </c>
      <c r="R188" s="625"/>
      <c r="S188" s="620" t="s">
        <v>49</v>
      </c>
      <c r="T188" s="323" t="str">
        <f t="shared" si="89"/>
        <v>Covered</v>
      </c>
      <c r="U188" s="561">
        <v>42338</v>
      </c>
      <c r="V188" s="618"/>
      <c r="W188" s="558" t="s">
        <v>152</v>
      </c>
      <c r="X188" s="428">
        <v>0</v>
      </c>
      <c r="Y188" s="428">
        <v>0</v>
      </c>
      <c r="Z188" s="570" t="s">
        <v>43</v>
      </c>
      <c r="AA188" s="328">
        <v>0</v>
      </c>
      <c r="AB188" s="428">
        <v>0</v>
      </c>
      <c r="AC188" s="428">
        <v>0</v>
      </c>
      <c r="AD188" s="428">
        <v>1</v>
      </c>
      <c r="AE188" s="570"/>
      <c r="AF188" s="329">
        <v>0</v>
      </c>
      <c r="AG188" s="330">
        <v>0</v>
      </c>
      <c r="AH188" s="630">
        <f t="shared" si="90"/>
        <v>0</v>
      </c>
      <c r="AI188" s="574">
        <f t="shared" si="91"/>
        <v>0</v>
      </c>
      <c r="AJ188" s="605">
        <f t="shared" si="92"/>
        <v>0</v>
      </c>
      <c r="AK188" s="574">
        <f t="shared" si="93"/>
        <v>0</v>
      </c>
      <c r="AL188" s="605">
        <f t="shared" si="94"/>
        <v>0</v>
      </c>
      <c r="AM188" s="574">
        <f t="shared" si="95"/>
        <v>0</v>
      </c>
      <c r="AN188" s="605" t="str">
        <f t="shared" si="96"/>
        <v>0-10%</v>
      </c>
      <c r="AO188" s="605">
        <f t="shared" si="97"/>
        <v>0</v>
      </c>
      <c r="AP188" s="574">
        <f t="shared" si="98"/>
        <v>0</v>
      </c>
      <c r="AQ188" s="574" t="str">
        <f t="shared" si="99"/>
        <v>yes</v>
      </c>
      <c r="AR188" s="574">
        <f t="shared" si="100"/>
        <v>4.1879999999999997</v>
      </c>
      <c r="AS188" s="574">
        <f t="shared" si="101"/>
        <v>0</v>
      </c>
      <c r="AT188" s="574">
        <f t="shared" si="102"/>
        <v>0</v>
      </c>
      <c r="AU188" s="589">
        <v>0</v>
      </c>
      <c r="AV188" s="635">
        <f t="shared" si="103"/>
        <v>0</v>
      </c>
      <c r="AW188" s="636" t="s">
        <v>661</v>
      </c>
      <c r="AX188" s="740">
        <v>0</v>
      </c>
      <c r="AY188" s="428">
        <v>0</v>
      </c>
      <c r="AZ188" s="428">
        <v>6</v>
      </c>
      <c r="BA188" s="473" t="s">
        <v>526</v>
      </c>
      <c r="BB188" s="548">
        <f t="shared" si="104"/>
        <v>0</v>
      </c>
      <c r="BC188" s="606">
        <f t="shared" si="105"/>
        <v>0</v>
      </c>
      <c r="BD188" s="548">
        <f t="shared" si="106"/>
        <v>0</v>
      </c>
      <c r="BE188" s="606">
        <f t="shared" si="107"/>
        <v>0</v>
      </c>
      <c r="BF188" s="549">
        <f t="shared" si="108"/>
        <v>0</v>
      </c>
      <c r="BG188" s="606">
        <f t="shared" si="109"/>
        <v>0</v>
      </c>
      <c r="BH188" s="519" t="s">
        <v>475</v>
      </c>
      <c r="BI188" s="429">
        <v>0</v>
      </c>
      <c r="BJ188" s="606">
        <f t="shared" si="130"/>
        <v>0</v>
      </c>
      <c r="BK188" s="606" t="str">
        <f t="shared" si="110"/>
        <v>n/a</v>
      </c>
      <c r="BL188" s="428" t="s">
        <v>475</v>
      </c>
      <c r="BM188" s="548" t="str">
        <f t="shared" si="111"/>
        <v>n/a</v>
      </c>
      <c r="BN188" s="606" t="str">
        <f t="shared" si="112"/>
        <v>n/a</v>
      </c>
      <c r="BO188" s="606" t="str">
        <f t="shared" si="113"/>
        <v>n/a</v>
      </c>
      <c r="BP188" s="578" t="s">
        <v>475</v>
      </c>
      <c r="BQ188" s="606" t="s">
        <v>475</v>
      </c>
      <c r="BR188" s="578" t="s">
        <v>475</v>
      </c>
      <c r="BS188" s="548" t="str">
        <f t="shared" si="114"/>
        <v>n/a</v>
      </c>
      <c r="BT188" s="607" t="str">
        <f t="shared" si="115"/>
        <v>n/a</v>
      </c>
      <c r="BU188" s="651" t="s">
        <v>475</v>
      </c>
      <c r="BV188" s="650" t="str">
        <f t="shared" si="116"/>
        <v>n/a</v>
      </c>
      <c r="BW188" s="325"/>
      <c r="BX188" s="470" t="s">
        <v>475</v>
      </c>
      <c r="BY188" s="1192"/>
      <c r="BZ188" s="1192"/>
      <c r="CA188" s="608" t="str">
        <f t="shared" si="117"/>
        <v>n/a</v>
      </c>
      <c r="CB188" s="428"/>
      <c r="CC188" s="428"/>
      <c r="CD188" s="609" t="str">
        <f t="shared" si="118"/>
        <v>n/a</v>
      </c>
      <c r="CE188" s="610" t="str">
        <f t="shared" si="119"/>
        <v>n/a</v>
      </c>
      <c r="CF188" s="609" t="str">
        <f t="shared" si="120"/>
        <v>n/a</v>
      </c>
      <c r="CG188" s="658" t="str">
        <f t="shared" si="121"/>
        <v>n/a</v>
      </c>
      <c r="CH188" s="328"/>
      <c r="CI188" s="330">
        <v>0</v>
      </c>
      <c r="CJ188" s="664">
        <f t="shared" si="122"/>
        <v>0</v>
      </c>
      <c r="CK188" s="328">
        <v>0</v>
      </c>
      <c r="CL188" s="611" t="str">
        <f>IF(CK188=0,"No coverage",IF(N188/CK188&gt;1000,"Low coverage",IF(N188/CK188&gt;750,"Average coverage",IF(N188/CK188&gt;500,"Good coverage","Excellent coverage"))))</f>
        <v>No coverage</v>
      </c>
      <c r="CM188" s="428" t="s">
        <v>38</v>
      </c>
      <c r="CN188" s="428" t="s">
        <v>475</v>
      </c>
      <c r="CO188" s="428" t="s">
        <v>38</v>
      </c>
      <c r="CP188" s="570" t="s">
        <v>38</v>
      </c>
      <c r="CQ188" s="669"/>
      <c r="CS188" s="1069">
        <f t="shared" si="123"/>
        <v>0</v>
      </c>
      <c r="CT188" s="1069">
        <f t="shared" si="124"/>
        <v>0</v>
      </c>
      <c r="CU188" s="1066">
        <f t="shared" si="125"/>
        <v>0</v>
      </c>
      <c r="CV188" s="1066">
        <f t="shared" si="126"/>
        <v>0</v>
      </c>
      <c r="CW188" s="1082">
        <f t="shared" si="127"/>
        <v>2.6175000000000002</v>
      </c>
      <c r="CX188" s="1082">
        <f t="shared" si="128"/>
        <v>4.1879999999999997</v>
      </c>
    </row>
    <row r="189" spans="2:102" ht="18" customHeight="1">
      <c r="B189" s="721" t="s">
        <v>171</v>
      </c>
      <c r="C189" s="604"/>
      <c r="D189" s="604"/>
      <c r="E189" s="1057">
        <v>197286</v>
      </c>
      <c r="F189" s="721" t="s">
        <v>699</v>
      </c>
      <c r="G189" s="722">
        <v>93.41</v>
      </c>
      <c r="H189" s="722">
        <v>20.149999999999999</v>
      </c>
      <c r="I189" s="595" t="s">
        <v>33</v>
      </c>
      <c r="J189" s="595" t="s">
        <v>45</v>
      </c>
      <c r="K189" s="604" t="s">
        <v>607</v>
      </c>
      <c r="L189" s="585">
        <v>0</v>
      </c>
      <c r="M189" s="585">
        <v>0</v>
      </c>
      <c r="N189" s="726">
        <v>629</v>
      </c>
      <c r="O189" s="328" t="s">
        <v>983</v>
      </c>
      <c r="P189" s="1134" t="str">
        <f t="shared" si="88"/>
        <v>2. Medium</v>
      </c>
      <c r="Q189" s="968" t="s">
        <v>153</v>
      </c>
      <c r="R189" s="1137"/>
      <c r="S189" s="621" t="s">
        <v>49</v>
      </c>
      <c r="T189" s="323" t="str">
        <f t="shared" si="89"/>
        <v>Covered</v>
      </c>
      <c r="U189" s="581">
        <v>42338</v>
      </c>
      <c r="V189" s="1145"/>
      <c r="W189" s="558" t="s">
        <v>154</v>
      </c>
      <c r="X189" s="585">
        <v>0</v>
      </c>
      <c r="Y189" s="585">
        <v>0</v>
      </c>
      <c r="Z189" s="598" t="s">
        <v>43</v>
      </c>
      <c r="AA189" s="597"/>
      <c r="AB189" s="585"/>
      <c r="AC189" s="585"/>
      <c r="AD189" s="585"/>
      <c r="AE189" s="598"/>
      <c r="AF189" s="583"/>
      <c r="AG189" s="584"/>
      <c r="AH189" s="630">
        <f t="shared" si="90"/>
        <v>0</v>
      </c>
      <c r="AI189" s="577">
        <f t="shared" si="91"/>
        <v>0</v>
      </c>
      <c r="AJ189" s="605">
        <f t="shared" si="92"/>
        <v>0</v>
      </c>
      <c r="AK189" s="577">
        <f t="shared" si="93"/>
        <v>0</v>
      </c>
      <c r="AL189" s="631">
        <f t="shared" si="94"/>
        <v>0</v>
      </c>
      <c r="AM189" s="577">
        <f t="shared" si="95"/>
        <v>0</v>
      </c>
      <c r="AN189" s="633" t="str">
        <f t="shared" si="96"/>
        <v>0-10%</v>
      </c>
      <c r="AO189" s="631">
        <f t="shared" si="97"/>
        <v>0</v>
      </c>
      <c r="AP189" s="577">
        <f t="shared" si="98"/>
        <v>0</v>
      </c>
      <c r="AQ189" s="577" t="str">
        <f t="shared" si="99"/>
        <v>no</v>
      </c>
      <c r="AR189" s="574">
        <f t="shared" si="100"/>
        <v>2.516</v>
      </c>
      <c r="AS189" s="574">
        <f t="shared" si="101"/>
        <v>0</v>
      </c>
      <c r="AT189" s="574">
        <f t="shared" si="102"/>
        <v>0</v>
      </c>
      <c r="AU189" s="589"/>
      <c r="AV189" s="635">
        <f t="shared" si="103"/>
        <v>0</v>
      </c>
      <c r="AW189" s="637"/>
      <c r="AX189" s="1079"/>
      <c r="AY189" s="580"/>
      <c r="AZ189" s="428">
        <v>6</v>
      </c>
      <c r="BA189" s="473"/>
      <c r="BB189" s="548">
        <f t="shared" si="104"/>
        <v>0</v>
      </c>
      <c r="BC189" s="606">
        <f t="shared" si="105"/>
        <v>0</v>
      </c>
      <c r="BD189" s="548">
        <f t="shared" si="106"/>
        <v>0</v>
      </c>
      <c r="BE189" s="576">
        <f t="shared" si="107"/>
        <v>0</v>
      </c>
      <c r="BF189" s="646">
        <f t="shared" si="108"/>
        <v>0</v>
      </c>
      <c r="BG189" s="606">
        <f t="shared" si="109"/>
        <v>0</v>
      </c>
      <c r="BH189" s="593" t="s">
        <v>475</v>
      </c>
      <c r="BI189" s="586">
        <v>0</v>
      </c>
      <c r="BJ189" s="606">
        <f t="shared" si="130"/>
        <v>0</v>
      </c>
      <c r="BK189" s="596" t="str">
        <f t="shared" si="110"/>
        <v>n/a</v>
      </c>
      <c r="BL189" s="580" t="s">
        <v>475</v>
      </c>
      <c r="BM189" s="645" t="str">
        <f t="shared" si="111"/>
        <v>n/a</v>
      </c>
      <c r="BN189" s="606" t="str">
        <f t="shared" si="112"/>
        <v>n/a</v>
      </c>
      <c r="BO189" s="596" t="str">
        <f t="shared" si="113"/>
        <v>n/a</v>
      </c>
      <c r="BP189" s="647" t="s">
        <v>475</v>
      </c>
      <c r="BQ189" s="606" t="s">
        <v>475</v>
      </c>
      <c r="BR189" s="647" t="s">
        <v>475</v>
      </c>
      <c r="BS189" s="645" t="str">
        <f t="shared" si="114"/>
        <v>n/a</v>
      </c>
      <c r="BT189" s="648" t="str">
        <f t="shared" si="115"/>
        <v>n/a</v>
      </c>
      <c r="BU189" s="652" t="s">
        <v>475</v>
      </c>
      <c r="BV189" s="650" t="str">
        <f t="shared" si="116"/>
        <v>n/a</v>
      </c>
      <c r="BW189" s="584"/>
      <c r="BX189" s="591" t="s">
        <v>475</v>
      </c>
      <c r="BY189" s="1193"/>
      <c r="BZ189" s="1193"/>
      <c r="CA189" s="659" t="str">
        <f t="shared" si="117"/>
        <v>n/a</v>
      </c>
      <c r="CB189" s="580"/>
      <c r="CC189" s="580"/>
      <c r="CD189" s="660" t="str">
        <f t="shared" si="118"/>
        <v>n/a</v>
      </c>
      <c r="CE189" s="661" t="str">
        <f t="shared" si="119"/>
        <v>n/a</v>
      </c>
      <c r="CF189" s="609" t="str">
        <f t="shared" si="120"/>
        <v>n/a</v>
      </c>
      <c r="CG189" s="662" t="str">
        <f t="shared" si="121"/>
        <v>n/a</v>
      </c>
      <c r="CH189" s="579"/>
      <c r="CI189" s="589"/>
      <c r="CJ189" s="664">
        <f t="shared" si="122"/>
        <v>0</v>
      </c>
      <c r="CK189" s="579"/>
      <c r="CL189" s="674" t="s">
        <v>670</v>
      </c>
      <c r="CM189" s="580" t="s">
        <v>38</v>
      </c>
      <c r="CN189" s="580" t="s">
        <v>475</v>
      </c>
      <c r="CO189" s="580" t="s">
        <v>38</v>
      </c>
      <c r="CP189" s="590" t="s">
        <v>38</v>
      </c>
      <c r="CQ189" s="670"/>
      <c r="CS189" s="1069">
        <f t="shared" si="123"/>
        <v>0</v>
      </c>
      <c r="CT189" s="1069">
        <f t="shared" si="124"/>
        <v>0</v>
      </c>
      <c r="CU189" s="1066">
        <f t="shared" si="125"/>
        <v>0</v>
      </c>
      <c r="CV189" s="1066">
        <f t="shared" si="126"/>
        <v>0</v>
      </c>
      <c r="CW189" s="1082">
        <f t="shared" si="127"/>
        <v>1.5725</v>
      </c>
      <c r="CX189" s="1082">
        <f t="shared" si="128"/>
        <v>2.516</v>
      </c>
    </row>
    <row r="190" spans="2:102" ht="18" customHeight="1">
      <c r="B190" s="721" t="s">
        <v>171</v>
      </c>
      <c r="C190" s="604"/>
      <c r="D190" s="604"/>
      <c r="E190" s="1057">
        <v>197309</v>
      </c>
      <c r="F190" s="721" t="s">
        <v>700</v>
      </c>
      <c r="G190" s="722">
        <v>93.42</v>
      </c>
      <c r="H190" s="722">
        <v>20.010000000000002</v>
      </c>
      <c r="I190" s="595" t="s">
        <v>33</v>
      </c>
      <c r="J190" s="595" t="s">
        <v>45</v>
      </c>
      <c r="K190" s="604" t="s">
        <v>607</v>
      </c>
      <c r="L190" s="585">
        <v>0</v>
      </c>
      <c r="M190" s="585">
        <v>0</v>
      </c>
      <c r="N190" s="726">
        <v>415</v>
      </c>
      <c r="O190" s="328" t="s">
        <v>983</v>
      </c>
      <c r="P190" s="1134" t="str">
        <f t="shared" si="88"/>
        <v>1. Small</v>
      </c>
      <c r="Q190" s="968" t="s">
        <v>153</v>
      </c>
      <c r="R190" s="1137"/>
      <c r="S190" s="621" t="s">
        <v>49</v>
      </c>
      <c r="T190" s="323" t="str">
        <f t="shared" si="89"/>
        <v>Covered</v>
      </c>
      <c r="U190" s="581">
        <v>42338</v>
      </c>
      <c r="V190" s="1145"/>
      <c r="W190" s="558" t="s">
        <v>154</v>
      </c>
      <c r="X190" s="585">
        <v>0</v>
      </c>
      <c r="Y190" s="585">
        <v>0</v>
      </c>
      <c r="Z190" s="598" t="s">
        <v>43</v>
      </c>
      <c r="AA190" s="597"/>
      <c r="AB190" s="585"/>
      <c r="AC190" s="585"/>
      <c r="AD190" s="585"/>
      <c r="AE190" s="598"/>
      <c r="AF190" s="583"/>
      <c r="AG190" s="584"/>
      <c r="AH190" s="630">
        <f t="shared" si="90"/>
        <v>0</v>
      </c>
      <c r="AI190" s="577">
        <f t="shared" si="91"/>
        <v>0</v>
      </c>
      <c r="AJ190" s="605">
        <f t="shared" si="92"/>
        <v>0</v>
      </c>
      <c r="AK190" s="577">
        <f t="shared" si="93"/>
        <v>0</v>
      </c>
      <c r="AL190" s="631">
        <f t="shared" si="94"/>
        <v>0</v>
      </c>
      <c r="AM190" s="577">
        <f t="shared" si="95"/>
        <v>0</v>
      </c>
      <c r="AN190" s="633" t="str">
        <f t="shared" si="96"/>
        <v>0-10%</v>
      </c>
      <c r="AO190" s="631">
        <f t="shared" si="97"/>
        <v>0</v>
      </c>
      <c r="AP190" s="577">
        <f t="shared" si="98"/>
        <v>0</v>
      </c>
      <c r="AQ190" s="577" t="str">
        <f t="shared" si="99"/>
        <v>no</v>
      </c>
      <c r="AR190" s="574">
        <f t="shared" si="100"/>
        <v>1.66</v>
      </c>
      <c r="AS190" s="574">
        <f t="shared" si="101"/>
        <v>0</v>
      </c>
      <c r="AT190" s="574">
        <f t="shared" si="102"/>
        <v>0</v>
      </c>
      <c r="AU190" s="589"/>
      <c r="AV190" s="635">
        <f t="shared" si="103"/>
        <v>0</v>
      </c>
      <c r="AW190" s="637"/>
      <c r="AX190" s="1079"/>
      <c r="AY190" s="580"/>
      <c r="AZ190" s="428">
        <v>6</v>
      </c>
      <c r="BA190" s="473"/>
      <c r="BB190" s="548">
        <f t="shared" si="104"/>
        <v>0</v>
      </c>
      <c r="BC190" s="606">
        <f t="shared" si="105"/>
        <v>0</v>
      </c>
      <c r="BD190" s="548">
        <f t="shared" si="106"/>
        <v>0</v>
      </c>
      <c r="BE190" s="576">
        <f t="shared" si="107"/>
        <v>0</v>
      </c>
      <c r="BF190" s="646">
        <f t="shared" si="108"/>
        <v>0</v>
      </c>
      <c r="BG190" s="606">
        <f t="shared" si="109"/>
        <v>0</v>
      </c>
      <c r="BH190" s="593" t="s">
        <v>475</v>
      </c>
      <c r="BI190" s="586">
        <v>0</v>
      </c>
      <c r="BJ190" s="606">
        <f t="shared" si="130"/>
        <v>0</v>
      </c>
      <c r="BK190" s="596" t="str">
        <f t="shared" si="110"/>
        <v>n/a</v>
      </c>
      <c r="BL190" s="580" t="s">
        <v>475</v>
      </c>
      <c r="BM190" s="645" t="str">
        <f t="shared" si="111"/>
        <v>n/a</v>
      </c>
      <c r="BN190" s="606" t="str">
        <f t="shared" si="112"/>
        <v>n/a</v>
      </c>
      <c r="BO190" s="596" t="str">
        <f t="shared" si="113"/>
        <v>n/a</v>
      </c>
      <c r="BP190" s="647" t="s">
        <v>475</v>
      </c>
      <c r="BQ190" s="606" t="s">
        <v>475</v>
      </c>
      <c r="BR190" s="647" t="s">
        <v>475</v>
      </c>
      <c r="BS190" s="645" t="str">
        <f t="shared" si="114"/>
        <v>n/a</v>
      </c>
      <c r="BT190" s="648" t="str">
        <f t="shared" si="115"/>
        <v>n/a</v>
      </c>
      <c r="BU190" s="652" t="s">
        <v>475</v>
      </c>
      <c r="BV190" s="650" t="str">
        <f t="shared" si="116"/>
        <v>n/a</v>
      </c>
      <c r="BW190" s="584"/>
      <c r="BX190" s="591" t="s">
        <v>475</v>
      </c>
      <c r="BY190" s="1193"/>
      <c r="BZ190" s="1193"/>
      <c r="CA190" s="659" t="str">
        <f t="shared" si="117"/>
        <v>n/a</v>
      </c>
      <c r="CB190" s="580"/>
      <c r="CC190" s="580"/>
      <c r="CD190" s="660" t="str">
        <f t="shared" si="118"/>
        <v>n/a</v>
      </c>
      <c r="CE190" s="661" t="str">
        <f t="shared" si="119"/>
        <v>n/a</v>
      </c>
      <c r="CF190" s="609" t="str">
        <f t="shared" si="120"/>
        <v>n/a</v>
      </c>
      <c r="CG190" s="662" t="str">
        <f t="shared" si="121"/>
        <v>n/a</v>
      </c>
      <c r="CH190" s="579"/>
      <c r="CI190" s="589"/>
      <c r="CJ190" s="664">
        <f t="shared" si="122"/>
        <v>0</v>
      </c>
      <c r="CK190" s="579"/>
      <c r="CL190" s="674" t="s">
        <v>670</v>
      </c>
      <c r="CM190" s="580" t="s">
        <v>38</v>
      </c>
      <c r="CN190" s="580" t="s">
        <v>475</v>
      </c>
      <c r="CO190" s="580" t="s">
        <v>38</v>
      </c>
      <c r="CP190" s="590" t="s">
        <v>38</v>
      </c>
      <c r="CQ190" s="670"/>
      <c r="CS190" s="1069">
        <f t="shared" si="123"/>
        <v>0</v>
      </c>
      <c r="CT190" s="1069">
        <f t="shared" si="124"/>
        <v>0</v>
      </c>
      <c r="CU190" s="1066">
        <f t="shared" si="125"/>
        <v>0</v>
      </c>
      <c r="CV190" s="1066">
        <f t="shared" si="126"/>
        <v>0</v>
      </c>
      <c r="CW190" s="1082">
        <f t="shared" si="127"/>
        <v>1.0375000000000001</v>
      </c>
      <c r="CX190" s="1082">
        <f t="shared" si="128"/>
        <v>1.66</v>
      </c>
    </row>
    <row r="191" spans="2:102" ht="18" customHeight="1">
      <c r="B191" s="721" t="s">
        <v>171</v>
      </c>
      <c r="C191" s="604"/>
      <c r="D191" s="604"/>
      <c r="E191" s="1057">
        <v>197255</v>
      </c>
      <c r="F191" s="721" t="s">
        <v>701</v>
      </c>
      <c r="G191" s="722">
        <v>93.38</v>
      </c>
      <c r="H191" s="722">
        <v>20.03</v>
      </c>
      <c r="I191" s="595" t="s">
        <v>33</v>
      </c>
      <c r="J191" s="595" t="s">
        <v>45</v>
      </c>
      <c r="K191" s="604" t="s">
        <v>607</v>
      </c>
      <c r="L191" s="585">
        <v>0</v>
      </c>
      <c r="M191" s="585">
        <v>0</v>
      </c>
      <c r="N191" s="727">
        <v>307</v>
      </c>
      <c r="O191" s="328" t="s">
        <v>983</v>
      </c>
      <c r="P191" s="1134" t="str">
        <f t="shared" si="88"/>
        <v>1. Small</v>
      </c>
      <c r="Q191" s="968" t="s">
        <v>153</v>
      </c>
      <c r="R191" s="1137"/>
      <c r="S191" s="621" t="s">
        <v>49</v>
      </c>
      <c r="T191" s="323" t="str">
        <f t="shared" si="89"/>
        <v>Covered</v>
      </c>
      <c r="U191" s="581">
        <v>42338</v>
      </c>
      <c r="V191" s="1145"/>
      <c r="W191" s="558" t="s">
        <v>154</v>
      </c>
      <c r="X191" s="585">
        <v>0</v>
      </c>
      <c r="Y191" s="585">
        <v>0</v>
      </c>
      <c r="Z191" s="598" t="s">
        <v>43</v>
      </c>
      <c r="AA191" s="597"/>
      <c r="AB191" s="585"/>
      <c r="AC191" s="585"/>
      <c r="AD191" s="585"/>
      <c r="AE191" s="598"/>
      <c r="AF191" s="583"/>
      <c r="AG191" s="584"/>
      <c r="AH191" s="630">
        <f t="shared" si="90"/>
        <v>0</v>
      </c>
      <c r="AI191" s="577">
        <f t="shared" si="91"/>
        <v>0</v>
      </c>
      <c r="AJ191" s="605">
        <f t="shared" si="92"/>
        <v>0</v>
      </c>
      <c r="AK191" s="577">
        <f t="shared" si="93"/>
        <v>0</v>
      </c>
      <c r="AL191" s="631">
        <f t="shared" si="94"/>
        <v>0</v>
      </c>
      <c r="AM191" s="577">
        <f t="shared" si="95"/>
        <v>0</v>
      </c>
      <c r="AN191" s="633" t="str">
        <f t="shared" si="96"/>
        <v>0-10%</v>
      </c>
      <c r="AO191" s="631">
        <f t="shared" si="97"/>
        <v>0</v>
      </c>
      <c r="AP191" s="577">
        <f t="shared" si="98"/>
        <v>0</v>
      </c>
      <c r="AQ191" s="577" t="str">
        <f t="shared" si="99"/>
        <v>no</v>
      </c>
      <c r="AR191" s="574">
        <f t="shared" si="100"/>
        <v>1.228</v>
      </c>
      <c r="AS191" s="574">
        <f t="shared" si="101"/>
        <v>0</v>
      </c>
      <c r="AT191" s="574">
        <f t="shared" si="102"/>
        <v>0</v>
      </c>
      <c r="AU191" s="589"/>
      <c r="AV191" s="635">
        <f t="shared" si="103"/>
        <v>0</v>
      </c>
      <c r="AW191" s="637"/>
      <c r="AX191" s="1079"/>
      <c r="AY191" s="580"/>
      <c r="AZ191" s="428">
        <v>6</v>
      </c>
      <c r="BA191" s="473"/>
      <c r="BB191" s="548">
        <f t="shared" si="104"/>
        <v>0</v>
      </c>
      <c r="BC191" s="606">
        <f t="shared" si="105"/>
        <v>0</v>
      </c>
      <c r="BD191" s="548">
        <f t="shared" si="106"/>
        <v>0</v>
      </c>
      <c r="BE191" s="576">
        <f t="shared" si="107"/>
        <v>0</v>
      </c>
      <c r="BF191" s="646">
        <f t="shared" si="108"/>
        <v>0</v>
      </c>
      <c r="BG191" s="606">
        <f t="shared" si="109"/>
        <v>0</v>
      </c>
      <c r="BH191" s="593" t="s">
        <v>475</v>
      </c>
      <c r="BI191" s="586">
        <v>0</v>
      </c>
      <c r="BJ191" s="606">
        <f t="shared" si="130"/>
        <v>0</v>
      </c>
      <c r="BK191" s="596" t="str">
        <f t="shared" si="110"/>
        <v>n/a</v>
      </c>
      <c r="BL191" s="580" t="s">
        <v>475</v>
      </c>
      <c r="BM191" s="645" t="str">
        <f t="shared" si="111"/>
        <v>n/a</v>
      </c>
      <c r="BN191" s="606" t="str">
        <f t="shared" si="112"/>
        <v>n/a</v>
      </c>
      <c r="BO191" s="596" t="str">
        <f t="shared" si="113"/>
        <v>n/a</v>
      </c>
      <c r="BP191" s="647" t="s">
        <v>475</v>
      </c>
      <c r="BQ191" s="606" t="s">
        <v>475</v>
      </c>
      <c r="BR191" s="647" t="s">
        <v>475</v>
      </c>
      <c r="BS191" s="645" t="str">
        <f t="shared" si="114"/>
        <v>n/a</v>
      </c>
      <c r="BT191" s="648" t="str">
        <f t="shared" si="115"/>
        <v>n/a</v>
      </c>
      <c r="BU191" s="652" t="s">
        <v>475</v>
      </c>
      <c r="BV191" s="650" t="str">
        <f t="shared" si="116"/>
        <v>n/a</v>
      </c>
      <c r="BW191" s="584" t="s">
        <v>706</v>
      </c>
      <c r="BX191" s="591" t="s">
        <v>475</v>
      </c>
      <c r="BY191" s="1193"/>
      <c r="BZ191" s="1193"/>
      <c r="CA191" s="659" t="str">
        <f t="shared" si="117"/>
        <v>n/a</v>
      </c>
      <c r="CB191" s="580"/>
      <c r="CC191" s="580"/>
      <c r="CD191" s="660" t="str">
        <f t="shared" si="118"/>
        <v>n/a</v>
      </c>
      <c r="CE191" s="661" t="str">
        <f t="shared" si="119"/>
        <v>n/a</v>
      </c>
      <c r="CF191" s="609" t="str">
        <f t="shared" si="120"/>
        <v>n/a</v>
      </c>
      <c r="CG191" s="662" t="str">
        <f t="shared" si="121"/>
        <v>n/a</v>
      </c>
      <c r="CH191" s="579"/>
      <c r="CI191" s="589"/>
      <c r="CJ191" s="664">
        <f t="shared" si="122"/>
        <v>0</v>
      </c>
      <c r="CK191" s="579"/>
      <c r="CL191" s="674" t="s">
        <v>670</v>
      </c>
      <c r="CM191" s="580" t="s">
        <v>38</v>
      </c>
      <c r="CN191" s="580" t="s">
        <v>475</v>
      </c>
      <c r="CO191" s="580" t="s">
        <v>38</v>
      </c>
      <c r="CP191" s="590" t="s">
        <v>38</v>
      </c>
      <c r="CQ191" s="670"/>
      <c r="CR191" s="322"/>
      <c r="CS191" s="1069">
        <f t="shared" si="123"/>
        <v>0</v>
      </c>
      <c r="CT191" s="1069">
        <f t="shared" si="124"/>
        <v>0</v>
      </c>
      <c r="CU191" s="1066">
        <f t="shared" si="125"/>
        <v>0</v>
      </c>
      <c r="CV191" s="1066">
        <f t="shared" si="126"/>
        <v>0</v>
      </c>
      <c r="CW191" s="1082">
        <f t="shared" si="127"/>
        <v>0.76749999999999996</v>
      </c>
      <c r="CX191" s="1082">
        <f t="shared" si="128"/>
        <v>1.228</v>
      </c>
    </row>
    <row r="192" spans="2:102" ht="18" customHeight="1">
      <c r="B192" s="402" t="s">
        <v>171</v>
      </c>
      <c r="C192" s="603"/>
      <c r="D192" s="603"/>
      <c r="E192" s="1052">
        <v>217973</v>
      </c>
      <c r="F192" s="725" t="s">
        <v>660</v>
      </c>
      <c r="G192" s="556">
        <v>93.373000000000005</v>
      </c>
      <c r="H192" s="556">
        <v>20.032800000000002</v>
      </c>
      <c r="I192" s="560" t="s">
        <v>33</v>
      </c>
      <c r="J192" s="560" t="s">
        <v>45</v>
      </c>
      <c r="K192" s="604" t="s">
        <v>508</v>
      </c>
      <c r="L192" s="428">
        <v>0</v>
      </c>
      <c r="M192" s="428">
        <v>0</v>
      </c>
      <c r="N192" s="570">
        <v>237</v>
      </c>
      <c r="O192" s="328" t="s">
        <v>983</v>
      </c>
      <c r="P192" s="720" t="str">
        <f t="shared" si="88"/>
        <v>1. Small</v>
      </c>
      <c r="Q192" s="968" t="s">
        <v>153</v>
      </c>
      <c r="R192" s="625"/>
      <c r="S192" s="620" t="s">
        <v>49</v>
      </c>
      <c r="T192" s="323" t="str">
        <f t="shared" si="89"/>
        <v>Covered</v>
      </c>
      <c r="U192" s="561">
        <v>42338</v>
      </c>
      <c r="V192" s="618"/>
      <c r="W192" s="558" t="s">
        <v>152</v>
      </c>
      <c r="X192" s="428">
        <v>0</v>
      </c>
      <c r="Y192" s="428">
        <v>0</v>
      </c>
      <c r="Z192" s="570" t="s">
        <v>43</v>
      </c>
      <c r="AA192" s="328">
        <v>0</v>
      </c>
      <c r="AB192" s="428">
        <v>0</v>
      </c>
      <c r="AC192" s="428">
        <v>0</v>
      </c>
      <c r="AD192" s="428">
        <v>1</v>
      </c>
      <c r="AE192" s="570"/>
      <c r="AF192" s="329">
        <v>0</v>
      </c>
      <c r="AG192" s="330">
        <v>0</v>
      </c>
      <c r="AH192" s="630">
        <f t="shared" si="90"/>
        <v>0</v>
      </c>
      <c r="AI192" s="574">
        <f t="shared" si="91"/>
        <v>0</v>
      </c>
      <c r="AJ192" s="605">
        <f t="shared" si="92"/>
        <v>0</v>
      </c>
      <c r="AK192" s="574">
        <f t="shared" si="93"/>
        <v>0</v>
      </c>
      <c r="AL192" s="605">
        <f t="shared" si="94"/>
        <v>0</v>
      </c>
      <c r="AM192" s="574">
        <f t="shared" si="95"/>
        <v>0</v>
      </c>
      <c r="AN192" s="605" t="str">
        <f t="shared" si="96"/>
        <v>0-10%</v>
      </c>
      <c r="AO192" s="605">
        <f t="shared" si="97"/>
        <v>0</v>
      </c>
      <c r="AP192" s="574">
        <f t="shared" si="98"/>
        <v>0</v>
      </c>
      <c r="AQ192" s="574" t="str">
        <f t="shared" si="99"/>
        <v>yes</v>
      </c>
      <c r="AR192" s="574">
        <f t="shared" si="100"/>
        <v>0.94799999999999995</v>
      </c>
      <c r="AS192" s="574">
        <f t="shared" si="101"/>
        <v>0</v>
      </c>
      <c r="AT192" s="574">
        <f t="shared" si="102"/>
        <v>0</v>
      </c>
      <c r="AU192" s="589">
        <v>0</v>
      </c>
      <c r="AV192" s="635">
        <f t="shared" si="103"/>
        <v>0</v>
      </c>
      <c r="AW192" s="636" t="s">
        <v>703</v>
      </c>
      <c r="AX192" s="740">
        <v>0</v>
      </c>
      <c r="AY192" s="428">
        <v>0</v>
      </c>
      <c r="AZ192" s="428">
        <v>6</v>
      </c>
      <c r="BA192" s="473" t="s">
        <v>526</v>
      </c>
      <c r="BB192" s="548">
        <f t="shared" si="104"/>
        <v>0</v>
      </c>
      <c r="BC192" s="606">
        <f t="shared" si="105"/>
        <v>0</v>
      </c>
      <c r="BD192" s="548">
        <f t="shared" si="106"/>
        <v>0</v>
      </c>
      <c r="BE192" s="606">
        <f t="shared" si="107"/>
        <v>0</v>
      </c>
      <c r="BF192" s="549">
        <f t="shared" si="108"/>
        <v>0</v>
      </c>
      <c r="BG192" s="606">
        <f t="shared" si="109"/>
        <v>0</v>
      </c>
      <c r="BH192" s="519" t="s">
        <v>475</v>
      </c>
      <c r="BI192" s="429">
        <v>0</v>
      </c>
      <c r="BJ192" s="606">
        <f t="shared" si="130"/>
        <v>0</v>
      </c>
      <c r="BK192" s="606" t="str">
        <f t="shared" si="110"/>
        <v>n/a</v>
      </c>
      <c r="BL192" s="428" t="s">
        <v>475</v>
      </c>
      <c r="BM192" s="548" t="str">
        <f t="shared" si="111"/>
        <v>n/a</v>
      </c>
      <c r="BN192" s="606" t="str">
        <f t="shared" si="112"/>
        <v>n/a</v>
      </c>
      <c r="BO192" s="606" t="str">
        <f t="shared" si="113"/>
        <v>n/a</v>
      </c>
      <c r="BP192" s="578" t="s">
        <v>475</v>
      </c>
      <c r="BQ192" s="606" t="s">
        <v>475</v>
      </c>
      <c r="BR192" s="578" t="s">
        <v>475</v>
      </c>
      <c r="BS192" s="548" t="str">
        <f t="shared" si="114"/>
        <v>n/a</v>
      </c>
      <c r="BT192" s="607" t="str">
        <f t="shared" si="115"/>
        <v>n/a</v>
      </c>
      <c r="BU192" s="651" t="s">
        <v>475</v>
      </c>
      <c r="BV192" s="650" t="str">
        <f t="shared" si="116"/>
        <v>n/a</v>
      </c>
      <c r="BW192" s="325" t="s">
        <v>665</v>
      </c>
      <c r="BX192" s="470" t="s">
        <v>475</v>
      </c>
      <c r="BY192" s="1192"/>
      <c r="BZ192" s="1192"/>
      <c r="CA192" s="608" t="str">
        <f t="shared" si="117"/>
        <v>n/a</v>
      </c>
      <c r="CB192" s="428"/>
      <c r="CC192" s="428"/>
      <c r="CD192" s="609" t="str">
        <f t="shared" si="118"/>
        <v>n/a</v>
      </c>
      <c r="CE192" s="610" t="str">
        <f t="shared" si="119"/>
        <v>n/a</v>
      </c>
      <c r="CF192" s="609" t="str">
        <f t="shared" si="120"/>
        <v>n/a</v>
      </c>
      <c r="CG192" s="658" t="str">
        <f t="shared" si="121"/>
        <v>n/a</v>
      </c>
      <c r="CH192" s="328"/>
      <c r="CI192" s="330"/>
      <c r="CJ192" s="664">
        <f t="shared" si="122"/>
        <v>0</v>
      </c>
      <c r="CK192" s="328"/>
      <c r="CL192" s="611" t="str">
        <f>IF(CK192=0,"No coverage",IF(N192/CK192&gt;1000,"Low coverage",IF(N192/CK192&gt;750,"Average coverage",IF(N192/CK192&gt;500,"Good coverage","Excellent coverage"))))</f>
        <v>No coverage</v>
      </c>
      <c r="CM192" s="428" t="s">
        <v>38</v>
      </c>
      <c r="CN192" s="428" t="s">
        <v>475</v>
      </c>
      <c r="CO192" s="428" t="s">
        <v>38</v>
      </c>
      <c r="CP192" s="570" t="s">
        <v>38</v>
      </c>
      <c r="CQ192" s="669"/>
      <c r="CS192" s="1069">
        <f t="shared" si="123"/>
        <v>0</v>
      </c>
      <c r="CT192" s="1069">
        <f t="shared" si="124"/>
        <v>0</v>
      </c>
      <c r="CU192" s="1066">
        <f t="shared" si="125"/>
        <v>0</v>
      </c>
      <c r="CV192" s="1066">
        <f t="shared" si="126"/>
        <v>0</v>
      </c>
      <c r="CW192" s="1082">
        <f t="shared" si="127"/>
        <v>0.59250000000000003</v>
      </c>
      <c r="CX192" s="1082">
        <f t="shared" si="128"/>
        <v>0.94799999999999995</v>
      </c>
    </row>
    <row r="193" spans="2:102" ht="18" customHeight="1">
      <c r="B193" s="402" t="s">
        <v>171</v>
      </c>
      <c r="C193" s="603"/>
      <c r="D193" s="603"/>
      <c r="E193" s="1052" t="s">
        <v>206</v>
      </c>
      <c r="F193" s="402" t="s">
        <v>48</v>
      </c>
      <c r="G193" s="556">
        <v>93.370037999999994</v>
      </c>
      <c r="H193" s="556">
        <v>20.037655000000001</v>
      </c>
      <c r="I193" s="560" t="s">
        <v>44</v>
      </c>
      <c r="J193" s="560" t="s">
        <v>34</v>
      </c>
      <c r="K193" s="604" t="s">
        <v>640</v>
      </c>
      <c r="L193" s="428">
        <v>668</v>
      </c>
      <c r="M193" s="428">
        <v>2701</v>
      </c>
      <c r="N193" s="570">
        <v>2701</v>
      </c>
      <c r="O193" s="328" t="s">
        <v>983</v>
      </c>
      <c r="P193" s="720" t="str">
        <f t="shared" si="88"/>
        <v>4. Big</v>
      </c>
      <c r="Q193" s="968" t="s">
        <v>153</v>
      </c>
      <c r="R193" s="625" t="s">
        <v>49</v>
      </c>
      <c r="S193" s="620" t="s">
        <v>49</v>
      </c>
      <c r="T193" s="323" t="str">
        <f t="shared" si="89"/>
        <v>Covered</v>
      </c>
      <c r="U193" s="561">
        <v>42338</v>
      </c>
      <c r="V193" s="618"/>
      <c r="W193" s="558" t="s">
        <v>152</v>
      </c>
      <c r="X193" s="428">
        <v>0</v>
      </c>
      <c r="Y193" s="428">
        <v>0</v>
      </c>
      <c r="Z193" s="570" t="s">
        <v>43</v>
      </c>
      <c r="AA193" s="328">
        <v>0</v>
      </c>
      <c r="AB193" s="428">
        <v>0</v>
      </c>
      <c r="AC193" s="428">
        <v>0</v>
      </c>
      <c r="AD193" s="428">
        <v>5</v>
      </c>
      <c r="AE193" s="570"/>
      <c r="AF193" s="329">
        <v>0.2</v>
      </c>
      <c r="AG193" s="330">
        <v>1</v>
      </c>
      <c r="AH193" s="630">
        <f t="shared" si="90"/>
        <v>0</v>
      </c>
      <c r="AI193" s="574">
        <f t="shared" si="91"/>
        <v>0</v>
      </c>
      <c r="AJ193" s="605">
        <f t="shared" si="92"/>
        <v>0</v>
      </c>
      <c r="AK193" s="574">
        <f t="shared" si="93"/>
        <v>0</v>
      </c>
      <c r="AL193" s="605">
        <f t="shared" si="94"/>
        <v>1</v>
      </c>
      <c r="AM193" s="574">
        <f t="shared" si="95"/>
        <v>2701</v>
      </c>
      <c r="AN193" s="605" t="str">
        <f t="shared" si="96"/>
        <v>0-10%</v>
      </c>
      <c r="AO193" s="605">
        <f t="shared" si="97"/>
        <v>0</v>
      </c>
      <c r="AP193" s="574">
        <f t="shared" si="98"/>
        <v>0</v>
      </c>
      <c r="AQ193" s="574" t="str">
        <f t="shared" si="99"/>
        <v>yes</v>
      </c>
      <c r="AR193" s="574">
        <f t="shared" si="100"/>
        <v>6.7525000000000004</v>
      </c>
      <c r="AS193" s="574">
        <f t="shared" si="101"/>
        <v>2701</v>
      </c>
      <c r="AT193" s="574">
        <f t="shared" si="102"/>
        <v>540.20000000000005</v>
      </c>
      <c r="AU193" s="589">
        <v>1</v>
      </c>
      <c r="AV193" s="635">
        <f t="shared" si="103"/>
        <v>2701</v>
      </c>
      <c r="AW193" s="1158" t="s">
        <v>1158</v>
      </c>
      <c r="AX193" s="740">
        <v>0</v>
      </c>
      <c r="AY193" s="428">
        <v>172</v>
      </c>
      <c r="AZ193" s="428">
        <v>20</v>
      </c>
      <c r="BA193" s="473" t="s">
        <v>973</v>
      </c>
      <c r="BB193" s="548">
        <f t="shared" si="104"/>
        <v>1</v>
      </c>
      <c r="BC193" s="606">
        <f t="shared" si="105"/>
        <v>2701</v>
      </c>
      <c r="BD193" s="548">
        <f t="shared" si="106"/>
        <v>1</v>
      </c>
      <c r="BE193" s="606">
        <f t="shared" si="107"/>
        <v>2701</v>
      </c>
      <c r="BF193" s="549">
        <f t="shared" si="108"/>
        <v>0</v>
      </c>
      <c r="BG193" s="606">
        <f t="shared" si="109"/>
        <v>0</v>
      </c>
      <c r="BH193" s="519" t="s">
        <v>494</v>
      </c>
      <c r="BI193" s="429">
        <v>1</v>
      </c>
      <c r="BJ193" s="606">
        <f t="shared" si="130"/>
        <v>2701</v>
      </c>
      <c r="BK193" s="606">
        <f t="shared" si="110"/>
        <v>0</v>
      </c>
      <c r="BL193" s="428">
        <v>474.79999999999995</v>
      </c>
      <c r="BM193" s="548">
        <f t="shared" si="111"/>
        <v>0.98440577563865217</v>
      </c>
      <c r="BN193" s="606">
        <f t="shared" si="112"/>
        <v>2658.8799999999997</v>
      </c>
      <c r="BO193" s="606">
        <f t="shared" si="113"/>
        <v>7.5214285714286575</v>
      </c>
      <c r="BP193" s="578">
        <v>1</v>
      </c>
      <c r="BQ193" s="606">
        <v>2186.25</v>
      </c>
      <c r="BR193" s="519">
        <v>17</v>
      </c>
      <c r="BS193" s="548">
        <f t="shared" si="114"/>
        <v>0.62939651980747868</v>
      </c>
      <c r="BT193" s="607">
        <f t="shared" si="115"/>
        <v>10.010000000000002</v>
      </c>
      <c r="BU193" s="651">
        <v>1</v>
      </c>
      <c r="BV193" s="650">
        <f t="shared" si="116"/>
        <v>2701</v>
      </c>
      <c r="BW193" s="325" t="s">
        <v>1144</v>
      </c>
      <c r="BX193" s="470">
        <v>42261</v>
      </c>
      <c r="BY193" s="1192"/>
      <c r="BZ193" s="1192"/>
      <c r="CA193" s="608">
        <f t="shared" si="117"/>
        <v>42626</v>
      </c>
      <c r="CB193" s="428">
        <v>722</v>
      </c>
      <c r="CC193" s="428">
        <v>4</v>
      </c>
      <c r="CD193" s="609">
        <f t="shared" si="118"/>
        <v>0</v>
      </c>
      <c r="CE193" s="610">
        <f t="shared" si="119"/>
        <v>1</v>
      </c>
      <c r="CF193" s="609">
        <f t="shared" si="120"/>
        <v>2701</v>
      </c>
      <c r="CG193" s="658">
        <f t="shared" si="121"/>
        <v>0</v>
      </c>
      <c r="CH193" s="328"/>
      <c r="CI193" s="330">
        <v>1</v>
      </c>
      <c r="CJ193" s="664">
        <f t="shared" si="122"/>
        <v>2701</v>
      </c>
      <c r="CK193" s="328">
        <v>8</v>
      </c>
      <c r="CL193" s="611" t="str">
        <f>IF(CK193=0,"No coverage",IF(N193/CK193&gt;1000,"Low coverage",IF(N193/CK193&gt;750,"Average coverage",IF(N193/CK193&gt;500,"Good coverage","Excellent coverage"))))</f>
        <v>Excellent coverage</v>
      </c>
      <c r="CM193" s="428" t="s">
        <v>170</v>
      </c>
      <c r="CN193" s="428" t="s">
        <v>35</v>
      </c>
      <c r="CO193" s="428" t="s">
        <v>41</v>
      </c>
      <c r="CP193" s="570" t="s">
        <v>41</v>
      </c>
      <c r="CQ193" s="669" t="s">
        <v>667</v>
      </c>
      <c r="CS193" s="1069">
        <f t="shared" si="123"/>
        <v>0</v>
      </c>
      <c r="CT193" s="1069">
        <f t="shared" si="124"/>
        <v>0</v>
      </c>
      <c r="CU193" s="1066">
        <f t="shared" si="125"/>
        <v>0</v>
      </c>
      <c r="CV193" s="1066">
        <f t="shared" si="126"/>
        <v>0</v>
      </c>
      <c r="CW193" s="1082">
        <f t="shared" si="127"/>
        <v>6.7525000000000004</v>
      </c>
      <c r="CX193" s="1082">
        <f t="shared" si="128"/>
        <v>10.804</v>
      </c>
    </row>
    <row r="194" spans="2:102" ht="18" customHeight="1">
      <c r="B194" s="402" t="s">
        <v>171</v>
      </c>
      <c r="C194" s="603"/>
      <c r="D194" s="603"/>
      <c r="E194" s="1052">
        <v>197378</v>
      </c>
      <c r="F194" s="402" t="s">
        <v>717</v>
      </c>
      <c r="G194" s="556">
        <v>93.540599999999998</v>
      </c>
      <c r="H194" s="556">
        <v>20.061299999999999</v>
      </c>
      <c r="I194" s="560" t="s">
        <v>33</v>
      </c>
      <c r="J194" s="560" t="s">
        <v>45</v>
      </c>
      <c r="K194" s="604" t="s">
        <v>508</v>
      </c>
      <c r="L194" s="428">
        <v>0</v>
      </c>
      <c r="M194" s="428">
        <v>0</v>
      </c>
      <c r="N194" s="570">
        <v>103</v>
      </c>
      <c r="O194" s="328" t="s">
        <v>983</v>
      </c>
      <c r="P194" s="720" t="str">
        <f t="shared" si="88"/>
        <v>1. Small</v>
      </c>
      <c r="Q194" s="968" t="s">
        <v>153</v>
      </c>
      <c r="R194" s="625"/>
      <c r="S194" s="620" t="s">
        <v>49</v>
      </c>
      <c r="T194" s="323" t="str">
        <f t="shared" si="89"/>
        <v>Covered</v>
      </c>
      <c r="U194" s="561">
        <v>42338</v>
      </c>
      <c r="V194" s="618"/>
      <c r="W194" s="558" t="s">
        <v>152</v>
      </c>
      <c r="X194" s="428">
        <v>0</v>
      </c>
      <c r="Y194" s="428">
        <v>0</v>
      </c>
      <c r="Z194" s="570" t="s">
        <v>43</v>
      </c>
      <c r="AA194" s="328">
        <v>6</v>
      </c>
      <c r="AB194" s="428">
        <v>54</v>
      </c>
      <c r="AC194" s="428">
        <v>0</v>
      </c>
      <c r="AD194" s="428">
        <v>2</v>
      </c>
      <c r="AE194" s="570"/>
      <c r="AF194" s="329">
        <v>0</v>
      </c>
      <c r="AG194" s="330">
        <v>0</v>
      </c>
      <c r="AH194" s="630">
        <f t="shared" si="90"/>
        <v>1</v>
      </c>
      <c r="AI194" s="574">
        <f t="shared" si="91"/>
        <v>103</v>
      </c>
      <c r="AJ194" s="605">
        <f t="shared" si="92"/>
        <v>1</v>
      </c>
      <c r="AK194" s="574">
        <f t="shared" si="93"/>
        <v>103</v>
      </c>
      <c r="AL194" s="605">
        <f t="shared" si="94"/>
        <v>1</v>
      </c>
      <c r="AM194" s="574">
        <f t="shared" si="95"/>
        <v>103</v>
      </c>
      <c r="AN194" s="605" t="str">
        <f t="shared" si="96"/>
        <v>80-100%</v>
      </c>
      <c r="AO194" s="605">
        <f t="shared" si="97"/>
        <v>0</v>
      </c>
      <c r="AP194" s="574">
        <f t="shared" si="98"/>
        <v>0</v>
      </c>
      <c r="AQ194" s="574" t="str">
        <f t="shared" si="99"/>
        <v>yes</v>
      </c>
      <c r="AR194" s="574">
        <f t="shared" si="100"/>
        <v>0</v>
      </c>
      <c r="AS194" s="574">
        <f t="shared" si="101"/>
        <v>0</v>
      </c>
      <c r="AT194" s="574">
        <f t="shared" si="102"/>
        <v>0</v>
      </c>
      <c r="AU194" s="589">
        <v>0</v>
      </c>
      <c r="AV194" s="635">
        <f t="shared" si="103"/>
        <v>0</v>
      </c>
      <c r="AW194" s="636" t="s">
        <v>661</v>
      </c>
      <c r="AX194" s="740">
        <v>0</v>
      </c>
      <c r="AY194" s="428">
        <v>0</v>
      </c>
      <c r="AZ194" s="428">
        <v>6</v>
      </c>
      <c r="BA194" s="473" t="s">
        <v>526</v>
      </c>
      <c r="BB194" s="548">
        <f t="shared" si="104"/>
        <v>0</v>
      </c>
      <c r="BC194" s="606">
        <f t="shared" si="105"/>
        <v>0</v>
      </c>
      <c r="BD194" s="548">
        <f t="shared" si="106"/>
        <v>0</v>
      </c>
      <c r="BE194" s="606">
        <f t="shared" si="107"/>
        <v>0</v>
      </c>
      <c r="BF194" s="549">
        <f t="shared" si="108"/>
        <v>0</v>
      </c>
      <c r="BG194" s="606">
        <f t="shared" si="109"/>
        <v>0</v>
      </c>
      <c r="BH194" s="519" t="s">
        <v>475</v>
      </c>
      <c r="BI194" s="429">
        <v>0</v>
      </c>
      <c r="BJ194" s="606">
        <f t="shared" si="130"/>
        <v>0</v>
      </c>
      <c r="BK194" s="606" t="str">
        <f t="shared" si="110"/>
        <v>n/a</v>
      </c>
      <c r="BL194" s="428" t="s">
        <v>475</v>
      </c>
      <c r="BM194" s="548" t="str">
        <f t="shared" si="111"/>
        <v>n/a</v>
      </c>
      <c r="BN194" s="606" t="str">
        <f t="shared" si="112"/>
        <v>n/a</v>
      </c>
      <c r="BO194" s="606" t="str">
        <f t="shared" si="113"/>
        <v>n/a</v>
      </c>
      <c r="BP194" s="578" t="s">
        <v>475</v>
      </c>
      <c r="BQ194" s="606" t="s">
        <v>475</v>
      </c>
      <c r="BR194" s="578" t="s">
        <v>475</v>
      </c>
      <c r="BS194" s="548" t="str">
        <f t="shared" si="114"/>
        <v>n/a</v>
      </c>
      <c r="BT194" s="607" t="str">
        <f t="shared" si="115"/>
        <v>n/a</v>
      </c>
      <c r="BU194" s="651" t="s">
        <v>475</v>
      </c>
      <c r="BV194" s="650" t="str">
        <f t="shared" si="116"/>
        <v>n/a</v>
      </c>
      <c r="BW194" s="325"/>
      <c r="BX194" s="470" t="s">
        <v>475</v>
      </c>
      <c r="BY194" s="1192"/>
      <c r="BZ194" s="1192"/>
      <c r="CA194" s="608" t="str">
        <f t="shared" si="117"/>
        <v>n/a</v>
      </c>
      <c r="CB194" s="428"/>
      <c r="CC194" s="428"/>
      <c r="CD194" s="609" t="str">
        <f t="shared" si="118"/>
        <v>n/a</v>
      </c>
      <c r="CE194" s="610" t="str">
        <f t="shared" si="119"/>
        <v>n/a</v>
      </c>
      <c r="CF194" s="609" t="str">
        <f t="shared" si="120"/>
        <v>n/a</v>
      </c>
      <c r="CG194" s="658" t="str">
        <f t="shared" si="121"/>
        <v>n/a</v>
      </c>
      <c r="CH194" s="328"/>
      <c r="CI194" s="330"/>
      <c r="CJ194" s="664">
        <f t="shared" si="122"/>
        <v>0</v>
      </c>
      <c r="CK194" s="328"/>
      <c r="CL194" s="611" t="s">
        <v>670</v>
      </c>
      <c r="CM194" s="428" t="s">
        <v>38</v>
      </c>
      <c r="CN194" s="428" t="s">
        <v>475</v>
      </c>
      <c r="CO194" s="428" t="s">
        <v>38</v>
      </c>
      <c r="CP194" s="570" t="s">
        <v>38</v>
      </c>
      <c r="CQ194" s="669"/>
      <c r="CS194" s="1069">
        <f t="shared" si="123"/>
        <v>1</v>
      </c>
      <c r="CT194" s="1069">
        <f t="shared" si="124"/>
        <v>1</v>
      </c>
      <c r="CU194" s="1066">
        <f t="shared" si="125"/>
        <v>1</v>
      </c>
      <c r="CV194" s="1066">
        <f t="shared" si="126"/>
        <v>1</v>
      </c>
      <c r="CW194" s="1082">
        <f t="shared" si="127"/>
        <v>0</v>
      </c>
      <c r="CX194" s="1082">
        <f t="shared" si="128"/>
        <v>0</v>
      </c>
    </row>
    <row r="195" spans="2:102" ht="18" customHeight="1">
      <c r="B195" s="721" t="s">
        <v>171</v>
      </c>
      <c r="C195" s="604"/>
      <c r="D195" s="604"/>
      <c r="E195" s="1057">
        <v>197280</v>
      </c>
      <c r="F195" s="721" t="s">
        <v>702</v>
      </c>
      <c r="G195" s="722">
        <v>93.34</v>
      </c>
      <c r="H195" s="722">
        <v>20.12</v>
      </c>
      <c r="I195" s="595" t="s">
        <v>33</v>
      </c>
      <c r="J195" s="595" t="s">
        <v>45</v>
      </c>
      <c r="K195" s="604" t="s">
        <v>607</v>
      </c>
      <c r="L195" s="585">
        <v>0</v>
      </c>
      <c r="M195" s="585">
        <v>0</v>
      </c>
      <c r="N195" s="726">
        <v>2341</v>
      </c>
      <c r="O195" s="328" t="s">
        <v>983</v>
      </c>
      <c r="P195" s="1134" t="str">
        <f t="shared" si="88"/>
        <v>3. Large</v>
      </c>
      <c r="Q195" s="968" t="s">
        <v>153</v>
      </c>
      <c r="R195" s="1137"/>
      <c r="S195" s="621" t="s">
        <v>49</v>
      </c>
      <c r="T195" s="323" t="str">
        <f t="shared" si="89"/>
        <v>Covered</v>
      </c>
      <c r="U195" s="581">
        <v>42338</v>
      </c>
      <c r="V195" s="1145"/>
      <c r="W195" s="558" t="s">
        <v>154</v>
      </c>
      <c r="X195" s="585">
        <v>0</v>
      </c>
      <c r="Y195" s="585">
        <v>0</v>
      </c>
      <c r="Z195" s="598" t="s">
        <v>43</v>
      </c>
      <c r="AA195" s="597"/>
      <c r="AB195" s="585"/>
      <c r="AC195" s="585"/>
      <c r="AD195" s="585"/>
      <c r="AE195" s="598"/>
      <c r="AF195" s="583"/>
      <c r="AG195" s="584"/>
      <c r="AH195" s="630">
        <f t="shared" si="90"/>
        <v>0</v>
      </c>
      <c r="AI195" s="577">
        <f t="shared" si="91"/>
        <v>0</v>
      </c>
      <c r="AJ195" s="605">
        <f t="shared" si="92"/>
        <v>0</v>
      </c>
      <c r="AK195" s="577">
        <f t="shared" si="93"/>
        <v>0</v>
      </c>
      <c r="AL195" s="631">
        <f t="shared" si="94"/>
        <v>0</v>
      </c>
      <c r="AM195" s="577">
        <f t="shared" si="95"/>
        <v>0</v>
      </c>
      <c r="AN195" s="633" t="str">
        <f t="shared" si="96"/>
        <v>0-10%</v>
      </c>
      <c r="AO195" s="631">
        <f t="shared" si="97"/>
        <v>0</v>
      </c>
      <c r="AP195" s="577">
        <f t="shared" si="98"/>
        <v>0</v>
      </c>
      <c r="AQ195" s="577" t="str">
        <f t="shared" si="99"/>
        <v>no</v>
      </c>
      <c r="AR195" s="574">
        <f t="shared" si="100"/>
        <v>9.3640000000000008</v>
      </c>
      <c r="AS195" s="574">
        <f t="shared" si="101"/>
        <v>0</v>
      </c>
      <c r="AT195" s="574">
        <f t="shared" si="102"/>
        <v>0</v>
      </c>
      <c r="AU195" s="589"/>
      <c r="AV195" s="635">
        <f t="shared" si="103"/>
        <v>0</v>
      </c>
      <c r="AW195" s="637"/>
      <c r="AX195" s="1079"/>
      <c r="AY195" s="580"/>
      <c r="AZ195" s="428">
        <v>6</v>
      </c>
      <c r="BA195" s="473"/>
      <c r="BB195" s="548">
        <f t="shared" si="104"/>
        <v>0</v>
      </c>
      <c r="BC195" s="606">
        <f t="shared" si="105"/>
        <v>0</v>
      </c>
      <c r="BD195" s="548">
        <f t="shared" si="106"/>
        <v>0</v>
      </c>
      <c r="BE195" s="576">
        <f t="shared" si="107"/>
        <v>0</v>
      </c>
      <c r="BF195" s="646">
        <f t="shared" si="108"/>
        <v>0</v>
      </c>
      <c r="BG195" s="606">
        <f t="shared" si="109"/>
        <v>0</v>
      </c>
      <c r="BH195" s="593" t="s">
        <v>475</v>
      </c>
      <c r="BI195" s="586">
        <v>0</v>
      </c>
      <c r="BJ195" s="606">
        <f t="shared" si="130"/>
        <v>0</v>
      </c>
      <c r="BK195" s="596" t="str">
        <f t="shared" si="110"/>
        <v>n/a</v>
      </c>
      <c r="BL195" s="580" t="s">
        <v>475</v>
      </c>
      <c r="BM195" s="645" t="str">
        <f t="shared" si="111"/>
        <v>n/a</v>
      </c>
      <c r="BN195" s="606" t="str">
        <f t="shared" si="112"/>
        <v>n/a</v>
      </c>
      <c r="BO195" s="596" t="str">
        <f t="shared" si="113"/>
        <v>n/a</v>
      </c>
      <c r="BP195" s="647" t="s">
        <v>475</v>
      </c>
      <c r="BQ195" s="606" t="s">
        <v>475</v>
      </c>
      <c r="BR195" s="647" t="s">
        <v>475</v>
      </c>
      <c r="BS195" s="645" t="str">
        <f t="shared" si="114"/>
        <v>n/a</v>
      </c>
      <c r="BT195" s="648" t="str">
        <f t="shared" si="115"/>
        <v>n/a</v>
      </c>
      <c r="BU195" s="652" t="s">
        <v>475</v>
      </c>
      <c r="BV195" s="650" t="str">
        <f t="shared" si="116"/>
        <v>n/a</v>
      </c>
      <c r="BW195" s="584"/>
      <c r="BX195" s="591" t="s">
        <v>475</v>
      </c>
      <c r="BY195" s="1193"/>
      <c r="BZ195" s="1193"/>
      <c r="CA195" s="659" t="str">
        <f t="shared" si="117"/>
        <v>n/a</v>
      </c>
      <c r="CB195" s="580"/>
      <c r="CC195" s="580"/>
      <c r="CD195" s="660" t="str">
        <f t="shared" si="118"/>
        <v>n/a</v>
      </c>
      <c r="CE195" s="661" t="str">
        <f t="shared" si="119"/>
        <v>n/a</v>
      </c>
      <c r="CF195" s="609" t="str">
        <f t="shared" si="120"/>
        <v>n/a</v>
      </c>
      <c r="CG195" s="662" t="str">
        <f t="shared" si="121"/>
        <v>n/a</v>
      </c>
      <c r="CH195" s="579"/>
      <c r="CI195" s="589"/>
      <c r="CJ195" s="664">
        <f t="shared" si="122"/>
        <v>0</v>
      </c>
      <c r="CK195" s="579"/>
      <c r="CL195" s="674" t="s">
        <v>670</v>
      </c>
      <c r="CM195" s="580" t="s">
        <v>38</v>
      </c>
      <c r="CN195" s="580" t="s">
        <v>475</v>
      </c>
      <c r="CO195" s="580" t="s">
        <v>38</v>
      </c>
      <c r="CP195" s="590" t="s">
        <v>38</v>
      </c>
      <c r="CQ195" s="670"/>
      <c r="CS195" s="1069">
        <f t="shared" si="123"/>
        <v>0</v>
      </c>
      <c r="CT195" s="1069">
        <f t="shared" si="124"/>
        <v>0</v>
      </c>
      <c r="CU195" s="1066">
        <f t="shared" si="125"/>
        <v>0</v>
      </c>
      <c r="CV195" s="1066">
        <f t="shared" si="126"/>
        <v>0</v>
      </c>
      <c r="CW195" s="1082">
        <f t="shared" si="127"/>
        <v>5.8525</v>
      </c>
      <c r="CX195" s="1082">
        <f t="shared" si="128"/>
        <v>9.3640000000000008</v>
      </c>
    </row>
    <row r="196" spans="2:102" ht="18" customHeight="1">
      <c r="B196" s="721" t="s">
        <v>171</v>
      </c>
      <c r="C196" s="604"/>
      <c r="D196" s="604"/>
      <c r="E196" s="1054">
        <v>197366</v>
      </c>
      <c r="F196" s="721" t="s">
        <v>696</v>
      </c>
      <c r="G196" s="722">
        <v>93.483999999999995</v>
      </c>
      <c r="H196" s="722">
        <v>20.084</v>
      </c>
      <c r="I196" s="595" t="s">
        <v>33</v>
      </c>
      <c r="J196" s="595" t="s">
        <v>45</v>
      </c>
      <c r="K196" s="604" t="s">
        <v>508</v>
      </c>
      <c r="L196" s="580">
        <v>0</v>
      </c>
      <c r="M196" s="580">
        <v>0</v>
      </c>
      <c r="N196" s="590">
        <v>2331</v>
      </c>
      <c r="O196" s="328" t="s">
        <v>983</v>
      </c>
      <c r="P196" s="1134" t="str">
        <f t="shared" si="88"/>
        <v>3. Large</v>
      </c>
      <c r="Q196" s="968" t="s">
        <v>153</v>
      </c>
      <c r="R196" s="1137"/>
      <c r="S196" s="621" t="s">
        <v>49</v>
      </c>
      <c r="T196" s="323" t="str">
        <f t="shared" si="89"/>
        <v>Covered</v>
      </c>
      <c r="U196" s="581">
        <v>42338</v>
      </c>
      <c r="V196" s="1145"/>
      <c r="W196" s="558" t="s">
        <v>152</v>
      </c>
      <c r="X196" s="580">
        <v>0</v>
      </c>
      <c r="Y196" s="580">
        <v>0</v>
      </c>
      <c r="Z196" s="590" t="s">
        <v>43</v>
      </c>
      <c r="AA196" s="579"/>
      <c r="AB196" s="580"/>
      <c r="AC196" s="580"/>
      <c r="AD196" s="580">
        <v>1</v>
      </c>
      <c r="AE196" s="590"/>
      <c r="AF196" s="573"/>
      <c r="AG196" s="589"/>
      <c r="AH196" s="630">
        <f t="shared" si="90"/>
        <v>0</v>
      </c>
      <c r="AI196" s="577">
        <f t="shared" si="91"/>
        <v>0</v>
      </c>
      <c r="AJ196" s="605">
        <f t="shared" si="92"/>
        <v>0</v>
      </c>
      <c r="AK196" s="577">
        <f t="shared" si="93"/>
        <v>0</v>
      </c>
      <c r="AL196" s="631">
        <f t="shared" si="94"/>
        <v>0</v>
      </c>
      <c r="AM196" s="577">
        <f t="shared" si="95"/>
        <v>0</v>
      </c>
      <c r="AN196" s="633" t="str">
        <f t="shared" si="96"/>
        <v>0-10%</v>
      </c>
      <c r="AO196" s="631">
        <f t="shared" si="97"/>
        <v>0</v>
      </c>
      <c r="AP196" s="577">
        <f t="shared" si="98"/>
        <v>0</v>
      </c>
      <c r="AQ196" s="577" t="str">
        <f t="shared" si="99"/>
        <v>yes</v>
      </c>
      <c r="AR196" s="574">
        <f t="shared" si="100"/>
        <v>9.3239999999999998</v>
      </c>
      <c r="AS196" s="574">
        <f t="shared" si="101"/>
        <v>0</v>
      </c>
      <c r="AT196" s="574">
        <f t="shared" si="102"/>
        <v>0</v>
      </c>
      <c r="AU196" s="589">
        <v>0</v>
      </c>
      <c r="AV196" s="635">
        <f t="shared" si="103"/>
        <v>0</v>
      </c>
      <c r="AW196" s="637" t="s">
        <v>661</v>
      </c>
      <c r="AX196" s="1079">
        <v>0</v>
      </c>
      <c r="AY196" s="580">
        <v>0</v>
      </c>
      <c r="AZ196" s="428">
        <v>6</v>
      </c>
      <c r="BA196" s="473" t="s">
        <v>526</v>
      </c>
      <c r="BB196" s="548">
        <f t="shared" si="104"/>
        <v>0</v>
      </c>
      <c r="BC196" s="606">
        <f t="shared" si="105"/>
        <v>0</v>
      </c>
      <c r="BD196" s="548">
        <f t="shared" si="106"/>
        <v>0</v>
      </c>
      <c r="BE196" s="576">
        <f t="shared" si="107"/>
        <v>0</v>
      </c>
      <c r="BF196" s="646">
        <f t="shared" si="108"/>
        <v>0</v>
      </c>
      <c r="BG196" s="606">
        <f t="shared" si="109"/>
        <v>0</v>
      </c>
      <c r="BH196" s="593" t="s">
        <v>475</v>
      </c>
      <c r="BI196" s="587">
        <v>0</v>
      </c>
      <c r="BJ196" s="606">
        <f t="shared" si="130"/>
        <v>0</v>
      </c>
      <c r="BK196" s="596" t="str">
        <f t="shared" si="110"/>
        <v>n/a</v>
      </c>
      <c r="BL196" s="580" t="s">
        <v>475</v>
      </c>
      <c r="BM196" s="645" t="str">
        <f t="shared" si="111"/>
        <v>n/a</v>
      </c>
      <c r="BN196" s="606" t="str">
        <f t="shared" si="112"/>
        <v>n/a</v>
      </c>
      <c r="BO196" s="596" t="str">
        <f t="shared" si="113"/>
        <v>n/a</v>
      </c>
      <c r="BP196" s="647" t="s">
        <v>475</v>
      </c>
      <c r="BQ196" s="606" t="s">
        <v>475</v>
      </c>
      <c r="BR196" s="647" t="s">
        <v>475</v>
      </c>
      <c r="BS196" s="645" t="str">
        <f t="shared" si="114"/>
        <v>n/a</v>
      </c>
      <c r="BT196" s="648" t="str">
        <f t="shared" si="115"/>
        <v>n/a</v>
      </c>
      <c r="BU196" s="652" t="s">
        <v>475</v>
      </c>
      <c r="BV196" s="650" t="str">
        <f t="shared" si="116"/>
        <v>n/a</v>
      </c>
      <c r="BW196" s="584"/>
      <c r="BX196" s="591" t="s">
        <v>475</v>
      </c>
      <c r="BY196" s="1193"/>
      <c r="BZ196" s="1193"/>
      <c r="CA196" s="659" t="str">
        <f t="shared" si="117"/>
        <v>n/a</v>
      </c>
      <c r="CB196" s="580"/>
      <c r="CC196" s="580"/>
      <c r="CD196" s="660" t="str">
        <f t="shared" si="118"/>
        <v>n/a</v>
      </c>
      <c r="CE196" s="661" t="str">
        <f t="shared" si="119"/>
        <v>n/a</v>
      </c>
      <c r="CF196" s="609" t="str">
        <f t="shared" si="120"/>
        <v>n/a</v>
      </c>
      <c r="CG196" s="662" t="str">
        <f t="shared" si="121"/>
        <v>n/a</v>
      </c>
      <c r="CH196" s="579"/>
      <c r="CI196" s="589"/>
      <c r="CJ196" s="664">
        <f t="shared" si="122"/>
        <v>0</v>
      </c>
      <c r="CK196" s="579"/>
      <c r="CL196" s="674" t="s">
        <v>670</v>
      </c>
      <c r="CM196" s="580" t="s">
        <v>38</v>
      </c>
      <c r="CN196" s="580" t="s">
        <v>475</v>
      </c>
      <c r="CO196" s="580" t="s">
        <v>38</v>
      </c>
      <c r="CP196" s="590" t="s">
        <v>38</v>
      </c>
      <c r="CQ196" s="670"/>
      <c r="CS196" s="1069">
        <f t="shared" si="123"/>
        <v>0</v>
      </c>
      <c r="CT196" s="1069">
        <f t="shared" si="124"/>
        <v>0</v>
      </c>
      <c r="CU196" s="1066">
        <f t="shared" si="125"/>
        <v>0</v>
      </c>
      <c r="CV196" s="1066">
        <f t="shared" si="126"/>
        <v>0</v>
      </c>
      <c r="CW196" s="1082">
        <f t="shared" si="127"/>
        <v>5.8274999999999997</v>
      </c>
      <c r="CX196" s="1082">
        <f t="shared" si="128"/>
        <v>9.3239999999999998</v>
      </c>
    </row>
    <row r="197" spans="2:102" ht="18" customHeight="1">
      <c r="B197" s="402" t="s">
        <v>171</v>
      </c>
      <c r="C197" s="603"/>
      <c r="D197" s="603"/>
      <c r="E197" s="1056" t="s">
        <v>581</v>
      </c>
      <c r="F197" s="402" t="s">
        <v>420</v>
      </c>
      <c r="G197" s="556">
        <v>93.371667000000002</v>
      </c>
      <c r="H197" s="556">
        <v>20.040333</v>
      </c>
      <c r="I197" s="560" t="s">
        <v>33</v>
      </c>
      <c r="J197" s="560" t="s">
        <v>45</v>
      </c>
      <c r="K197" s="604" t="s">
        <v>508</v>
      </c>
      <c r="L197" s="428">
        <v>0</v>
      </c>
      <c r="M197" s="428">
        <v>0</v>
      </c>
      <c r="N197" s="570">
        <v>1495</v>
      </c>
      <c r="O197" s="328" t="s">
        <v>983</v>
      </c>
      <c r="P197" s="720" t="str">
        <f t="shared" ref="P197:P260" si="132">IF(I197="Village",IF(N197&gt;1000,"3. Large",IF(N197&gt;500,"2. Medium","1. Small")),IF(L197&gt;50,IF(L197&gt;250,IF(L197&gt;500,IF(L197&gt;1000,"5. Massive","4. Big"),"3. Large"),"2. Medium"),"1. Small"))</f>
        <v>3. Large</v>
      </c>
      <c r="Q197" s="968" t="s">
        <v>153</v>
      </c>
      <c r="R197" s="625"/>
      <c r="S197" s="620" t="s">
        <v>49</v>
      </c>
      <c r="T197" s="323" t="str">
        <f t="shared" ref="T197:T260" si="133">IF(S197="None","Not Covered","Covered")</f>
        <v>Covered</v>
      </c>
      <c r="U197" s="561">
        <v>42338</v>
      </c>
      <c r="V197" s="618"/>
      <c r="W197" s="558" t="s">
        <v>152</v>
      </c>
      <c r="X197" s="428">
        <v>0</v>
      </c>
      <c r="Y197" s="428">
        <v>0</v>
      </c>
      <c r="Z197" s="570" t="s">
        <v>43</v>
      </c>
      <c r="AA197" s="328">
        <v>0</v>
      </c>
      <c r="AB197" s="428">
        <v>0</v>
      </c>
      <c r="AC197" s="428">
        <v>0</v>
      </c>
      <c r="AD197" s="428">
        <v>2</v>
      </c>
      <c r="AE197" s="570"/>
      <c r="AF197" s="329">
        <v>0</v>
      </c>
      <c r="AG197" s="330">
        <v>0</v>
      </c>
      <c r="AH197" s="630">
        <f t="shared" ref="AH197:AH260" si="134">IF(I197="Camp",CS197,CT197)</f>
        <v>0</v>
      </c>
      <c r="AI197" s="574">
        <f t="shared" ref="AI197:AI260" si="135">AH197*N197</f>
        <v>0</v>
      </c>
      <c r="AJ197" s="605">
        <f t="shared" ref="AJ197:AJ260" si="136">IF(I197="Camp",CU197,CV197)</f>
        <v>0</v>
      </c>
      <c r="AK197" s="574">
        <f t="shared" ref="AK197:AK260" si="137">AJ197*N197</f>
        <v>0</v>
      </c>
      <c r="AL197" s="605">
        <f t="shared" ref="AL197:AL260" si="138">IF(AG197=0,AH197,IF(AG197&lt;AH197,AH197,AG197))</f>
        <v>0</v>
      </c>
      <c r="AM197" s="574">
        <f t="shared" ref="AM197:AM260" si="139">AL197*N197</f>
        <v>0</v>
      </c>
      <c r="AN197" s="605" t="str">
        <f t="shared" ref="AN197:AN260" si="140">IF(AH197&gt;0.15,IF(AH197&gt;0.3,IF(AH197&gt;0.45,IF(AH197&gt;0.6,IF(AH197&gt;0.8,"80-100%","60-80%"),"45-60%"),"30-45%"),"15-30%"),"0-10%")</f>
        <v>0-10%</v>
      </c>
      <c r="AO197" s="605">
        <f t="shared" ref="AO197:AO260" si="141">AH197-AJ197</f>
        <v>0</v>
      </c>
      <c r="AP197" s="574">
        <f t="shared" ref="AP197:AP260" si="142">AO197*N197</f>
        <v>0</v>
      </c>
      <c r="AQ197" s="574" t="str">
        <f t="shared" ref="AQ197:AQ260" si="143">IF(AD197=0,"no","yes")</f>
        <v>yes</v>
      </c>
      <c r="AR197" s="574">
        <f t="shared" ref="AR197:AR260" si="144">IF(I197="Camp",CW197,CX197)</f>
        <v>5.98</v>
      </c>
      <c r="AS197" s="574">
        <f t="shared" ref="AS197:AS260" si="145">AG197*N197</f>
        <v>0</v>
      </c>
      <c r="AT197" s="574">
        <f t="shared" ref="AT197:AT260" si="146">AF197*N197</f>
        <v>0</v>
      </c>
      <c r="AU197" s="589">
        <v>0</v>
      </c>
      <c r="AV197" s="635">
        <f t="shared" ref="AV197:AV260" si="147">AU197*N197</f>
        <v>0</v>
      </c>
      <c r="AW197" s="636" t="s">
        <v>661</v>
      </c>
      <c r="AX197" s="740">
        <v>0</v>
      </c>
      <c r="AY197" s="428">
        <v>23</v>
      </c>
      <c r="AZ197" s="428">
        <v>6</v>
      </c>
      <c r="BA197" s="473" t="s">
        <v>963</v>
      </c>
      <c r="BB197" s="548">
        <f t="shared" ref="BB197:BB260" si="148">IF(I197="Village",IF((((AY197)*AZ197)/N197)&gt;1,1,(((AY197)*AZ197)/N197)),IF((((AX197+AY197)*20)/N197)&gt;1,1,(((AX197+AY197)*20)/N197)))</f>
        <v>9.2307692307692313E-2</v>
      </c>
      <c r="BC197" s="606">
        <f t="shared" ref="BC197:BC260" si="149">BB197*N197</f>
        <v>138</v>
      </c>
      <c r="BD197" s="548">
        <f t="shared" ref="BD197:BD260" si="150">IF(I197="Village",IF(((AY197*AZ197)/N197)&gt;1,1,((AY197*AZ197)/N197)),IF(((AY197*20)/N197)&gt;1,1,((AY197*20)/N197)))</f>
        <v>9.2307692307692313E-2</v>
      </c>
      <c r="BE197" s="606">
        <f t="shared" ref="BE197:BE260" si="151">IF(I197="Village",BD197*N197,BD197*N197)</f>
        <v>138</v>
      </c>
      <c r="BF197" s="549">
        <f t="shared" ref="BF197:BF260" si="152">IF(I197="Village",BB197-BD197,BB197-BD197)</f>
        <v>0</v>
      </c>
      <c r="BG197" s="606">
        <f t="shared" ref="BG197:BG260" si="153">IF(I197="Village",BF197*N197,BF197*N197)</f>
        <v>0</v>
      </c>
      <c r="BH197" s="519" t="s">
        <v>475</v>
      </c>
      <c r="BI197" s="429">
        <v>0</v>
      </c>
      <c r="BJ197" s="606">
        <f t="shared" si="130"/>
        <v>0</v>
      </c>
      <c r="BK197" s="606" t="str">
        <f t="shared" ref="BK197:BK260" si="154">IF(I197="Village","n/a",IF((N197/20-AY197)&lt;0,0,(N197/20-AY197)))</f>
        <v>n/a</v>
      </c>
      <c r="BL197" s="428" t="s">
        <v>475</v>
      </c>
      <c r="BM197" s="548" t="str">
        <f t="shared" ref="BM197:BM260" si="155">IF(I197="Village","n/a",IF((BL197*5.6/N197)&gt;1,1,(BL197*5.6/N197)))</f>
        <v>n/a</v>
      </c>
      <c r="BN197" s="606" t="str">
        <f t="shared" ref="BN197:BN260" si="156">IF(I197="Village","n/a",BM197*N197)</f>
        <v>n/a</v>
      </c>
      <c r="BO197" s="606" t="str">
        <f t="shared" ref="BO197:BO260" si="157">IF(I197="Village","n/a",IF(N197/5.6-BL197&lt;0,0,N197/5.6-BL197))</f>
        <v>n/a</v>
      </c>
      <c r="BP197" s="578" t="s">
        <v>475</v>
      </c>
      <c r="BQ197" s="606" t="s">
        <v>475</v>
      </c>
      <c r="BR197" s="578" t="s">
        <v>475</v>
      </c>
      <c r="BS197" s="548" t="str">
        <f t="shared" ref="BS197:BS260" si="158">IF(I197="Village","n/a",IF((BR197*100/N197)&gt;1,1,(BR197*100/N197)))</f>
        <v>n/a</v>
      </c>
      <c r="BT197" s="607" t="str">
        <f t="shared" ref="BT197:BT260" si="159">IF(I197="Village","n/a",IF(N197/100-BR197&lt;0,0,N197/100-BR197))</f>
        <v>n/a</v>
      </c>
      <c r="BU197" s="651" t="s">
        <v>475</v>
      </c>
      <c r="BV197" s="650" t="str">
        <f t="shared" ref="BV197:BV231" si="160">IF(I197="Village","n/a",BU197*N197)</f>
        <v>n/a</v>
      </c>
      <c r="BW197" s="325" t="s">
        <v>705</v>
      </c>
      <c r="BX197" s="470" t="s">
        <v>475</v>
      </c>
      <c r="BY197" s="1192"/>
      <c r="BZ197" s="1192"/>
      <c r="CA197" s="608" t="str">
        <f t="shared" ref="CA197:CA260" si="161">IF(I197="Camp",IF(BX197="","To be done",IF(BX197+365&lt;$F$2,"To be done",BX197+365)),"n/a")</f>
        <v>n/a</v>
      </c>
      <c r="CB197" s="428"/>
      <c r="CC197" s="428"/>
      <c r="CD197" s="609" t="str">
        <f t="shared" ref="CD197:CD260" si="162">IF(CA197="n/a","n/a",IF(CA197="To be done",L197,IF((L197-CB197)&lt;0,0,(L197-CB197))))</f>
        <v>n/a</v>
      </c>
      <c r="CE197" s="610" t="str">
        <f t="shared" ref="CE197:CE260" si="163">IF(CA197="n/a","n/a",IF(CD197=0,1,(L197-CD197)/L197))</f>
        <v>n/a</v>
      </c>
      <c r="CF197" s="609" t="str">
        <f t="shared" ref="CF197:CF260" si="164">IF(CE197="n/a","n/a",CE197*N197)</f>
        <v>n/a</v>
      </c>
      <c r="CG197" s="658" t="str">
        <f t="shared" ref="CG197:CG260" si="165">IF(CE197="n/a","n/a",IF(BX197="",IF((CC197-1/1/2014)/30&lt;0,0,ROUND((CC197-(1/1/2014)/30),0)), IF(($F$2-BX197)/30-CC197&lt;0,0,ROUND((($F$2-BX197)/30-CC197),0))))</f>
        <v>n/a</v>
      </c>
      <c r="CH197" s="328"/>
      <c r="CI197" s="330">
        <v>0</v>
      </c>
      <c r="CJ197" s="664">
        <f t="shared" ref="CJ197:CJ260" si="166">CI197*N197</f>
        <v>0</v>
      </c>
      <c r="CK197" s="328"/>
      <c r="CL197" s="611" t="s">
        <v>670</v>
      </c>
      <c r="CM197" s="428" t="s">
        <v>38</v>
      </c>
      <c r="CN197" s="428" t="s">
        <v>475</v>
      </c>
      <c r="CO197" s="428" t="s">
        <v>38</v>
      </c>
      <c r="CP197" s="570" t="s">
        <v>38</v>
      </c>
      <c r="CQ197" s="669"/>
      <c r="CR197" s="70"/>
      <c r="CS197" s="1069">
        <f t="shared" ref="CS197:CS260" si="167">IF((((1000*X197/15)+(1000*(Y197/30)/15)+AA197*400+AB197*500+(1000*AC197/15))/N197)&gt;1,1,(((1000*X197/15)+(1000*(Y197/30)/15)+AA197*400+AB197*500+(1000*AC197/15))/N197))</f>
        <v>0</v>
      </c>
      <c r="CT197" s="1069">
        <f t="shared" ref="CT197:CT260" si="168">IF((((1000*X197/15)+(1000*(Y197/30)/15)+AA197*250+AB197*250+(1000*AC197/15))/N197)&gt;1,1,(((1000*X197/15)+(1000*(Y197/30)/15)+AA197*250+AB197*250+(1000*AC197/15))/N197))</f>
        <v>0</v>
      </c>
      <c r="CU197" s="1066">
        <f t="shared" ref="CU197:CU260" si="169">IF(((AA197*400+AB197*500+(1000*AC197/15))/N197)&gt;1,1,(AA197*400+AB197*500+(1000*AC197/15))/N197)</f>
        <v>0</v>
      </c>
      <c r="CV197" s="1066">
        <f t="shared" ref="CV197:CV260" si="170">IF(((AA197*250+AB197*250+(1000*AC197/15))/N197)&gt;1,1,(AA197*250+AB197*250+(1000*AC197/15))/N197)</f>
        <v>0</v>
      </c>
      <c r="CW197" s="1082">
        <f t="shared" ref="CW197:CW260" si="171">IF(N197/400-(AA197+AB197)&lt;0,0,N197/400-(AA197+AB197))</f>
        <v>3.7374999999999998</v>
      </c>
      <c r="CX197" s="1082">
        <f t="shared" ref="CX197:CX260" si="172">IF(N197/250-(AA197+AB197)&lt;0,0,N197/250-(AA197+AB197))</f>
        <v>5.98</v>
      </c>
    </row>
    <row r="198" spans="2:102" ht="18" customHeight="1">
      <c r="B198" s="721" t="s">
        <v>51</v>
      </c>
      <c r="C198" s="604"/>
      <c r="D198" s="604"/>
      <c r="E198" s="1054" t="s">
        <v>208</v>
      </c>
      <c r="F198" s="721" t="s">
        <v>53</v>
      </c>
      <c r="G198" s="722">
        <v>92.985095000000001</v>
      </c>
      <c r="H198" s="722">
        <v>20.108101999999999</v>
      </c>
      <c r="I198" s="595" t="s">
        <v>44</v>
      </c>
      <c r="J198" s="595" t="s">
        <v>34</v>
      </c>
      <c r="K198" s="604" t="s">
        <v>640</v>
      </c>
      <c r="L198" s="585">
        <v>1154</v>
      </c>
      <c r="M198" s="585">
        <v>4272</v>
      </c>
      <c r="N198" s="723">
        <v>4272</v>
      </c>
      <c r="O198" s="328" t="s">
        <v>983</v>
      </c>
      <c r="P198" s="1134" t="str">
        <f t="shared" si="132"/>
        <v>5. Massive</v>
      </c>
      <c r="Q198" s="1135" t="s">
        <v>924</v>
      </c>
      <c r="R198" s="1137" t="s">
        <v>83</v>
      </c>
      <c r="S198" s="621" t="s">
        <v>54</v>
      </c>
      <c r="T198" s="323" t="str">
        <f t="shared" si="133"/>
        <v>Covered</v>
      </c>
      <c r="U198" s="561">
        <v>42521</v>
      </c>
      <c r="V198" s="1177">
        <v>0</v>
      </c>
      <c r="W198" s="558" t="s">
        <v>152</v>
      </c>
      <c r="X198" s="585">
        <v>36</v>
      </c>
      <c r="Y198" s="580">
        <v>0</v>
      </c>
      <c r="Z198" s="590" t="s">
        <v>43</v>
      </c>
      <c r="AA198" s="579">
        <v>0</v>
      </c>
      <c r="AB198" s="580">
        <v>0</v>
      </c>
      <c r="AC198" s="580">
        <v>0</v>
      </c>
      <c r="AD198" s="580">
        <v>5</v>
      </c>
      <c r="AE198" s="590"/>
      <c r="AF198" s="573">
        <v>0</v>
      </c>
      <c r="AG198" s="589">
        <v>0</v>
      </c>
      <c r="AH198" s="630">
        <f t="shared" si="134"/>
        <v>0.5617977528089888</v>
      </c>
      <c r="AI198" s="577">
        <f t="shared" si="135"/>
        <v>2400</v>
      </c>
      <c r="AJ198" s="605">
        <f t="shared" si="136"/>
        <v>0</v>
      </c>
      <c r="AK198" s="577">
        <f t="shared" si="137"/>
        <v>0</v>
      </c>
      <c r="AL198" s="631">
        <f t="shared" si="138"/>
        <v>0.5617977528089888</v>
      </c>
      <c r="AM198" s="577">
        <f t="shared" si="139"/>
        <v>2400</v>
      </c>
      <c r="AN198" s="633" t="str">
        <f t="shared" si="140"/>
        <v>45-60%</v>
      </c>
      <c r="AO198" s="631">
        <f t="shared" si="141"/>
        <v>0.5617977528089888</v>
      </c>
      <c r="AP198" s="577">
        <f t="shared" si="142"/>
        <v>2400</v>
      </c>
      <c r="AQ198" s="577" t="str">
        <f t="shared" si="143"/>
        <v>yes</v>
      </c>
      <c r="AR198" s="574">
        <f t="shared" si="144"/>
        <v>10.68</v>
      </c>
      <c r="AS198" s="574">
        <f t="shared" si="145"/>
        <v>0</v>
      </c>
      <c r="AT198" s="574">
        <f t="shared" si="146"/>
        <v>0</v>
      </c>
      <c r="AU198" s="589">
        <v>1</v>
      </c>
      <c r="AV198" s="635">
        <f t="shared" si="147"/>
        <v>4272</v>
      </c>
      <c r="AW198" s="637"/>
      <c r="AX198" s="1079">
        <v>0</v>
      </c>
      <c r="AY198" s="580">
        <v>130</v>
      </c>
      <c r="AZ198" s="428">
        <v>20</v>
      </c>
      <c r="BA198" s="473" t="s">
        <v>962</v>
      </c>
      <c r="BB198" s="548">
        <f t="shared" si="148"/>
        <v>0.60861423220973787</v>
      </c>
      <c r="BC198" s="606">
        <f t="shared" si="149"/>
        <v>2600</v>
      </c>
      <c r="BD198" s="548">
        <f t="shared" si="150"/>
        <v>0.60861423220973787</v>
      </c>
      <c r="BE198" s="576">
        <f t="shared" si="151"/>
        <v>2600</v>
      </c>
      <c r="BF198" s="646">
        <f t="shared" si="152"/>
        <v>0</v>
      </c>
      <c r="BG198" s="606">
        <f t="shared" si="153"/>
        <v>0</v>
      </c>
      <c r="BH198" s="593" t="s">
        <v>494</v>
      </c>
      <c r="BI198" s="586">
        <v>1</v>
      </c>
      <c r="BJ198" s="606">
        <f t="shared" si="130"/>
        <v>4272</v>
      </c>
      <c r="BK198" s="596">
        <f t="shared" si="154"/>
        <v>83.6</v>
      </c>
      <c r="BL198" s="580">
        <v>0</v>
      </c>
      <c r="BM198" s="645">
        <f t="shared" si="155"/>
        <v>0</v>
      </c>
      <c r="BN198" s="606">
        <f t="shared" si="156"/>
        <v>0</v>
      </c>
      <c r="BO198" s="596">
        <f t="shared" si="157"/>
        <v>762.85714285714289</v>
      </c>
      <c r="BP198" s="647">
        <v>0</v>
      </c>
      <c r="BQ198" s="606">
        <v>0</v>
      </c>
      <c r="BR198" s="593">
        <v>0</v>
      </c>
      <c r="BS198" s="645">
        <f t="shared" si="158"/>
        <v>0</v>
      </c>
      <c r="BT198" s="648">
        <f t="shared" si="159"/>
        <v>42.72</v>
      </c>
      <c r="BU198" s="652">
        <v>1</v>
      </c>
      <c r="BV198" s="650">
        <f t="shared" si="160"/>
        <v>4272</v>
      </c>
      <c r="BW198" s="584"/>
      <c r="BX198" s="591">
        <v>41877</v>
      </c>
      <c r="BY198" s="1193"/>
      <c r="BZ198" s="1193"/>
      <c r="CA198" s="659" t="str">
        <f t="shared" si="161"/>
        <v>To be done</v>
      </c>
      <c r="CB198" s="580">
        <v>1120</v>
      </c>
      <c r="CC198" s="580">
        <v>9</v>
      </c>
      <c r="CD198" s="660">
        <f t="shared" si="162"/>
        <v>1154</v>
      </c>
      <c r="CE198" s="661">
        <f t="shared" si="163"/>
        <v>0</v>
      </c>
      <c r="CF198" s="609">
        <f t="shared" si="164"/>
        <v>0</v>
      </c>
      <c r="CG198" s="662">
        <f t="shared" si="165"/>
        <v>4</v>
      </c>
      <c r="CH198" s="579" t="s">
        <v>505</v>
      </c>
      <c r="CI198" s="330">
        <v>9.7053726169844021E-2</v>
      </c>
      <c r="CJ198" s="664">
        <f t="shared" si="166"/>
        <v>414.61351819757368</v>
      </c>
      <c r="CK198" s="579">
        <v>7</v>
      </c>
      <c r="CL198" s="674" t="str">
        <f t="shared" ref="CL198:CL204" si="173">IF(CK198=0,"No coverage",IF(N198/CK198&gt;1000,"Low coverage",IF(N198/CK198&gt;750,"Average coverage",IF(N198/CK198&gt;500,"Good coverage","Excellent coverage"))))</f>
        <v>Good coverage</v>
      </c>
      <c r="CM198" s="580" t="s">
        <v>170</v>
      </c>
      <c r="CN198" s="580" t="s">
        <v>43</v>
      </c>
      <c r="CO198" s="580" t="s">
        <v>170</v>
      </c>
      <c r="CP198" s="590" t="s">
        <v>169</v>
      </c>
      <c r="CQ198" s="671"/>
      <c r="CS198" s="1069">
        <f t="shared" si="167"/>
        <v>0.5617977528089888</v>
      </c>
      <c r="CT198" s="1069">
        <f t="shared" si="168"/>
        <v>0.5617977528089888</v>
      </c>
      <c r="CU198" s="1066">
        <f t="shared" si="169"/>
        <v>0</v>
      </c>
      <c r="CV198" s="1066">
        <f t="shared" si="170"/>
        <v>0</v>
      </c>
      <c r="CW198" s="1082">
        <f t="shared" si="171"/>
        <v>10.68</v>
      </c>
      <c r="CX198" s="1082">
        <f t="shared" si="172"/>
        <v>17.088000000000001</v>
      </c>
    </row>
    <row r="199" spans="2:102" ht="18" customHeight="1">
      <c r="B199" s="721" t="s">
        <v>51</v>
      </c>
      <c r="C199" s="604"/>
      <c r="D199" s="604"/>
      <c r="E199" s="1054">
        <v>197558</v>
      </c>
      <c r="F199" s="721" t="s">
        <v>53</v>
      </c>
      <c r="G199" s="722">
        <v>92.985095000000001</v>
      </c>
      <c r="H199" s="722">
        <v>20.108101999999999</v>
      </c>
      <c r="I199" s="595" t="s">
        <v>33</v>
      </c>
      <c r="J199" s="595" t="s">
        <v>34</v>
      </c>
      <c r="K199" s="604" t="s">
        <v>508</v>
      </c>
      <c r="L199" s="585">
        <v>0</v>
      </c>
      <c r="M199" s="585">
        <v>0</v>
      </c>
      <c r="N199" s="723">
        <v>1802</v>
      </c>
      <c r="O199" s="328" t="s">
        <v>983</v>
      </c>
      <c r="P199" s="1134" t="str">
        <f t="shared" si="132"/>
        <v>3. Large</v>
      </c>
      <c r="Q199" s="1135" t="s">
        <v>305</v>
      </c>
      <c r="R199" s="1137"/>
      <c r="S199" s="621" t="s">
        <v>54</v>
      </c>
      <c r="T199" s="323" t="str">
        <f t="shared" si="133"/>
        <v>Covered</v>
      </c>
      <c r="U199" s="561">
        <v>42521</v>
      </c>
      <c r="V199" s="1177"/>
      <c r="W199" s="558" t="s">
        <v>152</v>
      </c>
      <c r="X199" s="585">
        <v>0</v>
      </c>
      <c r="Y199" s="580">
        <v>0</v>
      </c>
      <c r="Z199" s="590" t="s">
        <v>43</v>
      </c>
      <c r="AA199" s="579">
        <v>0</v>
      </c>
      <c r="AB199" s="580">
        <v>0</v>
      </c>
      <c r="AC199" s="580">
        <v>0</v>
      </c>
      <c r="AD199" s="580">
        <v>7</v>
      </c>
      <c r="AE199" s="590"/>
      <c r="AF199" s="573">
        <v>0</v>
      </c>
      <c r="AG199" s="589">
        <v>0.8</v>
      </c>
      <c r="AH199" s="630">
        <f t="shared" si="134"/>
        <v>0</v>
      </c>
      <c r="AI199" s="577">
        <f t="shared" si="135"/>
        <v>0</v>
      </c>
      <c r="AJ199" s="605">
        <f t="shared" si="136"/>
        <v>0</v>
      </c>
      <c r="AK199" s="577">
        <f t="shared" si="137"/>
        <v>0</v>
      </c>
      <c r="AL199" s="631">
        <f t="shared" si="138"/>
        <v>0.8</v>
      </c>
      <c r="AM199" s="577">
        <f t="shared" si="139"/>
        <v>1441.6000000000001</v>
      </c>
      <c r="AN199" s="633" t="str">
        <f t="shared" si="140"/>
        <v>0-10%</v>
      </c>
      <c r="AO199" s="631">
        <f t="shared" si="141"/>
        <v>0</v>
      </c>
      <c r="AP199" s="577">
        <f t="shared" si="142"/>
        <v>0</v>
      </c>
      <c r="AQ199" s="577" t="str">
        <f t="shared" si="143"/>
        <v>yes</v>
      </c>
      <c r="AR199" s="574">
        <f t="shared" si="144"/>
        <v>7.2080000000000002</v>
      </c>
      <c r="AS199" s="574">
        <f t="shared" si="145"/>
        <v>1441.6000000000001</v>
      </c>
      <c r="AT199" s="574">
        <f t="shared" si="146"/>
        <v>0</v>
      </c>
      <c r="AU199" s="589">
        <v>0</v>
      </c>
      <c r="AV199" s="635">
        <f t="shared" si="147"/>
        <v>0</v>
      </c>
      <c r="AW199" s="637" t="s">
        <v>747</v>
      </c>
      <c r="AX199" s="1079">
        <v>0</v>
      </c>
      <c r="AY199" s="580">
        <v>347</v>
      </c>
      <c r="AZ199" s="428">
        <v>6</v>
      </c>
      <c r="BA199" s="473" t="s">
        <v>526</v>
      </c>
      <c r="BB199" s="548">
        <f t="shared" si="148"/>
        <v>1</v>
      </c>
      <c r="BC199" s="606">
        <f t="shared" si="149"/>
        <v>1802</v>
      </c>
      <c r="BD199" s="548">
        <f t="shared" si="150"/>
        <v>1</v>
      </c>
      <c r="BE199" s="576">
        <f t="shared" si="151"/>
        <v>1802</v>
      </c>
      <c r="BF199" s="646">
        <f t="shared" si="152"/>
        <v>0</v>
      </c>
      <c r="BG199" s="606">
        <f t="shared" si="153"/>
        <v>0</v>
      </c>
      <c r="BH199" s="593" t="s">
        <v>475</v>
      </c>
      <c r="BI199" s="586">
        <v>1</v>
      </c>
      <c r="BJ199" s="606">
        <f t="shared" si="130"/>
        <v>1802</v>
      </c>
      <c r="BK199" s="596" t="str">
        <f t="shared" si="154"/>
        <v>n/a</v>
      </c>
      <c r="BL199" s="580" t="s">
        <v>475</v>
      </c>
      <c r="BM199" s="645" t="str">
        <f t="shared" si="155"/>
        <v>n/a</v>
      </c>
      <c r="BN199" s="606" t="str">
        <f t="shared" si="156"/>
        <v>n/a</v>
      </c>
      <c r="BO199" s="596" t="str">
        <f t="shared" si="157"/>
        <v>n/a</v>
      </c>
      <c r="BP199" s="647" t="s">
        <v>475</v>
      </c>
      <c r="BQ199" s="606" t="s">
        <v>475</v>
      </c>
      <c r="BR199" s="593" t="s">
        <v>475</v>
      </c>
      <c r="BS199" s="645" t="str">
        <f t="shared" si="158"/>
        <v>n/a</v>
      </c>
      <c r="BT199" s="648" t="str">
        <f t="shared" si="159"/>
        <v>n/a</v>
      </c>
      <c r="BU199" s="652" t="s">
        <v>475</v>
      </c>
      <c r="BV199" s="650" t="str">
        <f t="shared" si="160"/>
        <v>n/a</v>
      </c>
      <c r="BW199" s="584"/>
      <c r="BX199" s="591" t="s">
        <v>475</v>
      </c>
      <c r="BY199" s="1193"/>
      <c r="BZ199" s="1193"/>
      <c r="CA199" s="659" t="str">
        <f t="shared" si="161"/>
        <v>n/a</v>
      </c>
      <c r="CB199" s="580">
        <v>0</v>
      </c>
      <c r="CC199" s="580">
        <v>0</v>
      </c>
      <c r="CD199" s="660" t="str">
        <f t="shared" si="162"/>
        <v>n/a</v>
      </c>
      <c r="CE199" s="661" t="str">
        <f t="shared" si="163"/>
        <v>n/a</v>
      </c>
      <c r="CF199" s="609" t="str">
        <f t="shared" si="164"/>
        <v>n/a</v>
      </c>
      <c r="CG199" s="662" t="str">
        <f t="shared" si="165"/>
        <v>n/a</v>
      </c>
      <c r="CH199" s="579" t="s">
        <v>505</v>
      </c>
      <c r="CI199" s="330">
        <v>0.13832853025936601</v>
      </c>
      <c r="CJ199" s="664">
        <f t="shared" si="166"/>
        <v>249.26801152737755</v>
      </c>
      <c r="CK199" s="579">
        <v>3</v>
      </c>
      <c r="CL199" s="674" t="str">
        <f t="shared" si="173"/>
        <v>Good coverage</v>
      </c>
      <c r="CM199" s="580" t="s">
        <v>170</v>
      </c>
      <c r="CN199" s="580" t="s">
        <v>43</v>
      </c>
      <c r="CO199" s="580" t="s">
        <v>170</v>
      </c>
      <c r="CP199" s="590" t="s">
        <v>169</v>
      </c>
      <c r="CQ199" s="671"/>
      <c r="CS199" s="1069">
        <f t="shared" si="167"/>
        <v>0</v>
      </c>
      <c r="CT199" s="1069">
        <f t="shared" si="168"/>
        <v>0</v>
      </c>
      <c r="CU199" s="1066">
        <f t="shared" si="169"/>
        <v>0</v>
      </c>
      <c r="CV199" s="1066">
        <f t="shared" si="170"/>
        <v>0</v>
      </c>
      <c r="CW199" s="1082">
        <f t="shared" si="171"/>
        <v>4.5049999999999999</v>
      </c>
      <c r="CX199" s="1082">
        <f t="shared" si="172"/>
        <v>7.2080000000000002</v>
      </c>
    </row>
    <row r="200" spans="2:102" ht="18" customHeight="1">
      <c r="B200" s="402" t="s">
        <v>51</v>
      </c>
      <c r="C200" s="603"/>
      <c r="D200" s="603"/>
      <c r="E200" s="1052" t="s">
        <v>527</v>
      </c>
      <c r="F200" s="402" t="s">
        <v>638</v>
      </c>
      <c r="G200" s="556">
        <v>93.067891000000003</v>
      </c>
      <c r="H200" s="556">
        <v>20.173468</v>
      </c>
      <c r="I200" s="560" t="s">
        <v>44</v>
      </c>
      <c r="J200" s="560" t="s">
        <v>45</v>
      </c>
      <c r="K200" s="604" t="s">
        <v>640</v>
      </c>
      <c r="L200" s="428">
        <v>21</v>
      </c>
      <c r="M200" s="428">
        <v>122</v>
      </c>
      <c r="N200" s="570">
        <v>122</v>
      </c>
      <c r="O200" s="328" t="s">
        <v>983</v>
      </c>
      <c r="P200" s="720" t="str">
        <f t="shared" si="132"/>
        <v>1. Small</v>
      </c>
      <c r="Q200" s="968" t="s">
        <v>139</v>
      </c>
      <c r="R200" s="625" t="s">
        <v>83</v>
      </c>
      <c r="S200" s="620" t="s">
        <v>139</v>
      </c>
      <c r="T200" s="323" t="str">
        <f t="shared" si="133"/>
        <v>Not Covered</v>
      </c>
      <c r="U200" s="561"/>
      <c r="V200" s="618"/>
      <c r="W200" s="558" t="s">
        <v>154</v>
      </c>
      <c r="X200" s="428">
        <v>0</v>
      </c>
      <c r="Y200" s="428">
        <v>0</v>
      </c>
      <c r="Z200" s="570" t="s">
        <v>43</v>
      </c>
      <c r="AA200" s="328">
        <v>0</v>
      </c>
      <c r="AB200" s="428">
        <v>0</v>
      </c>
      <c r="AC200" s="428">
        <v>0</v>
      </c>
      <c r="AD200" s="428">
        <v>0</v>
      </c>
      <c r="AE200" s="570"/>
      <c r="AF200" s="329">
        <v>0</v>
      </c>
      <c r="AG200" s="330">
        <v>0</v>
      </c>
      <c r="AH200" s="630">
        <f t="shared" si="134"/>
        <v>0</v>
      </c>
      <c r="AI200" s="574">
        <f t="shared" si="135"/>
        <v>0</v>
      </c>
      <c r="AJ200" s="605">
        <f t="shared" si="136"/>
        <v>0</v>
      </c>
      <c r="AK200" s="574">
        <f t="shared" si="137"/>
        <v>0</v>
      </c>
      <c r="AL200" s="605">
        <f t="shared" si="138"/>
        <v>0</v>
      </c>
      <c r="AM200" s="574">
        <f t="shared" si="139"/>
        <v>0</v>
      </c>
      <c r="AN200" s="605" t="str">
        <f t="shared" si="140"/>
        <v>0-10%</v>
      </c>
      <c r="AO200" s="605">
        <f t="shared" si="141"/>
        <v>0</v>
      </c>
      <c r="AP200" s="574">
        <f t="shared" si="142"/>
        <v>0</v>
      </c>
      <c r="AQ200" s="574" t="str">
        <f t="shared" si="143"/>
        <v>no</v>
      </c>
      <c r="AR200" s="574">
        <f t="shared" si="144"/>
        <v>0.30499999999999999</v>
      </c>
      <c r="AS200" s="574">
        <f t="shared" si="145"/>
        <v>0</v>
      </c>
      <c r="AT200" s="574">
        <f t="shared" si="146"/>
        <v>0</v>
      </c>
      <c r="AU200" s="589">
        <v>0.25</v>
      </c>
      <c r="AV200" s="635">
        <f t="shared" si="147"/>
        <v>30.5</v>
      </c>
      <c r="AW200" s="636" t="s">
        <v>528</v>
      </c>
      <c r="AX200" s="740">
        <v>0</v>
      </c>
      <c r="AY200" s="428">
        <v>3</v>
      </c>
      <c r="AZ200" s="428">
        <v>20</v>
      </c>
      <c r="BA200" s="473" t="s">
        <v>964</v>
      </c>
      <c r="BB200" s="548">
        <f t="shared" si="148"/>
        <v>0.49180327868852458</v>
      </c>
      <c r="BC200" s="606">
        <f t="shared" si="149"/>
        <v>60</v>
      </c>
      <c r="BD200" s="548">
        <f t="shared" si="150"/>
        <v>0.49180327868852458</v>
      </c>
      <c r="BE200" s="606">
        <f t="shared" si="151"/>
        <v>60</v>
      </c>
      <c r="BF200" s="549">
        <f t="shared" si="152"/>
        <v>0</v>
      </c>
      <c r="BG200" s="606">
        <f t="shared" si="153"/>
        <v>0</v>
      </c>
      <c r="BH200" s="519" t="s">
        <v>491</v>
      </c>
      <c r="BI200" s="429">
        <v>0.8</v>
      </c>
      <c r="BJ200" s="606">
        <f t="shared" si="130"/>
        <v>97.600000000000009</v>
      </c>
      <c r="BK200" s="606">
        <f t="shared" si="154"/>
        <v>3.0999999999999996</v>
      </c>
      <c r="BL200" s="428">
        <v>21</v>
      </c>
      <c r="BM200" s="548">
        <f t="shared" si="155"/>
        <v>0.9639344262295082</v>
      </c>
      <c r="BN200" s="606">
        <f t="shared" si="156"/>
        <v>117.6</v>
      </c>
      <c r="BO200" s="606">
        <f t="shared" si="157"/>
        <v>0.78571428571428825</v>
      </c>
      <c r="BP200" s="578">
        <v>1</v>
      </c>
      <c r="BQ200" s="606">
        <v>97</v>
      </c>
      <c r="BR200" s="519"/>
      <c r="BS200" s="548">
        <f t="shared" si="158"/>
        <v>0</v>
      </c>
      <c r="BT200" s="607">
        <f t="shared" si="159"/>
        <v>1.22</v>
      </c>
      <c r="BU200" s="651">
        <v>0.67</v>
      </c>
      <c r="BV200" s="650">
        <f t="shared" si="160"/>
        <v>81.740000000000009</v>
      </c>
      <c r="BW200" s="325" t="s">
        <v>529</v>
      </c>
      <c r="BX200" s="470">
        <v>41625</v>
      </c>
      <c r="BY200" s="1192"/>
      <c r="BZ200" s="1192"/>
      <c r="CA200" s="608" t="str">
        <f t="shared" si="161"/>
        <v>To be done</v>
      </c>
      <c r="CB200" s="428"/>
      <c r="CC200" s="428"/>
      <c r="CD200" s="609">
        <f t="shared" si="162"/>
        <v>21</v>
      </c>
      <c r="CE200" s="610">
        <f t="shared" si="163"/>
        <v>0</v>
      </c>
      <c r="CF200" s="609">
        <f t="shared" si="164"/>
        <v>0</v>
      </c>
      <c r="CG200" s="658">
        <f t="shared" si="165"/>
        <v>22</v>
      </c>
      <c r="CH200" s="328" t="s">
        <v>237</v>
      </c>
      <c r="CI200" s="330"/>
      <c r="CJ200" s="664">
        <f t="shared" si="166"/>
        <v>0</v>
      </c>
      <c r="CK200" s="328"/>
      <c r="CL200" s="611" t="str">
        <f t="shared" si="173"/>
        <v>No coverage</v>
      </c>
      <c r="CM200" s="428"/>
      <c r="CN200" s="428"/>
      <c r="CO200" s="428"/>
      <c r="CP200" s="570"/>
      <c r="CQ200" s="665"/>
      <c r="CS200" s="1069">
        <f t="shared" si="167"/>
        <v>0</v>
      </c>
      <c r="CT200" s="1069">
        <f t="shared" si="168"/>
        <v>0</v>
      </c>
      <c r="CU200" s="1066">
        <f t="shared" si="169"/>
        <v>0</v>
      </c>
      <c r="CV200" s="1066">
        <f t="shared" si="170"/>
        <v>0</v>
      </c>
      <c r="CW200" s="1082">
        <f t="shared" si="171"/>
        <v>0.30499999999999999</v>
      </c>
      <c r="CX200" s="1082">
        <f t="shared" si="172"/>
        <v>0.48799999999999999</v>
      </c>
    </row>
    <row r="201" spans="2:102" ht="18" customHeight="1">
      <c r="B201" s="402" t="s">
        <v>51</v>
      </c>
      <c r="C201" s="603"/>
      <c r="D201" s="603"/>
      <c r="E201" s="1052" t="s">
        <v>211</v>
      </c>
      <c r="F201" s="402" t="s">
        <v>55</v>
      </c>
      <c r="G201" s="556">
        <v>93.011172000000002</v>
      </c>
      <c r="H201" s="556">
        <v>20.089314999999999</v>
      </c>
      <c r="I201" s="560" t="s">
        <v>44</v>
      </c>
      <c r="J201" s="560" t="s">
        <v>34</v>
      </c>
      <c r="K201" s="604" t="s">
        <v>640</v>
      </c>
      <c r="L201" s="428">
        <v>1152</v>
      </c>
      <c r="M201" s="428">
        <v>5060</v>
      </c>
      <c r="N201" s="570">
        <v>5060</v>
      </c>
      <c r="O201" s="328" t="s">
        <v>983</v>
      </c>
      <c r="P201" s="720" t="str">
        <f t="shared" si="132"/>
        <v>5. Massive</v>
      </c>
      <c r="Q201" s="968" t="s">
        <v>153</v>
      </c>
      <c r="R201" s="625" t="s">
        <v>52</v>
      </c>
      <c r="S201" s="1140" t="s">
        <v>56</v>
      </c>
      <c r="T201" s="323" t="str">
        <f t="shared" si="133"/>
        <v>Covered</v>
      </c>
      <c r="U201" s="734">
        <v>42369</v>
      </c>
      <c r="V201" s="1144"/>
      <c r="W201" s="558" t="s">
        <v>152</v>
      </c>
      <c r="X201" s="738">
        <v>0</v>
      </c>
      <c r="Y201" s="738">
        <v>0</v>
      </c>
      <c r="Z201" s="744" t="s">
        <v>43</v>
      </c>
      <c r="AA201" s="328">
        <v>1</v>
      </c>
      <c r="AB201" s="428">
        <v>0</v>
      </c>
      <c r="AC201" s="428">
        <v>0</v>
      </c>
      <c r="AD201" s="428">
        <v>10</v>
      </c>
      <c r="AE201" s="570"/>
      <c r="AF201" s="1151">
        <v>1</v>
      </c>
      <c r="AG201" s="1124">
        <v>0.5</v>
      </c>
      <c r="AH201" s="630">
        <f t="shared" si="134"/>
        <v>7.9051383399209488E-2</v>
      </c>
      <c r="AI201" s="574">
        <f t="shared" si="135"/>
        <v>400</v>
      </c>
      <c r="AJ201" s="605">
        <f t="shared" si="136"/>
        <v>7.9051383399209488E-2</v>
      </c>
      <c r="AK201" s="574">
        <f t="shared" si="137"/>
        <v>400</v>
      </c>
      <c r="AL201" s="605">
        <f t="shared" si="138"/>
        <v>0.5</v>
      </c>
      <c r="AM201" s="574">
        <f t="shared" si="139"/>
        <v>2530</v>
      </c>
      <c r="AN201" s="605" t="str">
        <f t="shared" si="140"/>
        <v>0-10%</v>
      </c>
      <c r="AO201" s="605">
        <f t="shared" si="141"/>
        <v>0</v>
      </c>
      <c r="AP201" s="574">
        <f t="shared" si="142"/>
        <v>0</v>
      </c>
      <c r="AQ201" s="574" t="str">
        <f t="shared" si="143"/>
        <v>yes</v>
      </c>
      <c r="AR201" s="574">
        <f t="shared" si="144"/>
        <v>11.65</v>
      </c>
      <c r="AS201" s="574">
        <f t="shared" si="145"/>
        <v>2530</v>
      </c>
      <c r="AT201" s="574">
        <f t="shared" si="146"/>
        <v>5060</v>
      </c>
      <c r="AU201" s="589">
        <v>1</v>
      </c>
      <c r="AV201" s="635">
        <f t="shared" si="147"/>
        <v>5060</v>
      </c>
      <c r="AW201" s="1156" t="s">
        <v>369</v>
      </c>
      <c r="AX201" s="1081">
        <v>0</v>
      </c>
      <c r="AY201" s="738">
        <v>284</v>
      </c>
      <c r="AZ201" s="428">
        <v>17.116197183098592</v>
      </c>
      <c r="BA201" s="473" t="s">
        <v>973</v>
      </c>
      <c r="BB201" s="548">
        <f t="shared" si="148"/>
        <v>1</v>
      </c>
      <c r="BC201" s="606">
        <f t="shared" si="149"/>
        <v>5060</v>
      </c>
      <c r="BD201" s="548">
        <f t="shared" si="150"/>
        <v>1</v>
      </c>
      <c r="BE201" s="606">
        <f t="shared" si="151"/>
        <v>5060</v>
      </c>
      <c r="BF201" s="549">
        <f t="shared" si="152"/>
        <v>0</v>
      </c>
      <c r="BG201" s="606">
        <f t="shared" si="153"/>
        <v>0</v>
      </c>
      <c r="BH201" s="738" t="s">
        <v>494</v>
      </c>
      <c r="BI201" s="1160">
        <v>1</v>
      </c>
      <c r="BJ201" s="606">
        <f t="shared" ref="BJ201:BJ232" si="174">BI201*N201</f>
        <v>5060</v>
      </c>
      <c r="BK201" s="606">
        <f t="shared" si="154"/>
        <v>0</v>
      </c>
      <c r="BL201" s="428">
        <v>0</v>
      </c>
      <c r="BM201" s="548">
        <f t="shared" si="155"/>
        <v>0</v>
      </c>
      <c r="BN201" s="606">
        <f t="shared" si="156"/>
        <v>0</v>
      </c>
      <c r="BO201" s="606">
        <f t="shared" si="157"/>
        <v>903.57142857142867</v>
      </c>
      <c r="BP201" s="741">
        <v>0.79051383399209485</v>
      </c>
      <c r="BQ201" s="606">
        <v>3842.687747035573</v>
      </c>
      <c r="BR201" s="742">
        <v>0</v>
      </c>
      <c r="BS201" s="548">
        <f t="shared" si="158"/>
        <v>0</v>
      </c>
      <c r="BT201" s="607">
        <f t="shared" si="159"/>
        <v>50.6</v>
      </c>
      <c r="BU201" s="1164">
        <v>1</v>
      </c>
      <c r="BV201" s="650">
        <f t="shared" si="160"/>
        <v>5060</v>
      </c>
      <c r="BW201" s="735" t="s">
        <v>1163</v>
      </c>
      <c r="BX201" s="430">
        <v>41991</v>
      </c>
      <c r="BY201" s="1190"/>
      <c r="BZ201" s="1190"/>
      <c r="CA201" s="608">
        <f t="shared" si="161"/>
        <v>42356</v>
      </c>
      <c r="CB201" s="428">
        <v>1086</v>
      </c>
      <c r="CC201" s="428">
        <v>0</v>
      </c>
      <c r="CD201" s="609">
        <f t="shared" si="162"/>
        <v>66</v>
      </c>
      <c r="CE201" s="610">
        <f t="shared" si="163"/>
        <v>0.94270833333333337</v>
      </c>
      <c r="CF201" s="609">
        <f t="shared" si="164"/>
        <v>4770.104166666667</v>
      </c>
      <c r="CG201" s="658">
        <f t="shared" si="165"/>
        <v>10</v>
      </c>
      <c r="CH201" s="328"/>
      <c r="CI201" s="330">
        <v>1</v>
      </c>
      <c r="CJ201" s="664">
        <f t="shared" si="166"/>
        <v>5060</v>
      </c>
      <c r="CK201" s="328">
        <v>70</v>
      </c>
      <c r="CL201" s="611" t="str">
        <f t="shared" si="173"/>
        <v>Excellent coverage</v>
      </c>
      <c r="CM201" s="428" t="s">
        <v>170</v>
      </c>
      <c r="CN201" s="738" t="s">
        <v>43</v>
      </c>
      <c r="CO201" s="738" t="s">
        <v>170</v>
      </c>
      <c r="CP201" s="744" t="s">
        <v>170</v>
      </c>
      <c r="CQ201" s="1173"/>
      <c r="CS201" s="1069">
        <f t="shared" si="167"/>
        <v>7.9051383399209488E-2</v>
      </c>
      <c r="CT201" s="1069">
        <f t="shared" si="168"/>
        <v>4.9407114624505928E-2</v>
      </c>
      <c r="CU201" s="1066">
        <f t="shared" si="169"/>
        <v>7.9051383399209488E-2</v>
      </c>
      <c r="CV201" s="1066">
        <f t="shared" si="170"/>
        <v>4.9407114624505928E-2</v>
      </c>
      <c r="CW201" s="1082">
        <f t="shared" si="171"/>
        <v>11.65</v>
      </c>
      <c r="CX201" s="1082">
        <f t="shared" si="172"/>
        <v>19.239999999999998</v>
      </c>
    </row>
    <row r="202" spans="2:102" ht="18" customHeight="1">
      <c r="B202" s="721" t="s">
        <v>51</v>
      </c>
      <c r="C202" s="604"/>
      <c r="D202" s="604"/>
      <c r="E202" s="1054" t="s">
        <v>210</v>
      </c>
      <c r="F202" s="721" t="s">
        <v>506</v>
      </c>
      <c r="G202" s="722">
        <v>93.154551999999995</v>
      </c>
      <c r="H202" s="722">
        <v>20.073437999999999</v>
      </c>
      <c r="I202" s="595" t="s">
        <v>44</v>
      </c>
      <c r="J202" s="595" t="s">
        <v>34</v>
      </c>
      <c r="K202" s="604" t="s">
        <v>640</v>
      </c>
      <c r="L202" s="585">
        <v>905</v>
      </c>
      <c r="M202" s="585">
        <v>4249</v>
      </c>
      <c r="N202" s="723">
        <v>4249</v>
      </c>
      <c r="O202" s="328" t="s">
        <v>983</v>
      </c>
      <c r="P202" s="1134" t="str">
        <f t="shared" si="132"/>
        <v>4. Big</v>
      </c>
      <c r="Q202" s="1135" t="s">
        <v>924</v>
      </c>
      <c r="R202" s="1137" t="s">
        <v>83</v>
      </c>
      <c r="S202" s="595" t="s">
        <v>54</v>
      </c>
      <c r="T202" s="323" t="str">
        <f t="shared" si="133"/>
        <v>Covered</v>
      </c>
      <c r="U202" s="561">
        <v>42521</v>
      </c>
      <c r="V202" s="1142">
        <v>0</v>
      </c>
      <c r="W202" s="558" t="s">
        <v>152</v>
      </c>
      <c r="X202" s="597">
        <v>20</v>
      </c>
      <c r="Y202" s="580">
        <v>0</v>
      </c>
      <c r="Z202" s="590" t="s">
        <v>43</v>
      </c>
      <c r="AA202" s="579">
        <v>0</v>
      </c>
      <c r="AB202" s="580">
        <v>0</v>
      </c>
      <c r="AC202" s="580">
        <v>0</v>
      </c>
      <c r="AD202" s="580">
        <v>3</v>
      </c>
      <c r="AE202" s="590"/>
      <c r="AF202" s="573">
        <v>0</v>
      </c>
      <c r="AG202" s="1152">
        <v>0</v>
      </c>
      <c r="AH202" s="630">
        <f t="shared" si="134"/>
        <v>0.3137993253314505</v>
      </c>
      <c r="AI202" s="577">
        <f t="shared" si="135"/>
        <v>1333.3333333333333</v>
      </c>
      <c r="AJ202" s="605">
        <f t="shared" si="136"/>
        <v>0</v>
      </c>
      <c r="AK202" s="577">
        <f t="shared" si="137"/>
        <v>0</v>
      </c>
      <c r="AL202" s="631">
        <f t="shared" si="138"/>
        <v>0.3137993253314505</v>
      </c>
      <c r="AM202" s="577">
        <f t="shared" si="139"/>
        <v>1333.3333333333333</v>
      </c>
      <c r="AN202" s="633" t="str">
        <f t="shared" si="140"/>
        <v>30-45%</v>
      </c>
      <c r="AO202" s="631">
        <f t="shared" si="141"/>
        <v>0.3137993253314505</v>
      </c>
      <c r="AP202" s="577">
        <f t="shared" si="142"/>
        <v>1333.3333333333333</v>
      </c>
      <c r="AQ202" s="577" t="str">
        <f t="shared" si="143"/>
        <v>yes</v>
      </c>
      <c r="AR202" s="574">
        <f t="shared" si="144"/>
        <v>10.6225</v>
      </c>
      <c r="AS202" s="574">
        <f t="shared" si="145"/>
        <v>0</v>
      </c>
      <c r="AT202" s="574">
        <f t="shared" si="146"/>
        <v>0</v>
      </c>
      <c r="AU202" s="1152">
        <v>1</v>
      </c>
      <c r="AV202" s="635">
        <f t="shared" si="147"/>
        <v>4249</v>
      </c>
      <c r="AW202" s="584"/>
      <c r="AX202" s="1079">
        <v>0</v>
      </c>
      <c r="AY202" s="580">
        <v>91</v>
      </c>
      <c r="AZ202" s="428">
        <v>20</v>
      </c>
      <c r="BA202" s="473" t="s">
        <v>962</v>
      </c>
      <c r="BB202" s="548">
        <f t="shared" si="148"/>
        <v>0.42833607907742999</v>
      </c>
      <c r="BC202" s="606">
        <f t="shared" si="149"/>
        <v>1820</v>
      </c>
      <c r="BD202" s="548">
        <f t="shared" si="150"/>
        <v>0.42833607907742999</v>
      </c>
      <c r="BE202" s="576">
        <f t="shared" si="151"/>
        <v>1820</v>
      </c>
      <c r="BF202" s="646">
        <f t="shared" si="152"/>
        <v>0</v>
      </c>
      <c r="BG202" s="606">
        <f t="shared" si="153"/>
        <v>0</v>
      </c>
      <c r="BH202" s="593" t="s">
        <v>494</v>
      </c>
      <c r="BI202" s="586">
        <v>1</v>
      </c>
      <c r="BJ202" s="606">
        <f t="shared" si="174"/>
        <v>4249</v>
      </c>
      <c r="BK202" s="596">
        <f t="shared" si="154"/>
        <v>121.44999999999999</v>
      </c>
      <c r="BL202" s="580">
        <v>0</v>
      </c>
      <c r="BM202" s="645">
        <f t="shared" si="155"/>
        <v>0</v>
      </c>
      <c r="BN202" s="606">
        <f t="shared" si="156"/>
        <v>0</v>
      </c>
      <c r="BO202" s="596">
        <f t="shared" si="157"/>
        <v>758.75</v>
      </c>
      <c r="BP202" s="647">
        <v>0</v>
      </c>
      <c r="BQ202" s="606">
        <v>0</v>
      </c>
      <c r="BR202" s="593">
        <v>0</v>
      </c>
      <c r="BS202" s="645">
        <f t="shared" si="158"/>
        <v>0</v>
      </c>
      <c r="BT202" s="648">
        <f t="shared" si="159"/>
        <v>42.49</v>
      </c>
      <c r="BU202" s="1162">
        <v>1</v>
      </c>
      <c r="BV202" s="650">
        <f t="shared" si="160"/>
        <v>4249</v>
      </c>
      <c r="BW202" s="637"/>
      <c r="BX202" s="591">
        <v>41801</v>
      </c>
      <c r="BY202" s="1193"/>
      <c r="BZ202" s="1193"/>
      <c r="CA202" s="659" t="str">
        <f t="shared" si="161"/>
        <v>To be done</v>
      </c>
      <c r="CB202" s="580">
        <v>737.5</v>
      </c>
      <c r="CC202" s="580">
        <v>9</v>
      </c>
      <c r="CD202" s="660">
        <f t="shared" si="162"/>
        <v>905</v>
      </c>
      <c r="CE202" s="661">
        <f t="shared" si="163"/>
        <v>0</v>
      </c>
      <c r="CF202" s="609">
        <f t="shared" si="164"/>
        <v>0</v>
      </c>
      <c r="CG202" s="662">
        <f t="shared" si="165"/>
        <v>7</v>
      </c>
      <c r="CH202" s="579" t="s">
        <v>505</v>
      </c>
      <c r="CI202" s="330">
        <v>0.10607734806629834</v>
      </c>
      <c r="CJ202" s="664">
        <f t="shared" si="166"/>
        <v>450.72265193370168</v>
      </c>
      <c r="CK202" s="579">
        <v>6</v>
      </c>
      <c r="CL202" s="674" t="str">
        <f t="shared" si="173"/>
        <v>Good coverage</v>
      </c>
      <c r="CM202" s="580" t="s">
        <v>170</v>
      </c>
      <c r="CN202" s="580" t="s">
        <v>43</v>
      </c>
      <c r="CO202" s="580" t="s">
        <v>170</v>
      </c>
      <c r="CP202" s="590" t="s">
        <v>169</v>
      </c>
      <c r="CQ202" s="1169"/>
      <c r="CR202" s="322"/>
      <c r="CS202" s="1069">
        <f t="shared" si="167"/>
        <v>0.3137993253314505</v>
      </c>
      <c r="CT202" s="1069">
        <f t="shared" si="168"/>
        <v>0.3137993253314505</v>
      </c>
      <c r="CU202" s="1066">
        <f t="shared" si="169"/>
        <v>0</v>
      </c>
      <c r="CV202" s="1066">
        <f t="shared" si="170"/>
        <v>0</v>
      </c>
      <c r="CW202" s="1082">
        <f t="shared" si="171"/>
        <v>10.6225</v>
      </c>
      <c r="CX202" s="1082">
        <f t="shared" si="172"/>
        <v>16.995999999999999</v>
      </c>
    </row>
    <row r="203" spans="2:102" ht="18" customHeight="1">
      <c r="B203" s="721" t="s">
        <v>51</v>
      </c>
      <c r="C203" s="604"/>
      <c r="D203" s="604"/>
      <c r="E203" s="1054" t="s">
        <v>210</v>
      </c>
      <c r="F203" s="721" t="s">
        <v>507</v>
      </c>
      <c r="G203" s="722">
        <v>93.154551999999995</v>
      </c>
      <c r="H203" s="722">
        <v>20.073437999999999</v>
      </c>
      <c r="I203" s="595" t="s">
        <v>44</v>
      </c>
      <c r="J203" s="595" t="s">
        <v>34</v>
      </c>
      <c r="K203" s="604" t="s">
        <v>640</v>
      </c>
      <c r="L203" s="585">
        <v>713</v>
      </c>
      <c r="M203" s="585">
        <v>3264</v>
      </c>
      <c r="N203" s="723">
        <v>3264</v>
      </c>
      <c r="O203" s="328" t="s">
        <v>983</v>
      </c>
      <c r="P203" s="1134" t="str">
        <f t="shared" si="132"/>
        <v>4. Big</v>
      </c>
      <c r="Q203" s="1135" t="s">
        <v>924</v>
      </c>
      <c r="R203" s="1137" t="s">
        <v>83</v>
      </c>
      <c r="S203" s="595" t="s">
        <v>54</v>
      </c>
      <c r="T203" s="323" t="str">
        <f t="shared" si="133"/>
        <v>Covered</v>
      </c>
      <c r="U203" s="561">
        <v>42521</v>
      </c>
      <c r="V203" s="1142">
        <v>0</v>
      </c>
      <c r="W203" s="558" t="s">
        <v>152</v>
      </c>
      <c r="X203" s="597">
        <v>16</v>
      </c>
      <c r="Y203" s="580">
        <v>0</v>
      </c>
      <c r="Z203" s="590" t="s">
        <v>43</v>
      </c>
      <c r="AA203" s="579">
        <v>0</v>
      </c>
      <c r="AB203" s="580">
        <v>0</v>
      </c>
      <c r="AC203" s="580">
        <v>0</v>
      </c>
      <c r="AD203" s="580">
        <v>3</v>
      </c>
      <c r="AE203" s="590"/>
      <c r="AF203" s="573">
        <v>0</v>
      </c>
      <c r="AG203" s="1152">
        <v>0</v>
      </c>
      <c r="AH203" s="630">
        <f t="shared" si="134"/>
        <v>0.32679738562091504</v>
      </c>
      <c r="AI203" s="577">
        <f t="shared" si="135"/>
        <v>1066.6666666666667</v>
      </c>
      <c r="AJ203" s="605">
        <f t="shared" si="136"/>
        <v>0</v>
      </c>
      <c r="AK203" s="577">
        <f t="shared" si="137"/>
        <v>0</v>
      </c>
      <c r="AL203" s="631">
        <f t="shared" si="138"/>
        <v>0.32679738562091504</v>
      </c>
      <c r="AM203" s="577">
        <f t="shared" si="139"/>
        <v>1066.6666666666667</v>
      </c>
      <c r="AN203" s="633" t="str">
        <f t="shared" si="140"/>
        <v>30-45%</v>
      </c>
      <c r="AO203" s="631">
        <f t="shared" si="141"/>
        <v>0.32679738562091504</v>
      </c>
      <c r="AP203" s="577">
        <f t="shared" si="142"/>
        <v>1066.6666666666667</v>
      </c>
      <c r="AQ203" s="577" t="str">
        <f t="shared" si="143"/>
        <v>yes</v>
      </c>
      <c r="AR203" s="574">
        <f t="shared" si="144"/>
        <v>8.16</v>
      </c>
      <c r="AS203" s="574">
        <f t="shared" si="145"/>
        <v>0</v>
      </c>
      <c r="AT203" s="574">
        <f t="shared" si="146"/>
        <v>0</v>
      </c>
      <c r="AU203" s="1152">
        <v>1</v>
      </c>
      <c r="AV203" s="635">
        <f t="shared" si="147"/>
        <v>3264</v>
      </c>
      <c r="AW203" s="584"/>
      <c r="AX203" s="1079">
        <v>0</v>
      </c>
      <c r="AY203" s="580">
        <v>113</v>
      </c>
      <c r="AZ203" s="428">
        <v>20</v>
      </c>
      <c r="BA203" s="473" t="s">
        <v>962</v>
      </c>
      <c r="BB203" s="548">
        <f t="shared" si="148"/>
        <v>0.69240196078431371</v>
      </c>
      <c r="BC203" s="606">
        <f t="shared" si="149"/>
        <v>2260</v>
      </c>
      <c r="BD203" s="548">
        <f t="shared" si="150"/>
        <v>0.69240196078431371</v>
      </c>
      <c r="BE203" s="576">
        <f t="shared" si="151"/>
        <v>2260</v>
      </c>
      <c r="BF203" s="646">
        <f t="shared" si="152"/>
        <v>0</v>
      </c>
      <c r="BG203" s="606">
        <f t="shared" si="153"/>
        <v>0</v>
      </c>
      <c r="BH203" s="593" t="s">
        <v>494</v>
      </c>
      <c r="BI203" s="586">
        <v>1</v>
      </c>
      <c r="BJ203" s="606">
        <f t="shared" si="174"/>
        <v>3264</v>
      </c>
      <c r="BK203" s="596">
        <f t="shared" si="154"/>
        <v>50.199999999999989</v>
      </c>
      <c r="BL203" s="580">
        <v>0</v>
      </c>
      <c r="BM203" s="645">
        <f t="shared" si="155"/>
        <v>0</v>
      </c>
      <c r="BN203" s="606">
        <f t="shared" si="156"/>
        <v>0</v>
      </c>
      <c r="BO203" s="596">
        <f t="shared" si="157"/>
        <v>582.85714285714289</v>
      </c>
      <c r="BP203" s="647">
        <v>0</v>
      </c>
      <c r="BQ203" s="606">
        <v>0</v>
      </c>
      <c r="BR203" s="593">
        <v>0</v>
      </c>
      <c r="BS203" s="645">
        <f t="shared" si="158"/>
        <v>0</v>
      </c>
      <c r="BT203" s="648">
        <f t="shared" si="159"/>
        <v>32.64</v>
      </c>
      <c r="BU203" s="1162">
        <v>1</v>
      </c>
      <c r="BV203" s="650">
        <f t="shared" si="160"/>
        <v>3264</v>
      </c>
      <c r="BW203" s="637"/>
      <c r="BX203" s="591">
        <v>41806</v>
      </c>
      <c r="BY203" s="1193"/>
      <c r="BZ203" s="1193"/>
      <c r="CA203" s="659" t="str">
        <f t="shared" si="161"/>
        <v>To be done</v>
      </c>
      <c r="CB203" s="580">
        <v>737.5</v>
      </c>
      <c r="CC203" s="580">
        <v>9</v>
      </c>
      <c r="CD203" s="660">
        <f t="shared" si="162"/>
        <v>713</v>
      </c>
      <c r="CE203" s="661">
        <f t="shared" si="163"/>
        <v>0</v>
      </c>
      <c r="CF203" s="609">
        <f t="shared" si="164"/>
        <v>0</v>
      </c>
      <c r="CG203" s="662">
        <f t="shared" si="165"/>
        <v>7</v>
      </c>
      <c r="CH203" s="579" t="s">
        <v>505</v>
      </c>
      <c r="CI203" s="330">
        <v>0.13464235624123422</v>
      </c>
      <c r="CJ203" s="664">
        <f t="shared" si="166"/>
        <v>439.47265077138849</v>
      </c>
      <c r="CK203" s="579">
        <v>6</v>
      </c>
      <c r="CL203" s="674" t="str">
        <f t="shared" si="173"/>
        <v>Good coverage</v>
      </c>
      <c r="CM203" s="580" t="s">
        <v>170</v>
      </c>
      <c r="CN203" s="580" t="s">
        <v>43</v>
      </c>
      <c r="CO203" s="580" t="s">
        <v>170</v>
      </c>
      <c r="CP203" s="590" t="s">
        <v>169</v>
      </c>
      <c r="CQ203" s="1169"/>
      <c r="CR203" s="322"/>
      <c r="CS203" s="1069">
        <f t="shared" si="167"/>
        <v>0.32679738562091504</v>
      </c>
      <c r="CT203" s="1069">
        <f t="shared" si="168"/>
        <v>0.32679738562091504</v>
      </c>
      <c r="CU203" s="1066">
        <f t="shared" si="169"/>
        <v>0</v>
      </c>
      <c r="CV203" s="1066">
        <f t="shared" si="170"/>
        <v>0</v>
      </c>
      <c r="CW203" s="1082">
        <f t="shared" si="171"/>
        <v>8.16</v>
      </c>
      <c r="CX203" s="1082">
        <f t="shared" si="172"/>
        <v>13.055999999999999</v>
      </c>
    </row>
    <row r="204" spans="2:102" ht="18" customHeight="1">
      <c r="B204" s="402" t="s">
        <v>51</v>
      </c>
      <c r="C204" s="603"/>
      <c r="D204" s="603"/>
      <c r="E204" s="1053">
        <v>197430</v>
      </c>
      <c r="F204" s="402" t="s">
        <v>495</v>
      </c>
      <c r="G204" s="556">
        <v>93.004040000000003</v>
      </c>
      <c r="H204" s="556">
        <v>20.065919000000001</v>
      </c>
      <c r="I204" s="560" t="s">
        <v>33</v>
      </c>
      <c r="J204" s="560" t="s">
        <v>45</v>
      </c>
      <c r="K204" s="604" t="s">
        <v>455</v>
      </c>
      <c r="L204" s="428">
        <v>0</v>
      </c>
      <c r="M204" s="428">
        <v>0</v>
      </c>
      <c r="N204" s="570">
        <v>447</v>
      </c>
      <c r="O204" s="328" t="s">
        <v>983</v>
      </c>
      <c r="P204" s="720" t="str">
        <f t="shared" si="132"/>
        <v>1. Small</v>
      </c>
      <c r="Q204" s="968" t="s">
        <v>305</v>
      </c>
      <c r="R204" s="625"/>
      <c r="S204" s="560" t="s">
        <v>56</v>
      </c>
      <c r="T204" s="323" t="str">
        <f t="shared" si="133"/>
        <v>Covered</v>
      </c>
      <c r="U204" s="561">
        <v>42551</v>
      </c>
      <c r="V204" s="1144"/>
      <c r="W204" s="558" t="s">
        <v>152</v>
      </c>
      <c r="X204" s="328">
        <v>0</v>
      </c>
      <c r="Y204" s="428">
        <v>0</v>
      </c>
      <c r="Z204" s="570" t="s">
        <v>475</v>
      </c>
      <c r="AA204" s="328">
        <v>0</v>
      </c>
      <c r="AB204" s="428">
        <v>0</v>
      </c>
      <c r="AC204" s="428">
        <v>0</v>
      </c>
      <c r="AD204" s="428">
        <v>2</v>
      </c>
      <c r="AE204" s="570"/>
      <c r="AF204" s="329">
        <v>0</v>
      </c>
      <c r="AG204" s="1124">
        <v>0</v>
      </c>
      <c r="AH204" s="630">
        <f t="shared" si="134"/>
        <v>0</v>
      </c>
      <c r="AI204" s="574">
        <f t="shared" si="135"/>
        <v>0</v>
      </c>
      <c r="AJ204" s="605">
        <f t="shared" si="136"/>
        <v>0</v>
      </c>
      <c r="AK204" s="574">
        <f t="shared" si="137"/>
        <v>0</v>
      </c>
      <c r="AL204" s="605">
        <f t="shared" si="138"/>
        <v>0</v>
      </c>
      <c r="AM204" s="574">
        <f t="shared" si="139"/>
        <v>0</v>
      </c>
      <c r="AN204" s="605" t="str">
        <f t="shared" si="140"/>
        <v>0-10%</v>
      </c>
      <c r="AO204" s="605">
        <f t="shared" si="141"/>
        <v>0</v>
      </c>
      <c r="AP204" s="574">
        <f t="shared" si="142"/>
        <v>0</v>
      </c>
      <c r="AQ204" s="574" t="str">
        <f t="shared" si="143"/>
        <v>yes</v>
      </c>
      <c r="AR204" s="574">
        <f t="shared" si="144"/>
        <v>1.788</v>
      </c>
      <c r="AS204" s="574">
        <f t="shared" si="145"/>
        <v>0</v>
      </c>
      <c r="AT204" s="574">
        <f t="shared" si="146"/>
        <v>0</v>
      </c>
      <c r="AU204" s="1152">
        <v>0</v>
      </c>
      <c r="AV204" s="635">
        <f t="shared" si="147"/>
        <v>0</v>
      </c>
      <c r="AW204" s="325"/>
      <c r="AX204" s="740">
        <v>0</v>
      </c>
      <c r="AY204" s="428">
        <v>98</v>
      </c>
      <c r="AZ204" s="428">
        <v>4.5612244897959187</v>
      </c>
      <c r="BA204" s="473" t="s">
        <v>961</v>
      </c>
      <c r="BB204" s="548">
        <f t="shared" si="148"/>
        <v>1</v>
      </c>
      <c r="BC204" s="606">
        <f t="shared" si="149"/>
        <v>447</v>
      </c>
      <c r="BD204" s="548">
        <f t="shared" si="150"/>
        <v>1</v>
      </c>
      <c r="BE204" s="606">
        <f t="shared" si="151"/>
        <v>447</v>
      </c>
      <c r="BF204" s="549">
        <f t="shared" si="152"/>
        <v>0</v>
      </c>
      <c r="BG204" s="606">
        <f t="shared" si="153"/>
        <v>0</v>
      </c>
      <c r="BH204" s="428" t="s">
        <v>475</v>
      </c>
      <c r="BI204" s="429">
        <v>1</v>
      </c>
      <c r="BJ204" s="606">
        <f t="shared" si="174"/>
        <v>447</v>
      </c>
      <c r="BK204" s="606" t="str">
        <f t="shared" si="154"/>
        <v>n/a</v>
      </c>
      <c r="BL204" s="428" t="s">
        <v>475</v>
      </c>
      <c r="BM204" s="548" t="str">
        <f t="shared" si="155"/>
        <v>n/a</v>
      </c>
      <c r="BN204" s="606" t="str">
        <f t="shared" si="156"/>
        <v>n/a</v>
      </c>
      <c r="BO204" s="606" t="str">
        <f t="shared" si="157"/>
        <v>n/a</v>
      </c>
      <c r="BP204" s="578" t="s">
        <v>475</v>
      </c>
      <c r="BQ204" s="606" t="s">
        <v>475</v>
      </c>
      <c r="BR204" s="519" t="s">
        <v>475</v>
      </c>
      <c r="BS204" s="548" t="str">
        <f t="shared" si="158"/>
        <v>n/a</v>
      </c>
      <c r="BT204" s="607" t="str">
        <f t="shared" si="159"/>
        <v>n/a</v>
      </c>
      <c r="BU204" s="1163" t="s">
        <v>475</v>
      </c>
      <c r="BV204" s="650" t="str">
        <f t="shared" si="160"/>
        <v>n/a</v>
      </c>
      <c r="BW204" s="636" t="s">
        <v>567</v>
      </c>
      <c r="BX204" s="430" t="s">
        <v>475</v>
      </c>
      <c r="BY204" s="1190"/>
      <c r="BZ204" s="1190"/>
      <c r="CA204" s="608" t="str">
        <f t="shared" si="161"/>
        <v>n/a</v>
      </c>
      <c r="CB204" s="428"/>
      <c r="CC204" s="428"/>
      <c r="CD204" s="609" t="str">
        <f t="shared" si="162"/>
        <v>n/a</v>
      </c>
      <c r="CE204" s="610" t="str">
        <f t="shared" si="163"/>
        <v>n/a</v>
      </c>
      <c r="CF204" s="609" t="str">
        <f t="shared" si="164"/>
        <v>n/a</v>
      </c>
      <c r="CG204" s="658" t="str">
        <f t="shared" si="165"/>
        <v>n/a</v>
      </c>
      <c r="CH204" s="328"/>
      <c r="CI204" s="330"/>
      <c r="CJ204" s="664">
        <f t="shared" si="166"/>
        <v>0</v>
      </c>
      <c r="CK204" s="328"/>
      <c r="CL204" s="611" t="str">
        <f t="shared" si="173"/>
        <v>No coverage</v>
      </c>
      <c r="CM204" s="428" t="s">
        <v>38</v>
      </c>
      <c r="CN204" s="428" t="s">
        <v>475</v>
      </c>
      <c r="CO204" s="428" t="s">
        <v>475</v>
      </c>
      <c r="CP204" s="570" t="s">
        <v>475</v>
      </c>
      <c r="CQ204" s="1171"/>
      <c r="CS204" s="1069">
        <f t="shared" si="167"/>
        <v>0</v>
      </c>
      <c r="CT204" s="1069">
        <f t="shared" si="168"/>
        <v>0</v>
      </c>
      <c r="CU204" s="1066">
        <f t="shared" si="169"/>
        <v>0</v>
      </c>
      <c r="CV204" s="1066">
        <f t="shared" si="170"/>
        <v>0</v>
      </c>
      <c r="CW204" s="1082">
        <f t="shared" si="171"/>
        <v>1.1174999999999999</v>
      </c>
      <c r="CX204" s="1082">
        <f t="shared" si="172"/>
        <v>1.788</v>
      </c>
    </row>
    <row r="205" spans="2:102" ht="18" customHeight="1">
      <c r="B205" s="402" t="s">
        <v>51</v>
      </c>
      <c r="C205" s="603"/>
      <c r="D205" s="603"/>
      <c r="E205" s="1053">
        <v>197557</v>
      </c>
      <c r="F205" s="402" t="s">
        <v>718</v>
      </c>
      <c r="G205" s="556">
        <v>92.993799999999993</v>
      </c>
      <c r="H205" s="556">
        <v>20.0839</v>
      </c>
      <c r="I205" s="560" t="s">
        <v>33</v>
      </c>
      <c r="J205" s="560" t="s">
        <v>45</v>
      </c>
      <c r="K205" s="603" t="s">
        <v>508</v>
      </c>
      <c r="L205" s="428">
        <v>0</v>
      </c>
      <c r="M205" s="428">
        <v>0</v>
      </c>
      <c r="N205" s="570">
        <v>1120</v>
      </c>
      <c r="O205" s="328" t="s">
        <v>983</v>
      </c>
      <c r="P205" s="720" t="str">
        <f t="shared" si="132"/>
        <v>3. Large</v>
      </c>
      <c r="Q205" s="968" t="s">
        <v>923</v>
      </c>
      <c r="R205" s="625"/>
      <c r="S205" s="560" t="s">
        <v>52</v>
      </c>
      <c r="T205" s="323" t="str">
        <f t="shared" si="133"/>
        <v>Covered</v>
      </c>
      <c r="U205" s="561">
        <v>42460</v>
      </c>
      <c r="V205" s="1144"/>
      <c r="W205" s="558" t="s">
        <v>152</v>
      </c>
      <c r="X205" s="328">
        <v>0</v>
      </c>
      <c r="Y205" s="428">
        <v>0</v>
      </c>
      <c r="Z205" s="570" t="s">
        <v>43</v>
      </c>
      <c r="AA205" s="328">
        <v>0</v>
      </c>
      <c r="AB205" s="428">
        <v>0</v>
      </c>
      <c r="AC205" s="428">
        <v>0</v>
      </c>
      <c r="AD205" s="428">
        <v>4</v>
      </c>
      <c r="AE205" s="570"/>
      <c r="AF205" s="329">
        <v>0</v>
      </c>
      <c r="AG205" s="1124">
        <v>1</v>
      </c>
      <c r="AH205" s="630">
        <f t="shared" si="134"/>
        <v>0</v>
      </c>
      <c r="AI205" s="574">
        <f t="shared" si="135"/>
        <v>0</v>
      </c>
      <c r="AJ205" s="605">
        <f t="shared" si="136"/>
        <v>0</v>
      </c>
      <c r="AK205" s="574">
        <f t="shared" si="137"/>
        <v>0</v>
      </c>
      <c r="AL205" s="605">
        <f t="shared" si="138"/>
        <v>1</v>
      </c>
      <c r="AM205" s="574">
        <f t="shared" si="139"/>
        <v>1120</v>
      </c>
      <c r="AN205" s="605" t="str">
        <f t="shared" si="140"/>
        <v>0-10%</v>
      </c>
      <c r="AO205" s="605">
        <f t="shared" si="141"/>
        <v>0</v>
      </c>
      <c r="AP205" s="574">
        <f t="shared" si="142"/>
        <v>0</v>
      </c>
      <c r="AQ205" s="574" t="str">
        <f t="shared" si="143"/>
        <v>yes</v>
      </c>
      <c r="AR205" s="574">
        <f t="shared" si="144"/>
        <v>4.4800000000000004</v>
      </c>
      <c r="AS205" s="574">
        <f t="shared" si="145"/>
        <v>1120</v>
      </c>
      <c r="AT205" s="574">
        <f t="shared" si="146"/>
        <v>0</v>
      </c>
      <c r="AU205" s="1152">
        <v>1</v>
      </c>
      <c r="AV205" s="635">
        <f t="shared" si="147"/>
        <v>1120</v>
      </c>
      <c r="AW205" s="325"/>
      <c r="AX205" s="740">
        <v>0</v>
      </c>
      <c r="AY205" s="428">
        <v>74</v>
      </c>
      <c r="AZ205" s="428">
        <v>14.175675675675675</v>
      </c>
      <c r="BA205" s="473" t="s">
        <v>963</v>
      </c>
      <c r="BB205" s="548">
        <f t="shared" si="148"/>
        <v>0.93660714285714286</v>
      </c>
      <c r="BC205" s="606">
        <f t="shared" si="149"/>
        <v>1049</v>
      </c>
      <c r="BD205" s="548">
        <f t="shared" si="150"/>
        <v>0.93660714285714286</v>
      </c>
      <c r="BE205" s="606">
        <f t="shared" si="151"/>
        <v>1049</v>
      </c>
      <c r="BF205" s="549">
        <f t="shared" si="152"/>
        <v>0</v>
      </c>
      <c r="BG205" s="606">
        <f t="shared" si="153"/>
        <v>0</v>
      </c>
      <c r="BH205" s="519" t="s">
        <v>475</v>
      </c>
      <c r="BI205" s="429">
        <v>1</v>
      </c>
      <c r="BJ205" s="606">
        <f t="shared" si="174"/>
        <v>1120</v>
      </c>
      <c r="BK205" s="606" t="str">
        <f t="shared" si="154"/>
        <v>n/a</v>
      </c>
      <c r="BL205" s="428" t="s">
        <v>475</v>
      </c>
      <c r="BM205" s="548" t="str">
        <f t="shared" si="155"/>
        <v>n/a</v>
      </c>
      <c r="BN205" s="606" t="str">
        <f t="shared" si="156"/>
        <v>n/a</v>
      </c>
      <c r="BO205" s="606" t="str">
        <f t="shared" si="157"/>
        <v>n/a</v>
      </c>
      <c r="BP205" s="578" t="s">
        <v>475</v>
      </c>
      <c r="BQ205" s="606" t="s">
        <v>475</v>
      </c>
      <c r="BR205" s="519" t="s">
        <v>475</v>
      </c>
      <c r="BS205" s="548" t="str">
        <f t="shared" si="158"/>
        <v>n/a</v>
      </c>
      <c r="BT205" s="607" t="str">
        <f t="shared" si="159"/>
        <v>n/a</v>
      </c>
      <c r="BU205" s="1163" t="s">
        <v>475</v>
      </c>
      <c r="BV205" s="650" t="str">
        <f t="shared" si="160"/>
        <v>n/a</v>
      </c>
      <c r="BW205" s="636"/>
      <c r="BX205" s="430" t="s">
        <v>475</v>
      </c>
      <c r="BY205" s="1190"/>
      <c r="BZ205" s="1190"/>
      <c r="CA205" s="608" t="str">
        <f t="shared" si="161"/>
        <v>n/a</v>
      </c>
      <c r="CB205" s="428"/>
      <c r="CC205" s="428"/>
      <c r="CD205" s="609" t="str">
        <f t="shared" si="162"/>
        <v>n/a</v>
      </c>
      <c r="CE205" s="610" t="str">
        <f t="shared" si="163"/>
        <v>n/a</v>
      </c>
      <c r="CF205" s="609" t="str">
        <f t="shared" si="164"/>
        <v>n/a</v>
      </c>
      <c r="CG205" s="658" t="str">
        <f t="shared" si="165"/>
        <v>n/a</v>
      </c>
      <c r="CH205" s="328" t="s">
        <v>514</v>
      </c>
      <c r="CI205" s="330">
        <v>0.75</v>
      </c>
      <c r="CJ205" s="664">
        <f t="shared" si="166"/>
        <v>840</v>
      </c>
      <c r="CK205" s="328">
        <v>4</v>
      </c>
      <c r="CL205" s="611" t="s">
        <v>670</v>
      </c>
      <c r="CM205" s="428" t="s">
        <v>475</v>
      </c>
      <c r="CN205" s="428" t="s">
        <v>475</v>
      </c>
      <c r="CO205" s="428" t="s">
        <v>41</v>
      </c>
      <c r="CP205" s="570" t="s">
        <v>170</v>
      </c>
      <c r="CQ205" s="1171"/>
      <c r="CR205" s="70"/>
      <c r="CS205" s="1069">
        <f t="shared" si="167"/>
        <v>0</v>
      </c>
      <c r="CT205" s="1069">
        <f t="shared" si="168"/>
        <v>0</v>
      </c>
      <c r="CU205" s="1066">
        <f t="shared" si="169"/>
        <v>0</v>
      </c>
      <c r="CV205" s="1066">
        <f t="shared" si="170"/>
        <v>0</v>
      </c>
      <c r="CW205" s="1082">
        <f t="shared" si="171"/>
        <v>2.8</v>
      </c>
      <c r="CX205" s="1082">
        <f t="shared" si="172"/>
        <v>4.4800000000000004</v>
      </c>
    </row>
    <row r="206" spans="2:102" ht="18" customHeight="1">
      <c r="B206" s="402" t="s">
        <v>51</v>
      </c>
      <c r="C206" s="603"/>
      <c r="D206" s="603"/>
      <c r="E206" s="1052" t="s">
        <v>209</v>
      </c>
      <c r="F206" s="402" t="s">
        <v>609</v>
      </c>
      <c r="G206" s="556">
        <v>92.993758999999997</v>
      </c>
      <c r="H206" s="556">
        <v>20.064226000000001</v>
      </c>
      <c r="I206" s="560" t="s">
        <v>44</v>
      </c>
      <c r="J206" s="560" t="s">
        <v>34</v>
      </c>
      <c r="K206" s="604" t="s">
        <v>640</v>
      </c>
      <c r="L206" s="428">
        <v>641</v>
      </c>
      <c r="M206" s="428">
        <v>2405</v>
      </c>
      <c r="N206" s="570">
        <v>2405</v>
      </c>
      <c r="O206" s="328" t="s">
        <v>983</v>
      </c>
      <c r="P206" s="720" t="str">
        <f t="shared" si="132"/>
        <v>4. Big</v>
      </c>
      <c r="Q206" s="968" t="s">
        <v>923</v>
      </c>
      <c r="R206" s="625" t="s">
        <v>52</v>
      </c>
      <c r="S206" s="560" t="s">
        <v>52</v>
      </c>
      <c r="T206" s="323" t="str">
        <f t="shared" si="133"/>
        <v>Covered</v>
      </c>
      <c r="U206" s="561">
        <v>42460</v>
      </c>
      <c r="V206" s="1144" t="s">
        <v>54</v>
      </c>
      <c r="W206" s="558" t="s">
        <v>152</v>
      </c>
      <c r="X206" s="328">
        <v>0</v>
      </c>
      <c r="Y206" s="428">
        <v>0</v>
      </c>
      <c r="Z206" s="570" t="s">
        <v>43</v>
      </c>
      <c r="AA206" s="328">
        <v>12</v>
      </c>
      <c r="AB206" s="428">
        <v>13</v>
      </c>
      <c r="AC206" s="428">
        <v>33.15</v>
      </c>
      <c r="AD206" s="428">
        <v>0</v>
      </c>
      <c r="AE206" s="570"/>
      <c r="AF206" s="329">
        <v>0</v>
      </c>
      <c r="AG206" s="1124">
        <v>0</v>
      </c>
      <c r="AH206" s="630">
        <f t="shared" si="134"/>
        <v>1</v>
      </c>
      <c r="AI206" s="574">
        <f t="shared" si="135"/>
        <v>2405</v>
      </c>
      <c r="AJ206" s="605">
        <f t="shared" si="136"/>
        <v>1</v>
      </c>
      <c r="AK206" s="574">
        <f t="shared" si="137"/>
        <v>2405</v>
      </c>
      <c r="AL206" s="605">
        <f t="shared" si="138"/>
        <v>1</v>
      </c>
      <c r="AM206" s="574">
        <f t="shared" si="139"/>
        <v>2405</v>
      </c>
      <c r="AN206" s="605" t="str">
        <f t="shared" si="140"/>
        <v>80-100%</v>
      </c>
      <c r="AO206" s="605">
        <f t="shared" si="141"/>
        <v>0</v>
      </c>
      <c r="AP206" s="574">
        <f t="shared" si="142"/>
        <v>0</v>
      </c>
      <c r="AQ206" s="574" t="str">
        <f t="shared" si="143"/>
        <v>no</v>
      </c>
      <c r="AR206" s="574">
        <f t="shared" si="144"/>
        <v>0</v>
      </c>
      <c r="AS206" s="574">
        <f t="shared" si="145"/>
        <v>0</v>
      </c>
      <c r="AT206" s="574">
        <f t="shared" si="146"/>
        <v>0</v>
      </c>
      <c r="AU206" s="1152">
        <v>1</v>
      </c>
      <c r="AV206" s="635">
        <f t="shared" si="147"/>
        <v>2405</v>
      </c>
      <c r="AW206" s="325"/>
      <c r="AX206" s="740">
        <v>0</v>
      </c>
      <c r="AY206" s="428">
        <v>364</v>
      </c>
      <c r="AZ206" s="428">
        <v>6.5934065934065931</v>
      </c>
      <c r="BA206" s="473" t="s">
        <v>960</v>
      </c>
      <c r="BB206" s="548">
        <f t="shared" si="148"/>
        <v>1</v>
      </c>
      <c r="BC206" s="606">
        <f t="shared" si="149"/>
        <v>2405</v>
      </c>
      <c r="BD206" s="548">
        <f t="shared" si="150"/>
        <v>1</v>
      </c>
      <c r="BE206" s="606">
        <f t="shared" si="151"/>
        <v>2405</v>
      </c>
      <c r="BF206" s="549">
        <f t="shared" si="152"/>
        <v>0</v>
      </c>
      <c r="BG206" s="606">
        <f t="shared" si="153"/>
        <v>0</v>
      </c>
      <c r="BH206" s="519" t="s">
        <v>494</v>
      </c>
      <c r="BI206" s="429">
        <v>1</v>
      </c>
      <c r="BJ206" s="606">
        <f t="shared" si="174"/>
        <v>2405</v>
      </c>
      <c r="BK206" s="606">
        <f t="shared" si="154"/>
        <v>0</v>
      </c>
      <c r="BL206" s="428">
        <v>660</v>
      </c>
      <c r="BM206" s="548">
        <f t="shared" si="155"/>
        <v>1</v>
      </c>
      <c r="BN206" s="606">
        <f t="shared" si="156"/>
        <v>2405</v>
      </c>
      <c r="BO206" s="606">
        <f t="shared" si="157"/>
        <v>0</v>
      </c>
      <c r="BP206" s="578">
        <v>1</v>
      </c>
      <c r="BQ206" s="606">
        <v>2405</v>
      </c>
      <c r="BR206" s="519">
        <v>25</v>
      </c>
      <c r="BS206" s="548">
        <f t="shared" si="158"/>
        <v>1</v>
      </c>
      <c r="BT206" s="607">
        <f t="shared" si="159"/>
        <v>0</v>
      </c>
      <c r="BU206" s="1163">
        <v>1</v>
      </c>
      <c r="BV206" s="650">
        <f t="shared" si="160"/>
        <v>2405</v>
      </c>
      <c r="BW206" s="636" t="s">
        <v>946</v>
      </c>
      <c r="BX206" s="430">
        <v>42095</v>
      </c>
      <c r="BY206" s="1190"/>
      <c r="BZ206" s="1190"/>
      <c r="CA206" s="608">
        <f t="shared" si="161"/>
        <v>42460</v>
      </c>
      <c r="CB206" s="428">
        <v>680</v>
      </c>
      <c r="CC206" s="428">
        <v>3</v>
      </c>
      <c r="CD206" s="609">
        <f t="shared" si="162"/>
        <v>0</v>
      </c>
      <c r="CE206" s="610">
        <f t="shared" si="163"/>
        <v>1</v>
      </c>
      <c r="CF206" s="609">
        <f t="shared" si="164"/>
        <v>2405</v>
      </c>
      <c r="CG206" s="658">
        <f t="shared" si="165"/>
        <v>3</v>
      </c>
      <c r="CH206" s="328" t="s">
        <v>610</v>
      </c>
      <c r="CI206" s="330">
        <v>1</v>
      </c>
      <c r="CJ206" s="664">
        <f t="shared" si="166"/>
        <v>2405</v>
      </c>
      <c r="CK206" s="328">
        <v>10</v>
      </c>
      <c r="CL206" s="611" t="s">
        <v>670</v>
      </c>
      <c r="CM206" s="428" t="s">
        <v>41</v>
      </c>
      <c r="CN206" s="428" t="s">
        <v>35</v>
      </c>
      <c r="CO206" s="428" t="s">
        <v>41</v>
      </c>
      <c r="CP206" s="570" t="s">
        <v>41</v>
      </c>
      <c r="CQ206" s="1171"/>
      <c r="CS206" s="1069">
        <f t="shared" si="167"/>
        <v>1</v>
      </c>
      <c r="CT206" s="1069">
        <f t="shared" si="168"/>
        <v>1</v>
      </c>
      <c r="CU206" s="1066">
        <f t="shared" si="169"/>
        <v>1</v>
      </c>
      <c r="CV206" s="1066">
        <f t="shared" si="170"/>
        <v>1</v>
      </c>
      <c r="CW206" s="1082">
        <f t="shared" si="171"/>
        <v>0</v>
      </c>
      <c r="CX206" s="1082">
        <f t="shared" si="172"/>
        <v>0</v>
      </c>
    </row>
    <row r="207" spans="2:102" ht="18" customHeight="1">
      <c r="B207" s="402" t="s">
        <v>51</v>
      </c>
      <c r="C207" s="603"/>
      <c r="D207" s="603"/>
      <c r="E207" s="1053">
        <v>197548</v>
      </c>
      <c r="F207" s="402" t="s">
        <v>501</v>
      </c>
      <c r="G207" s="556">
        <v>92.994600000000005</v>
      </c>
      <c r="H207" s="556">
        <v>20.0641</v>
      </c>
      <c r="I207" s="560" t="s">
        <v>33</v>
      </c>
      <c r="J207" s="560" t="s">
        <v>34</v>
      </c>
      <c r="K207" s="603" t="s">
        <v>642</v>
      </c>
      <c r="L207" s="428">
        <v>884</v>
      </c>
      <c r="M207" s="428">
        <v>3634</v>
      </c>
      <c r="N207" s="570">
        <v>3634</v>
      </c>
      <c r="O207" s="328" t="s">
        <v>983</v>
      </c>
      <c r="P207" s="720" t="str">
        <f t="shared" si="132"/>
        <v>3. Large</v>
      </c>
      <c r="Q207" s="968" t="s">
        <v>923</v>
      </c>
      <c r="R207" s="625"/>
      <c r="S207" s="560" t="s">
        <v>52</v>
      </c>
      <c r="T207" s="323" t="str">
        <f t="shared" si="133"/>
        <v>Covered</v>
      </c>
      <c r="U207" s="561">
        <v>42460</v>
      </c>
      <c r="V207" s="1144" t="s">
        <v>54</v>
      </c>
      <c r="W207" s="558" t="s">
        <v>152</v>
      </c>
      <c r="X207" s="328">
        <v>0</v>
      </c>
      <c r="Y207" s="428">
        <v>0</v>
      </c>
      <c r="Z207" s="570" t="s">
        <v>43</v>
      </c>
      <c r="AA207" s="328">
        <v>50</v>
      </c>
      <c r="AB207" s="428">
        <v>10</v>
      </c>
      <c r="AC207" s="428">
        <v>0</v>
      </c>
      <c r="AD207" s="428">
        <v>3</v>
      </c>
      <c r="AE207" s="570"/>
      <c r="AF207" s="329">
        <v>0</v>
      </c>
      <c r="AG207" s="1124">
        <v>1</v>
      </c>
      <c r="AH207" s="630">
        <f t="shared" si="134"/>
        <v>1</v>
      </c>
      <c r="AI207" s="574">
        <f t="shared" si="135"/>
        <v>3634</v>
      </c>
      <c r="AJ207" s="605">
        <f t="shared" si="136"/>
        <v>1</v>
      </c>
      <c r="AK207" s="574">
        <f t="shared" si="137"/>
        <v>3634</v>
      </c>
      <c r="AL207" s="605">
        <f t="shared" si="138"/>
        <v>1</v>
      </c>
      <c r="AM207" s="574">
        <f t="shared" si="139"/>
        <v>3634</v>
      </c>
      <c r="AN207" s="605" t="str">
        <f t="shared" si="140"/>
        <v>80-100%</v>
      </c>
      <c r="AO207" s="605">
        <f t="shared" si="141"/>
        <v>0</v>
      </c>
      <c r="AP207" s="574">
        <f t="shared" si="142"/>
        <v>0</v>
      </c>
      <c r="AQ207" s="574" t="str">
        <f t="shared" si="143"/>
        <v>yes</v>
      </c>
      <c r="AR207" s="574">
        <f t="shared" si="144"/>
        <v>0</v>
      </c>
      <c r="AS207" s="574">
        <f t="shared" si="145"/>
        <v>3634</v>
      </c>
      <c r="AT207" s="574">
        <f t="shared" si="146"/>
        <v>0</v>
      </c>
      <c r="AU207" s="1152">
        <v>1</v>
      </c>
      <c r="AV207" s="635">
        <f t="shared" si="147"/>
        <v>3634</v>
      </c>
      <c r="AW207" s="325"/>
      <c r="AX207" s="740">
        <v>0</v>
      </c>
      <c r="AY207" s="428">
        <v>360</v>
      </c>
      <c r="AZ207" s="428">
        <v>10.463888888888889</v>
      </c>
      <c r="BA207" s="473" t="s">
        <v>963</v>
      </c>
      <c r="BB207" s="548">
        <f t="shared" si="148"/>
        <v>1</v>
      </c>
      <c r="BC207" s="606">
        <f t="shared" si="149"/>
        <v>3634</v>
      </c>
      <c r="BD207" s="548">
        <f t="shared" si="150"/>
        <v>1</v>
      </c>
      <c r="BE207" s="606">
        <f t="shared" si="151"/>
        <v>3634</v>
      </c>
      <c r="BF207" s="549">
        <f t="shared" si="152"/>
        <v>0</v>
      </c>
      <c r="BG207" s="606">
        <f t="shared" si="153"/>
        <v>0</v>
      </c>
      <c r="BH207" s="519" t="s">
        <v>494</v>
      </c>
      <c r="BI207" s="429">
        <v>1</v>
      </c>
      <c r="BJ207" s="606">
        <f t="shared" si="174"/>
        <v>3634</v>
      </c>
      <c r="BK207" s="606" t="str">
        <f t="shared" si="154"/>
        <v>n/a</v>
      </c>
      <c r="BL207" s="428" t="s">
        <v>475</v>
      </c>
      <c r="BM207" s="548" t="str">
        <f t="shared" si="155"/>
        <v>n/a</v>
      </c>
      <c r="BN207" s="606" t="str">
        <f t="shared" si="156"/>
        <v>n/a</v>
      </c>
      <c r="BO207" s="606" t="str">
        <f t="shared" si="157"/>
        <v>n/a</v>
      </c>
      <c r="BP207" s="578" t="s">
        <v>475</v>
      </c>
      <c r="BQ207" s="606" t="s">
        <v>475</v>
      </c>
      <c r="BR207" s="519">
        <v>19</v>
      </c>
      <c r="BS207" s="548" t="str">
        <f t="shared" si="158"/>
        <v>n/a</v>
      </c>
      <c r="BT207" s="607" t="str">
        <f t="shared" si="159"/>
        <v>n/a</v>
      </c>
      <c r="BU207" s="1163" t="s">
        <v>475</v>
      </c>
      <c r="BV207" s="650" t="str">
        <f t="shared" si="160"/>
        <v>n/a</v>
      </c>
      <c r="BW207" s="636"/>
      <c r="BX207" s="430">
        <v>41625</v>
      </c>
      <c r="BY207" s="1190"/>
      <c r="BZ207" s="1190"/>
      <c r="CA207" s="608" t="str">
        <f t="shared" si="161"/>
        <v>n/a</v>
      </c>
      <c r="CB207" s="428">
        <v>857</v>
      </c>
      <c r="CC207" s="428">
        <v>12</v>
      </c>
      <c r="CD207" s="609" t="str">
        <f t="shared" si="162"/>
        <v>n/a</v>
      </c>
      <c r="CE207" s="610" t="str">
        <f t="shared" si="163"/>
        <v>n/a</v>
      </c>
      <c r="CF207" s="609" t="str">
        <f t="shared" si="164"/>
        <v>n/a</v>
      </c>
      <c r="CG207" s="658" t="str">
        <f t="shared" si="165"/>
        <v>n/a</v>
      </c>
      <c r="CH207" s="328" t="s">
        <v>610</v>
      </c>
      <c r="CI207" s="330">
        <v>0.75</v>
      </c>
      <c r="CJ207" s="664">
        <f t="shared" si="166"/>
        <v>2725.5</v>
      </c>
      <c r="CK207" s="328">
        <v>7</v>
      </c>
      <c r="CL207" s="611" t="s">
        <v>669</v>
      </c>
      <c r="CM207" s="428" t="s">
        <v>170</v>
      </c>
      <c r="CN207" s="428" t="s">
        <v>35</v>
      </c>
      <c r="CO207" s="428" t="s">
        <v>41</v>
      </c>
      <c r="CP207" s="570" t="s">
        <v>170</v>
      </c>
      <c r="CQ207" s="1171"/>
      <c r="CS207" s="1069">
        <f t="shared" si="167"/>
        <v>1</v>
      </c>
      <c r="CT207" s="1069">
        <f t="shared" si="168"/>
        <v>1</v>
      </c>
      <c r="CU207" s="1066">
        <f t="shared" si="169"/>
        <v>1</v>
      </c>
      <c r="CV207" s="1066">
        <f t="shared" si="170"/>
        <v>1</v>
      </c>
      <c r="CW207" s="1082">
        <f t="shared" si="171"/>
        <v>0</v>
      </c>
      <c r="CX207" s="1082">
        <f t="shared" si="172"/>
        <v>0</v>
      </c>
    </row>
    <row r="208" spans="2:102" ht="18" customHeight="1">
      <c r="B208" s="402" t="s">
        <v>51</v>
      </c>
      <c r="C208" s="603"/>
      <c r="D208" s="603"/>
      <c r="E208" s="1053">
        <v>197550</v>
      </c>
      <c r="F208" s="402" t="s">
        <v>719</v>
      </c>
      <c r="G208" s="556">
        <v>92.995181000000002</v>
      </c>
      <c r="H208" s="556">
        <v>20.057860999999999</v>
      </c>
      <c r="I208" s="560" t="s">
        <v>33</v>
      </c>
      <c r="J208" s="560" t="s">
        <v>45</v>
      </c>
      <c r="K208" s="604" t="s">
        <v>508</v>
      </c>
      <c r="L208" s="428">
        <v>0</v>
      </c>
      <c r="M208" s="428">
        <v>0</v>
      </c>
      <c r="N208" s="570">
        <v>1999</v>
      </c>
      <c r="O208" s="328" t="s">
        <v>983</v>
      </c>
      <c r="P208" s="720" t="str">
        <f t="shared" si="132"/>
        <v>3. Large</v>
      </c>
      <c r="Q208" s="968" t="s">
        <v>923</v>
      </c>
      <c r="R208" s="625"/>
      <c r="S208" s="560" t="s">
        <v>52</v>
      </c>
      <c r="T208" s="323" t="str">
        <f t="shared" si="133"/>
        <v>Covered</v>
      </c>
      <c r="U208" s="561">
        <v>42460</v>
      </c>
      <c r="V208" s="1144" t="s">
        <v>54</v>
      </c>
      <c r="W208" s="558" t="s">
        <v>152</v>
      </c>
      <c r="X208" s="328">
        <v>0</v>
      </c>
      <c r="Y208" s="428">
        <v>0</v>
      </c>
      <c r="Z208" s="570" t="s">
        <v>43</v>
      </c>
      <c r="AA208" s="328">
        <v>15</v>
      </c>
      <c r="AB208" s="428">
        <v>8</v>
      </c>
      <c r="AC208" s="428">
        <v>0</v>
      </c>
      <c r="AD208" s="428">
        <v>6</v>
      </c>
      <c r="AE208" s="570"/>
      <c r="AF208" s="329">
        <v>0</v>
      </c>
      <c r="AG208" s="1124">
        <v>1</v>
      </c>
      <c r="AH208" s="630">
        <f t="shared" si="134"/>
        <v>1</v>
      </c>
      <c r="AI208" s="574">
        <f t="shared" si="135"/>
        <v>1999</v>
      </c>
      <c r="AJ208" s="605">
        <f t="shared" si="136"/>
        <v>1</v>
      </c>
      <c r="AK208" s="574">
        <f t="shared" si="137"/>
        <v>1999</v>
      </c>
      <c r="AL208" s="605">
        <f t="shared" si="138"/>
        <v>1</v>
      </c>
      <c r="AM208" s="574">
        <f t="shared" si="139"/>
        <v>1999</v>
      </c>
      <c r="AN208" s="605" t="str">
        <f t="shared" si="140"/>
        <v>80-100%</v>
      </c>
      <c r="AO208" s="605">
        <f t="shared" si="141"/>
        <v>0</v>
      </c>
      <c r="AP208" s="574">
        <f t="shared" si="142"/>
        <v>0</v>
      </c>
      <c r="AQ208" s="574" t="str">
        <f t="shared" si="143"/>
        <v>yes</v>
      </c>
      <c r="AR208" s="574">
        <f t="shared" si="144"/>
        <v>0</v>
      </c>
      <c r="AS208" s="574">
        <f t="shared" si="145"/>
        <v>1999</v>
      </c>
      <c r="AT208" s="574">
        <f t="shared" si="146"/>
        <v>0</v>
      </c>
      <c r="AU208" s="1152">
        <v>1</v>
      </c>
      <c r="AV208" s="635">
        <f t="shared" si="147"/>
        <v>1999</v>
      </c>
      <c r="AW208" s="325"/>
      <c r="AX208" s="740">
        <v>0</v>
      </c>
      <c r="AY208" s="428">
        <v>209</v>
      </c>
      <c r="AZ208" s="428">
        <v>9.473684210526315</v>
      </c>
      <c r="BA208" s="473" t="s">
        <v>963</v>
      </c>
      <c r="BB208" s="548">
        <f t="shared" si="148"/>
        <v>0.9904952476238118</v>
      </c>
      <c r="BC208" s="606">
        <f t="shared" si="149"/>
        <v>1979.9999999999998</v>
      </c>
      <c r="BD208" s="548">
        <f t="shared" si="150"/>
        <v>0.9904952476238118</v>
      </c>
      <c r="BE208" s="606">
        <f t="shared" si="151"/>
        <v>1979.9999999999998</v>
      </c>
      <c r="BF208" s="549">
        <f t="shared" si="152"/>
        <v>0</v>
      </c>
      <c r="BG208" s="606">
        <f t="shared" si="153"/>
        <v>0</v>
      </c>
      <c r="BH208" s="519" t="s">
        <v>475</v>
      </c>
      <c r="BI208" s="429">
        <v>0.99</v>
      </c>
      <c r="BJ208" s="606">
        <f t="shared" si="174"/>
        <v>1979.01</v>
      </c>
      <c r="BK208" s="606" t="str">
        <f t="shared" si="154"/>
        <v>n/a</v>
      </c>
      <c r="BL208" s="428" t="s">
        <v>475</v>
      </c>
      <c r="BM208" s="548" t="str">
        <f t="shared" si="155"/>
        <v>n/a</v>
      </c>
      <c r="BN208" s="606" t="str">
        <f t="shared" si="156"/>
        <v>n/a</v>
      </c>
      <c r="BO208" s="606" t="str">
        <f t="shared" si="157"/>
        <v>n/a</v>
      </c>
      <c r="BP208" s="578" t="s">
        <v>475</v>
      </c>
      <c r="BQ208" s="606" t="s">
        <v>475</v>
      </c>
      <c r="BR208" s="519">
        <v>5</v>
      </c>
      <c r="BS208" s="548" t="str">
        <f t="shared" si="158"/>
        <v>n/a</v>
      </c>
      <c r="BT208" s="607" t="str">
        <f t="shared" si="159"/>
        <v>n/a</v>
      </c>
      <c r="BU208" s="1163" t="s">
        <v>475</v>
      </c>
      <c r="BV208" s="650" t="str">
        <f t="shared" si="160"/>
        <v>n/a</v>
      </c>
      <c r="BW208" s="636"/>
      <c r="BX208" s="430">
        <v>41638</v>
      </c>
      <c r="BY208" s="1190"/>
      <c r="BZ208" s="1190"/>
      <c r="CA208" s="608" t="str">
        <f t="shared" si="161"/>
        <v>n/a</v>
      </c>
      <c r="CB208" s="428">
        <v>455</v>
      </c>
      <c r="CC208" s="428">
        <v>12</v>
      </c>
      <c r="CD208" s="609" t="str">
        <f t="shared" si="162"/>
        <v>n/a</v>
      </c>
      <c r="CE208" s="610" t="str">
        <f t="shared" si="163"/>
        <v>n/a</v>
      </c>
      <c r="CF208" s="609" t="str">
        <f t="shared" si="164"/>
        <v>n/a</v>
      </c>
      <c r="CG208" s="658" t="str">
        <f t="shared" si="165"/>
        <v>n/a</v>
      </c>
      <c r="CH208" s="328" t="s">
        <v>610</v>
      </c>
      <c r="CI208" s="330">
        <v>0.75</v>
      </c>
      <c r="CJ208" s="664">
        <f t="shared" si="166"/>
        <v>1499.25</v>
      </c>
      <c r="CK208" s="328">
        <v>5</v>
      </c>
      <c r="CL208" s="611" t="s">
        <v>670</v>
      </c>
      <c r="CM208" s="428" t="s">
        <v>475</v>
      </c>
      <c r="CN208" s="428" t="s">
        <v>475</v>
      </c>
      <c r="CO208" s="428" t="s">
        <v>41</v>
      </c>
      <c r="CP208" s="570" t="s">
        <v>170</v>
      </c>
      <c r="CQ208" s="1171"/>
      <c r="CR208" s="70"/>
      <c r="CS208" s="1069">
        <f t="shared" si="167"/>
        <v>1</v>
      </c>
      <c r="CT208" s="1069">
        <f t="shared" si="168"/>
        <v>1</v>
      </c>
      <c r="CU208" s="1066">
        <f t="shared" si="169"/>
        <v>1</v>
      </c>
      <c r="CV208" s="1066">
        <f t="shared" si="170"/>
        <v>1</v>
      </c>
      <c r="CW208" s="1082">
        <f t="shared" si="171"/>
        <v>0</v>
      </c>
      <c r="CX208" s="1082">
        <f t="shared" si="172"/>
        <v>0</v>
      </c>
    </row>
    <row r="209" spans="2:102" ht="18" customHeight="1">
      <c r="B209" s="402" t="s">
        <v>598</v>
      </c>
      <c r="C209" s="603"/>
      <c r="D209" s="603"/>
      <c r="E209" s="1052">
        <v>196357</v>
      </c>
      <c r="F209" s="724" t="s">
        <v>599</v>
      </c>
      <c r="G209" s="556">
        <v>93.019220000000004</v>
      </c>
      <c r="H209" s="556">
        <v>20.369959999999999</v>
      </c>
      <c r="I209" s="560" t="s">
        <v>33</v>
      </c>
      <c r="J209" s="560" t="s">
        <v>45</v>
      </c>
      <c r="K209" s="604" t="s">
        <v>607</v>
      </c>
      <c r="L209" s="428">
        <v>0</v>
      </c>
      <c r="M209" s="428">
        <v>0</v>
      </c>
      <c r="N209" s="570">
        <v>1945</v>
      </c>
      <c r="O209" s="328" t="s">
        <v>983</v>
      </c>
      <c r="P209" s="720" t="str">
        <f t="shared" si="132"/>
        <v>3. Large</v>
      </c>
      <c r="Q209" s="968" t="s">
        <v>153</v>
      </c>
      <c r="R209" s="625"/>
      <c r="S209" s="560" t="s">
        <v>172</v>
      </c>
      <c r="T209" s="323" t="str">
        <f t="shared" si="133"/>
        <v>Covered</v>
      </c>
      <c r="U209" s="561">
        <v>42369</v>
      </c>
      <c r="V209" s="1144"/>
      <c r="W209" s="558" t="s">
        <v>152</v>
      </c>
      <c r="X209" s="328">
        <v>0</v>
      </c>
      <c r="Y209" s="428">
        <v>0</v>
      </c>
      <c r="Z209" s="570" t="s">
        <v>43</v>
      </c>
      <c r="AA209" s="328">
        <v>0</v>
      </c>
      <c r="AB209" s="428">
        <v>0</v>
      </c>
      <c r="AC209" s="428">
        <v>0</v>
      </c>
      <c r="AD209" s="428">
        <v>4</v>
      </c>
      <c r="AE209" s="570"/>
      <c r="AF209" s="329">
        <v>0</v>
      </c>
      <c r="AG209" s="1124">
        <v>0</v>
      </c>
      <c r="AH209" s="630">
        <f t="shared" si="134"/>
        <v>0</v>
      </c>
      <c r="AI209" s="574">
        <f t="shared" si="135"/>
        <v>0</v>
      </c>
      <c r="AJ209" s="605">
        <f t="shared" si="136"/>
        <v>0</v>
      </c>
      <c r="AK209" s="574">
        <f t="shared" si="137"/>
        <v>0</v>
      </c>
      <c r="AL209" s="605">
        <f t="shared" si="138"/>
        <v>0</v>
      </c>
      <c r="AM209" s="574">
        <f t="shared" si="139"/>
        <v>0</v>
      </c>
      <c r="AN209" s="605" t="str">
        <f t="shared" si="140"/>
        <v>0-10%</v>
      </c>
      <c r="AO209" s="605">
        <f t="shared" si="141"/>
        <v>0</v>
      </c>
      <c r="AP209" s="574">
        <f t="shared" si="142"/>
        <v>0</v>
      </c>
      <c r="AQ209" s="574" t="str">
        <f t="shared" si="143"/>
        <v>yes</v>
      </c>
      <c r="AR209" s="574">
        <f t="shared" si="144"/>
        <v>7.78</v>
      </c>
      <c r="AS209" s="574">
        <f t="shared" si="145"/>
        <v>0</v>
      </c>
      <c r="AT209" s="574">
        <f t="shared" si="146"/>
        <v>0</v>
      </c>
      <c r="AU209" s="1152">
        <v>0</v>
      </c>
      <c r="AV209" s="635">
        <f t="shared" si="147"/>
        <v>0</v>
      </c>
      <c r="AW209" s="325" t="s">
        <v>977</v>
      </c>
      <c r="AX209" s="740">
        <v>0</v>
      </c>
      <c r="AY209" s="428">
        <v>11</v>
      </c>
      <c r="AZ209" s="428">
        <v>6</v>
      </c>
      <c r="BA209" s="473" t="s">
        <v>526</v>
      </c>
      <c r="BB209" s="548">
        <f t="shared" si="148"/>
        <v>3.3933161953727503E-2</v>
      </c>
      <c r="BC209" s="606">
        <f t="shared" si="149"/>
        <v>66</v>
      </c>
      <c r="BD209" s="548">
        <f t="shared" si="150"/>
        <v>3.3933161953727503E-2</v>
      </c>
      <c r="BE209" s="606">
        <f t="shared" si="151"/>
        <v>66</v>
      </c>
      <c r="BF209" s="549">
        <f t="shared" si="152"/>
        <v>0</v>
      </c>
      <c r="BG209" s="606">
        <f t="shared" si="153"/>
        <v>0</v>
      </c>
      <c r="BH209" s="519" t="s">
        <v>475</v>
      </c>
      <c r="BI209" s="429">
        <v>0.03</v>
      </c>
      <c r="BJ209" s="606">
        <f t="shared" si="174"/>
        <v>58.349999999999994</v>
      </c>
      <c r="BK209" s="606" t="str">
        <f t="shared" si="154"/>
        <v>n/a</v>
      </c>
      <c r="BL209" s="428" t="s">
        <v>475</v>
      </c>
      <c r="BM209" s="548" t="str">
        <f t="shared" si="155"/>
        <v>n/a</v>
      </c>
      <c r="BN209" s="606" t="str">
        <f t="shared" si="156"/>
        <v>n/a</v>
      </c>
      <c r="BO209" s="606" t="str">
        <f t="shared" si="157"/>
        <v>n/a</v>
      </c>
      <c r="BP209" s="578" t="s">
        <v>475</v>
      </c>
      <c r="BQ209" s="606" t="s">
        <v>475</v>
      </c>
      <c r="BR209" s="519" t="s">
        <v>475</v>
      </c>
      <c r="BS209" s="548" t="str">
        <f t="shared" si="158"/>
        <v>n/a</v>
      </c>
      <c r="BT209" s="607" t="str">
        <f t="shared" si="159"/>
        <v>n/a</v>
      </c>
      <c r="BU209" s="1163"/>
      <c r="BV209" s="650" t="str">
        <f t="shared" si="160"/>
        <v>n/a</v>
      </c>
      <c r="BW209" s="636"/>
      <c r="BX209" s="470" t="s">
        <v>475</v>
      </c>
      <c r="BY209" s="1192"/>
      <c r="BZ209" s="1192"/>
      <c r="CA209" s="608" t="str">
        <f t="shared" si="161"/>
        <v>n/a</v>
      </c>
      <c r="CB209" s="428"/>
      <c r="CC209" s="428"/>
      <c r="CD209" s="609" t="str">
        <f t="shared" si="162"/>
        <v>n/a</v>
      </c>
      <c r="CE209" s="610" t="str">
        <f t="shared" si="163"/>
        <v>n/a</v>
      </c>
      <c r="CF209" s="609" t="str">
        <f t="shared" si="164"/>
        <v>n/a</v>
      </c>
      <c r="CG209" s="658" t="str">
        <f t="shared" si="165"/>
        <v>n/a</v>
      </c>
      <c r="CH209" s="328"/>
      <c r="CI209" s="330">
        <v>0.20250000000000001</v>
      </c>
      <c r="CJ209" s="664">
        <f t="shared" si="166"/>
        <v>393.86250000000001</v>
      </c>
      <c r="CK209" s="328"/>
      <c r="CL209" s="611" t="str">
        <f t="shared" ref="CL209:CL232" si="175">IF(CK209=0,"No coverage",IF(N209/CK209&gt;1000,"Low coverage",IF(N209/CK209&gt;750,"Average coverage",IF(N209/CK209&gt;500,"Good coverage","Excellent coverage"))))</f>
        <v>No coverage</v>
      </c>
      <c r="CM209" s="428" t="s">
        <v>169</v>
      </c>
      <c r="CN209" s="428" t="s">
        <v>475</v>
      </c>
      <c r="CO209" s="428" t="s">
        <v>169</v>
      </c>
      <c r="CP209" s="570" t="s">
        <v>170</v>
      </c>
      <c r="CQ209" s="1171"/>
      <c r="CS209" s="1069">
        <f t="shared" si="167"/>
        <v>0</v>
      </c>
      <c r="CT209" s="1069">
        <f t="shared" si="168"/>
        <v>0</v>
      </c>
      <c r="CU209" s="1066">
        <f t="shared" si="169"/>
        <v>0</v>
      </c>
      <c r="CV209" s="1066">
        <f t="shared" si="170"/>
        <v>0</v>
      </c>
      <c r="CW209" s="1082">
        <f t="shared" si="171"/>
        <v>4.8624999999999998</v>
      </c>
      <c r="CX209" s="1082">
        <f t="shared" si="172"/>
        <v>7.78</v>
      </c>
    </row>
    <row r="210" spans="2:102" ht="18" customHeight="1">
      <c r="B210" s="402" t="s">
        <v>598</v>
      </c>
      <c r="C210" s="603"/>
      <c r="D210" s="603"/>
      <c r="E210" s="1052">
        <v>196401</v>
      </c>
      <c r="F210" s="724" t="s">
        <v>600</v>
      </c>
      <c r="G210" s="556">
        <v>92.8947</v>
      </c>
      <c r="H210" s="556">
        <v>20.327500000000001</v>
      </c>
      <c r="I210" s="560" t="s">
        <v>33</v>
      </c>
      <c r="J210" s="560" t="s">
        <v>45</v>
      </c>
      <c r="K210" s="604" t="s">
        <v>607</v>
      </c>
      <c r="L210" s="428">
        <v>0</v>
      </c>
      <c r="M210" s="428">
        <v>0</v>
      </c>
      <c r="N210" s="570">
        <v>922</v>
      </c>
      <c r="O210" s="328" t="s">
        <v>984</v>
      </c>
      <c r="P210" s="720" t="str">
        <f t="shared" si="132"/>
        <v>2. Medium</v>
      </c>
      <c r="Q210" s="968" t="s">
        <v>153</v>
      </c>
      <c r="R210" s="625"/>
      <c r="S210" s="560" t="s">
        <v>172</v>
      </c>
      <c r="T210" s="323" t="str">
        <f t="shared" si="133"/>
        <v>Covered</v>
      </c>
      <c r="U210" s="561">
        <v>42369</v>
      </c>
      <c r="V210" s="1144"/>
      <c r="W210" s="558" t="s">
        <v>152</v>
      </c>
      <c r="X210" s="328">
        <v>0</v>
      </c>
      <c r="Y210" s="428">
        <v>0</v>
      </c>
      <c r="Z210" s="570" t="s">
        <v>43</v>
      </c>
      <c r="AA210" s="328">
        <v>0</v>
      </c>
      <c r="AB210" s="428">
        <v>0</v>
      </c>
      <c r="AC210" s="428">
        <v>0</v>
      </c>
      <c r="AD210" s="428">
        <v>3</v>
      </c>
      <c r="AE210" s="570"/>
      <c r="AF210" s="329">
        <v>0</v>
      </c>
      <c r="AG210" s="1124">
        <v>0</v>
      </c>
      <c r="AH210" s="630">
        <f t="shared" si="134"/>
        <v>0</v>
      </c>
      <c r="AI210" s="574">
        <f t="shared" si="135"/>
        <v>0</v>
      </c>
      <c r="AJ210" s="605">
        <f t="shared" si="136"/>
        <v>0</v>
      </c>
      <c r="AK210" s="574">
        <f t="shared" si="137"/>
        <v>0</v>
      </c>
      <c r="AL210" s="605">
        <f t="shared" si="138"/>
        <v>0</v>
      </c>
      <c r="AM210" s="574">
        <f t="shared" si="139"/>
        <v>0</v>
      </c>
      <c r="AN210" s="605" t="str">
        <f t="shared" si="140"/>
        <v>0-10%</v>
      </c>
      <c r="AO210" s="605">
        <f t="shared" si="141"/>
        <v>0</v>
      </c>
      <c r="AP210" s="574">
        <f t="shared" si="142"/>
        <v>0</v>
      </c>
      <c r="AQ210" s="574" t="str">
        <f t="shared" si="143"/>
        <v>yes</v>
      </c>
      <c r="AR210" s="574">
        <f t="shared" si="144"/>
        <v>3.6880000000000002</v>
      </c>
      <c r="AS210" s="574">
        <f t="shared" si="145"/>
        <v>0</v>
      </c>
      <c r="AT210" s="574">
        <f t="shared" si="146"/>
        <v>0</v>
      </c>
      <c r="AU210" s="1152">
        <v>0</v>
      </c>
      <c r="AV210" s="635">
        <f t="shared" si="147"/>
        <v>0</v>
      </c>
      <c r="AW210" s="325" t="s">
        <v>677</v>
      </c>
      <c r="AX210" s="740">
        <v>0</v>
      </c>
      <c r="AY210" s="428">
        <v>7</v>
      </c>
      <c r="AZ210" s="428">
        <v>6</v>
      </c>
      <c r="BA210" s="473" t="s">
        <v>526</v>
      </c>
      <c r="BB210" s="548">
        <f t="shared" si="148"/>
        <v>4.5553145336225599E-2</v>
      </c>
      <c r="BC210" s="606">
        <f t="shared" si="149"/>
        <v>42</v>
      </c>
      <c r="BD210" s="548">
        <f t="shared" si="150"/>
        <v>4.5553145336225599E-2</v>
      </c>
      <c r="BE210" s="606">
        <f t="shared" si="151"/>
        <v>42</v>
      </c>
      <c r="BF210" s="549">
        <f t="shared" si="152"/>
        <v>0</v>
      </c>
      <c r="BG210" s="606">
        <f t="shared" si="153"/>
        <v>0</v>
      </c>
      <c r="BH210" s="519" t="s">
        <v>475</v>
      </c>
      <c r="BI210" s="429">
        <v>0.05</v>
      </c>
      <c r="BJ210" s="606">
        <f t="shared" si="174"/>
        <v>46.1</v>
      </c>
      <c r="BK210" s="606" t="str">
        <f t="shared" si="154"/>
        <v>n/a</v>
      </c>
      <c r="BL210" s="428" t="s">
        <v>475</v>
      </c>
      <c r="BM210" s="548" t="str">
        <f t="shared" si="155"/>
        <v>n/a</v>
      </c>
      <c r="BN210" s="606" t="str">
        <f t="shared" si="156"/>
        <v>n/a</v>
      </c>
      <c r="BO210" s="606" t="str">
        <f t="shared" si="157"/>
        <v>n/a</v>
      </c>
      <c r="BP210" s="578" t="s">
        <v>475</v>
      </c>
      <c r="BQ210" s="606" t="s">
        <v>475</v>
      </c>
      <c r="BR210" s="519" t="s">
        <v>475</v>
      </c>
      <c r="BS210" s="548" t="str">
        <f t="shared" si="158"/>
        <v>n/a</v>
      </c>
      <c r="BT210" s="607" t="str">
        <f t="shared" si="159"/>
        <v>n/a</v>
      </c>
      <c r="BU210" s="1163"/>
      <c r="BV210" s="650" t="str">
        <f t="shared" si="160"/>
        <v>n/a</v>
      </c>
      <c r="BW210" s="636"/>
      <c r="BX210" s="470" t="s">
        <v>475</v>
      </c>
      <c r="BY210" s="1192"/>
      <c r="BZ210" s="1192"/>
      <c r="CA210" s="608" t="str">
        <f t="shared" si="161"/>
        <v>n/a</v>
      </c>
      <c r="CB210" s="428"/>
      <c r="CC210" s="428"/>
      <c r="CD210" s="609" t="str">
        <f t="shared" si="162"/>
        <v>n/a</v>
      </c>
      <c r="CE210" s="610" t="str">
        <f t="shared" si="163"/>
        <v>n/a</v>
      </c>
      <c r="CF210" s="609" t="str">
        <f t="shared" si="164"/>
        <v>n/a</v>
      </c>
      <c r="CG210" s="658" t="str">
        <f t="shared" si="165"/>
        <v>n/a</v>
      </c>
      <c r="CH210" s="328"/>
      <c r="CI210" s="330">
        <v>0.45650000000000002</v>
      </c>
      <c r="CJ210" s="664">
        <f t="shared" si="166"/>
        <v>420.89300000000003</v>
      </c>
      <c r="CK210" s="328"/>
      <c r="CL210" s="611" t="str">
        <f t="shared" si="175"/>
        <v>No coverage</v>
      </c>
      <c r="CM210" s="428" t="s">
        <v>169</v>
      </c>
      <c r="CN210" s="428" t="s">
        <v>475</v>
      </c>
      <c r="CO210" s="428" t="s">
        <v>169</v>
      </c>
      <c r="CP210" s="570" t="s">
        <v>170</v>
      </c>
      <c r="CQ210" s="1171"/>
      <c r="CS210" s="1069">
        <f t="shared" si="167"/>
        <v>0</v>
      </c>
      <c r="CT210" s="1069">
        <f t="shared" si="168"/>
        <v>0</v>
      </c>
      <c r="CU210" s="1066">
        <f t="shared" si="169"/>
        <v>0</v>
      </c>
      <c r="CV210" s="1066">
        <f t="shared" si="170"/>
        <v>0</v>
      </c>
      <c r="CW210" s="1082">
        <f t="shared" si="171"/>
        <v>2.3050000000000002</v>
      </c>
      <c r="CX210" s="1082">
        <f t="shared" si="172"/>
        <v>3.6880000000000002</v>
      </c>
    </row>
    <row r="211" spans="2:102" ht="18" customHeight="1">
      <c r="B211" s="402" t="s">
        <v>598</v>
      </c>
      <c r="C211" s="603"/>
      <c r="D211" s="603"/>
      <c r="E211" s="1052">
        <v>196375</v>
      </c>
      <c r="F211" s="724" t="s">
        <v>601</v>
      </c>
      <c r="G211" s="556">
        <v>93.01</v>
      </c>
      <c r="H211" s="556">
        <v>20.308</v>
      </c>
      <c r="I211" s="560" t="s">
        <v>33</v>
      </c>
      <c r="J211" s="560" t="s">
        <v>45</v>
      </c>
      <c r="K211" s="604" t="s">
        <v>607</v>
      </c>
      <c r="L211" s="428">
        <v>0</v>
      </c>
      <c r="M211" s="428">
        <v>0</v>
      </c>
      <c r="N211" s="570">
        <v>1200</v>
      </c>
      <c r="O211" s="328" t="s">
        <v>983</v>
      </c>
      <c r="P211" s="720" t="str">
        <f t="shared" si="132"/>
        <v>3. Large</v>
      </c>
      <c r="Q211" s="968" t="s">
        <v>153</v>
      </c>
      <c r="R211" s="625"/>
      <c r="S211" s="560" t="s">
        <v>172</v>
      </c>
      <c r="T211" s="323" t="str">
        <f t="shared" si="133"/>
        <v>Covered</v>
      </c>
      <c r="U211" s="561">
        <v>42369</v>
      </c>
      <c r="V211" s="1144"/>
      <c r="W211" s="558" t="s">
        <v>152</v>
      </c>
      <c r="X211" s="328">
        <v>0</v>
      </c>
      <c r="Y211" s="428">
        <v>0</v>
      </c>
      <c r="Z211" s="570" t="s">
        <v>43</v>
      </c>
      <c r="AA211" s="328">
        <v>0</v>
      </c>
      <c r="AB211" s="428">
        <v>0</v>
      </c>
      <c r="AC211" s="428">
        <v>0</v>
      </c>
      <c r="AD211" s="428">
        <v>5</v>
      </c>
      <c r="AE211" s="570"/>
      <c r="AF211" s="329">
        <v>0</v>
      </c>
      <c r="AG211" s="1124">
        <v>0</v>
      </c>
      <c r="AH211" s="630">
        <f t="shared" si="134"/>
        <v>0</v>
      </c>
      <c r="AI211" s="574">
        <f t="shared" si="135"/>
        <v>0</v>
      </c>
      <c r="AJ211" s="605">
        <f t="shared" si="136"/>
        <v>0</v>
      </c>
      <c r="AK211" s="574">
        <f t="shared" si="137"/>
        <v>0</v>
      </c>
      <c r="AL211" s="605">
        <f t="shared" si="138"/>
        <v>0</v>
      </c>
      <c r="AM211" s="574">
        <f t="shared" si="139"/>
        <v>0</v>
      </c>
      <c r="AN211" s="605" t="str">
        <f t="shared" si="140"/>
        <v>0-10%</v>
      </c>
      <c r="AO211" s="605">
        <f t="shared" si="141"/>
        <v>0</v>
      </c>
      <c r="AP211" s="574">
        <f t="shared" si="142"/>
        <v>0</v>
      </c>
      <c r="AQ211" s="574" t="str">
        <f t="shared" si="143"/>
        <v>yes</v>
      </c>
      <c r="AR211" s="574">
        <f t="shared" si="144"/>
        <v>4.8</v>
      </c>
      <c r="AS211" s="574">
        <f t="shared" si="145"/>
        <v>0</v>
      </c>
      <c r="AT211" s="574">
        <f t="shared" si="146"/>
        <v>0</v>
      </c>
      <c r="AU211" s="1152">
        <v>0</v>
      </c>
      <c r="AV211" s="635">
        <f t="shared" si="147"/>
        <v>0</v>
      </c>
      <c r="AW211" s="325" t="s">
        <v>678</v>
      </c>
      <c r="AX211" s="740">
        <v>0</v>
      </c>
      <c r="AY211" s="428">
        <v>19</v>
      </c>
      <c r="AZ211" s="428">
        <v>6</v>
      </c>
      <c r="BA211" s="473" t="s">
        <v>526</v>
      </c>
      <c r="BB211" s="548">
        <f t="shared" si="148"/>
        <v>9.5000000000000001E-2</v>
      </c>
      <c r="BC211" s="606">
        <f t="shared" si="149"/>
        <v>114</v>
      </c>
      <c r="BD211" s="548">
        <f t="shared" si="150"/>
        <v>9.5000000000000001E-2</v>
      </c>
      <c r="BE211" s="606">
        <f t="shared" si="151"/>
        <v>114</v>
      </c>
      <c r="BF211" s="549">
        <f t="shared" si="152"/>
        <v>0</v>
      </c>
      <c r="BG211" s="606">
        <f t="shared" si="153"/>
        <v>0</v>
      </c>
      <c r="BH211" s="519" t="s">
        <v>475</v>
      </c>
      <c r="BI211" s="429">
        <v>0.1</v>
      </c>
      <c r="BJ211" s="606">
        <f t="shared" si="174"/>
        <v>120</v>
      </c>
      <c r="BK211" s="606" t="str">
        <f t="shared" si="154"/>
        <v>n/a</v>
      </c>
      <c r="BL211" s="428" t="s">
        <v>475</v>
      </c>
      <c r="BM211" s="548" t="str">
        <f t="shared" si="155"/>
        <v>n/a</v>
      </c>
      <c r="BN211" s="606" t="str">
        <f t="shared" si="156"/>
        <v>n/a</v>
      </c>
      <c r="BO211" s="606" t="str">
        <f t="shared" si="157"/>
        <v>n/a</v>
      </c>
      <c r="BP211" s="578" t="s">
        <v>475</v>
      </c>
      <c r="BQ211" s="606" t="s">
        <v>475</v>
      </c>
      <c r="BR211" s="519" t="s">
        <v>475</v>
      </c>
      <c r="BS211" s="548" t="str">
        <f t="shared" si="158"/>
        <v>n/a</v>
      </c>
      <c r="BT211" s="607" t="str">
        <f t="shared" si="159"/>
        <v>n/a</v>
      </c>
      <c r="BU211" s="1163"/>
      <c r="BV211" s="650" t="str">
        <f t="shared" si="160"/>
        <v>n/a</v>
      </c>
      <c r="BW211" s="636"/>
      <c r="BX211" s="470" t="s">
        <v>475</v>
      </c>
      <c r="BY211" s="1192"/>
      <c r="BZ211" s="1192"/>
      <c r="CA211" s="608" t="str">
        <f t="shared" si="161"/>
        <v>n/a</v>
      </c>
      <c r="CB211" s="428"/>
      <c r="CC211" s="428"/>
      <c r="CD211" s="609" t="str">
        <f t="shared" si="162"/>
        <v>n/a</v>
      </c>
      <c r="CE211" s="610" t="str">
        <f t="shared" si="163"/>
        <v>n/a</v>
      </c>
      <c r="CF211" s="609" t="str">
        <f t="shared" si="164"/>
        <v>n/a</v>
      </c>
      <c r="CG211" s="658" t="str">
        <f t="shared" si="165"/>
        <v>n/a</v>
      </c>
      <c r="CH211" s="328"/>
      <c r="CI211" s="330">
        <v>0.47239999999999999</v>
      </c>
      <c r="CJ211" s="664">
        <f t="shared" si="166"/>
        <v>566.88</v>
      </c>
      <c r="CK211" s="328"/>
      <c r="CL211" s="611" t="str">
        <f t="shared" si="175"/>
        <v>No coverage</v>
      </c>
      <c r="CM211" s="428" t="s">
        <v>169</v>
      </c>
      <c r="CN211" s="428" t="s">
        <v>475</v>
      </c>
      <c r="CO211" s="428" t="s">
        <v>169</v>
      </c>
      <c r="CP211" s="570" t="s">
        <v>170</v>
      </c>
      <c r="CQ211" s="1171"/>
      <c r="CS211" s="1069">
        <f t="shared" si="167"/>
        <v>0</v>
      </c>
      <c r="CT211" s="1069">
        <f t="shared" si="168"/>
        <v>0</v>
      </c>
      <c r="CU211" s="1066">
        <f t="shared" si="169"/>
        <v>0</v>
      </c>
      <c r="CV211" s="1066">
        <f t="shared" si="170"/>
        <v>0</v>
      </c>
      <c r="CW211" s="1082">
        <f t="shared" si="171"/>
        <v>3</v>
      </c>
      <c r="CX211" s="1082">
        <f t="shared" si="172"/>
        <v>4.8</v>
      </c>
    </row>
    <row r="212" spans="2:102" ht="18" customHeight="1">
      <c r="B212" s="402" t="s">
        <v>598</v>
      </c>
      <c r="C212" s="603"/>
      <c r="D212" s="603"/>
      <c r="E212" s="1055" t="s">
        <v>720</v>
      </c>
      <c r="F212" s="724" t="s">
        <v>602</v>
      </c>
      <c r="G212" s="556" t="s">
        <v>724</v>
      </c>
      <c r="H212" s="556" t="s">
        <v>725</v>
      </c>
      <c r="I212" s="560" t="s">
        <v>33</v>
      </c>
      <c r="J212" s="560" t="s">
        <v>45</v>
      </c>
      <c r="K212" s="604" t="s">
        <v>607</v>
      </c>
      <c r="L212" s="428">
        <v>0</v>
      </c>
      <c r="M212" s="428">
        <v>0</v>
      </c>
      <c r="N212" s="570">
        <v>2031</v>
      </c>
      <c r="O212" s="328" t="s">
        <v>984</v>
      </c>
      <c r="P212" s="720" t="str">
        <f t="shared" si="132"/>
        <v>3. Large</v>
      </c>
      <c r="Q212" s="968" t="s">
        <v>153</v>
      </c>
      <c r="R212" s="625"/>
      <c r="S212" s="560" t="s">
        <v>172</v>
      </c>
      <c r="T212" s="323" t="str">
        <f t="shared" si="133"/>
        <v>Covered</v>
      </c>
      <c r="U212" s="561">
        <v>42369</v>
      </c>
      <c r="V212" s="1144"/>
      <c r="W212" s="558" t="s">
        <v>152</v>
      </c>
      <c r="X212" s="328">
        <v>0</v>
      </c>
      <c r="Y212" s="428">
        <v>0</v>
      </c>
      <c r="Z212" s="570" t="s">
        <v>43</v>
      </c>
      <c r="AA212" s="328">
        <v>0</v>
      </c>
      <c r="AB212" s="428">
        <v>0</v>
      </c>
      <c r="AC212" s="428">
        <v>0</v>
      </c>
      <c r="AD212" s="428">
        <v>7</v>
      </c>
      <c r="AE212" s="570"/>
      <c r="AF212" s="329">
        <v>0</v>
      </c>
      <c r="AG212" s="1124">
        <v>0</v>
      </c>
      <c r="AH212" s="630">
        <f t="shared" si="134"/>
        <v>0</v>
      </c>
      <c r="AI212" s="574">
        <f t="shared" si="135"/>
        <v>0</v>
      </c>
      <c r="AJ212" s="605">
        <f t="shared" si="136"/>
        <v>0</v>
      </c>
      <c r="AK212" s="574">
        <f t="shared" si="137"/>
        <v>0</v>
      </c>
      <c r="AL212" s="605">
        <f t="shared" si="138"/>
        <v>0</v>
      </c>
      <c r="AM212" s="574">
        <f t="shared" si="139"/>
        <v>0</v>
      </c>
      <c r="AN212" s="605" t="str">
        <f t="shared" si="140"/>
        <v>0-10%</v>
      </c>
      <c r="AO212" s="605">
        <f t="shared" si="141"/>
        <v>0</v>
      </c>
      <c r="AP212" s="574">
        <f t="shared" si="142"/>
        <v>0</v>
      </c>
      <c r="AQ212" s="574" t="str">
        <f t="shared" si="143"/>
        <v>yes</v>
      </c>
      <c r="AR212" s="574">
        <f t="shared" si="144"/>
        <v>8.1240000000000006</v>
      </c>
      <c r="AS212" s="574">
        <f t="shared" si="145"/>
        <v>0</v>
      </c>
      <c r="AT212" s="574">
        <f t="shared" si="146"/>
        <v>0</v>
      </c>
      <c r="AU212" s="1152">
        <v>0</v>
      </c>
      <c r="AV212" s="635">
        <f t="shared" si="147"/>
        <v>0</v>
      </c>
      <c r="AW212" s="325" t="s">
        <v>978</v>
      </c>
      <c r="AX212" s="740">
        <v>0</v>
      </c>
      <c r="AY212" s="428">
        <v>20</v>
      </c>
      <c r="AZ212" s="428">
        <v>6</v>
      </c>
      <c r="BA212" s="473"/>
      <c r="BB212" s="548">
        <f t="shared" si="148"/>
        <v>5.9084194977843424E-2</v>
      </c>
      <c r="BC212" s="606">
        <f t="shared" si="149"/>
        <v>120</v>
      </c>
      <c r="BD212" s="548">
        <f t="shared" si="150"/>
        <v>5.9084194977843424E-2</v>
      </c>
      <c r="BE212" s="606">
        <f t="shared" si="151"/>
        <v>120</v>
      </c>
      <c r="BF212" s="549">
        <f t="shared" si="152"/>
        <v>0</v>
      </c>
      <c r="BG212" s="606">
        <f t="shared" si="153"/>
        <v>0</v>
      </c>
      <c r="BH212" s="519" t="s">
        <v>475</v>
      </c>
      <c r="BI212" s="429">
        <v>0.06</v>
      </c>
      <c r="BJ212" s="606">
        <f t="shared" si="174"/>
        <v>121.86</v>
      </c>
      <c r="BK212" s="606" t="str">
        <f t="shared" si="154"/>
        <v>n/a</v>
      </c>
      <c r="BL212" s="428" t="s">
        <v>475</v>
      </c>
      <c r="BM212" s="548" t="str">
        <f t="shared" si="155"/>
        <v>n/a</v>
      </c>
      <c r="BN212" s="606" t="str">
        <f t="shared" si="156"/>
        <v>n/a</v>
      </c>
      <c r="BO212" s="606" t="str">
        <f t="shared" si="157"/>
        <v>n/a</v>
      </c>
      <c r="BP212" s="578" t="s">
        <v>475</v>
      </c>
      <c r="BQ212" s="606" t="s">
        <v>475</v>
      </c>
      <c r="BR212" s="519" t="s">
        <v>475</v>
      </c>
      <c r="BS212" s="548" t="str">
        <f t="shared" si="158"/>
        <v>n/a</v>
      </c>
      <c r="BT212" s="607" t="str">
        <f t="shared" si="159"/>
        <v>n/a</v>
      </c>
      <c r="BU212" s="1163"/>
      <c r="BV212" s="650" t="str">
        <f t="shared" si="160"/>
        <v>n/a</v>
      </c>
      <c r="BW212" s="636"/>
      <c r="BX212" s="470" t="s">
        <v>475</v>
      </c>
      <c r="BY212" s="1192"/>
      <c r="BZ212" s="1192"/>
      <c r="CA212" s="608" t="str">
        <f t="shared" si="161"/>
        <v>n/a</v>
      </c>
      <c r="CB212" s="428"/>
      <c r="CC212" s="428"/>
      <c r="CD212" s="609" t="str">
        <f t="shared" si="162"/>
        <v>n/a</v>
      </c>
      <c r="CE212" s="610" t="str">
        <f t="shared" si="163"/>
        <v>n/a</v>
      </c>
      <c r="CF212" s="609" t="str">
        <f t="shared" si="164"/>
        <v>n/a</v>
      </c>
      <c r="CG212" s="658" t="str">
        <f t="shared" si="165"/>
        <v>n/a</v>
      </c>
      <c r="CH212" s="328"/>
      <c r="CI212" s="330">
        <v>0.28889999999999999</v>
      </c>
      <c r="CJ212" s="664">
        <f t="shared" si="166"/>
        <v>586.7559</v>
      </c>
      <c r="CK212" s="328"/>
      <c r="CL212" s="611" t="str">
        <f t="shared" si="175"/>
        <v>No coverage</v>
      </c>
      <c r="CM212" s="428" t="s">
        <v>169</v>
      </c>
      <c r="CN212" s="428" t="s">
        <v>475</v>
      </c>
      <c r="CO212" s="428" t="s">
        <v>169</v>
      </c>
      <c r="CP212" s="570" t="s">
        <v>170</v>
      </c>
      <c r="CQ212" s="1171"/>
      <c r="CS212" s="1069">
        <f t="shared" si="167"/>
        <v>0</v>
      </c>
      <c r="CT212" s="1069">
        <f t="shared" si="168"/>
        <v>0</v>
      </c>
      <c r="CU212" s="1066">
        <f t="shared" si="169"/>
        <v>0</v>
      </c>
      <c r="CV212" s="1066">
        <f t="shared" si="170"/>
        <v>0</v>
      </c>
      <c r="CW212" s="1082">
        <f t="shared" si="171"/>
        <v>5.0774999999999997</v>
      </c>
      <c r="CX212" s="1082">
        <f t="shared" si="172"/>
        <v>8.1240000000000006</v>
      </c>
    </row>
    <row r="213" spans="2:102" ht="18" customHeight="1">
      <c r="B213" s="402" t="s">
        <v>598</v>
      </c>
      <c r="C213" s="603"/>
      <c r="D213" s="603"/>
      <c r="E213" s="1055" t="s">
        <v>721</v>
      </c>
      <c r="F213" s="724" t="s">
        <v>603</v>
      </c>
      <c r="G213" s="556" t="s">
        <v>737</v>
      </c>
      <c r="H213" s="556" t="s">
        <v>738</v>
      </c>
      <c r="I213" s="560" t="s">
        <v>33</v>
      </c>
      <c r="J213" s="560" t="s">
        <v>45</v>
      </c>
      <c r="K213" s="604" t="s">
        <v>607</v>
      </c>
      <c r="L213" s="428">
        <v>0</v>
      </c>
      <c r="M213" s="428">
        <v>0</v>
      </c>
      <c r="N213" s="570">
        <v>1811</v>
      </c>
      <c r="O213" s="328" t="s">
        <v>983</v>
      </c>
      <c r="P213" s="720" t="str">
        <f t="shared" si="132"/>
        <v>3. Large</v>
      </c>
      <c r="Q213" s="968" t="s">
        <v>153</v>
      </c>
      <c r="R213" s="625"/>
      <c r="S213" s="560" t="s">
        <v>172</v>
      </c>
      <c r="T213" s="323" t="str">
        <f t="shared" si="133"/>
        <v>Covered</v>
      </c>
      <c r="U213" s="561">
        <v>42369</v>
      </c>
      <c r="V213" s="1144"/>
      <c r="W213" s="558" t="s">
        <v>152</v>
      </c>
      <c r="X213" s="328">
        <v>0</v>
      </c>
      <c r="Y213" s="428">
        <v>0</v>
      </c>
      <c r="Z213" s="570" t="s">
        <v>43</v>
      </c>
      <c r="AA213" s="328">
        <v>0</v>
      </c>
      <c r="AB213" s="428">
        <v>4</v>
      </c>
      <c r="AC213" s="428">
        <v>0</v>
      </c>
      <c r="AD213" s="428">
        <v>8</v>
      </c>
      <c r="AE213" s="570"/>
      <c r="AF213" s="329">
        <v>0</v>
      </c>
      <c r="AG213" s="1124">
        <v>0</v>
      </c>
      <c r="AH213" s="630">
        <f t="shared" si="134"/>
        <v>0.55218111540585313</v>
      </c>
      <c r="AI213" s="574">
        <f t="shared" si="135"/>
        <v>1000</v>
      </c>
      <c r="AJ213" s="605">
        <f t="shared" si="136"/>
        <v>0.55218111540585313</v>
      </c>
      <c r="AK213" s="574">
        <f t="shared" si="137"/>
        <v>1000</v>
      </c>
      <c r="AL213" s="605">
        <f t="shared" si="138"/>
        <v>0.55218111540585313</v>
      </c>
      <c r="AM213" s="574">
        <f t="shared" si="139"/>
        <v>1000</v>
      </c>
      <c r="AN213" s="605" t="str">
        <f t="shared" si="140"/>
        <v>45-60%</v>
      </c>
      <c r="AO213" s="605">
        <f t="shared" si="141"/>
        <v>0</v>
      </c>
      <c r="AP213" s="574">
        <f t="shared" si="142"/>
        <v>0</v>
      </c>
      <c r="AQ213" s="574" t="str">
        <f t="shared" si="143"/>
        <v>yes</v>
      </c>
      <c r="AR213" s="574">
        <f t="shared" si="144"/>
        <v>3.2439999999999998</v>
      </c>
      <c r="AS213" s="574">
        <f t="shared" si="145"/>
        <v>0</v>
      </c>
      <c r="AT213" s="574">
        <f t="shared" si="146"/>
        <v>0</v>
      </c>
      <c r="AU213" s="1152">
        <v>0</v>
      </c>
      <c r="AV213" s="635">
        <f t="shared" si="147"/>
        <v>0</v>
      </c>
      <c r="AW213" s="325" t="s">
        <v>680</v>
      </c>
      <c r="AX213" s="740">
        <v>0</v>
      </c>
      <c r="AY213" s="428">
        <v>56</v>
      </c>
      <c r="AZ213" s="428">
        <v>6</v>
      </c>
      <c r="BA213" s="473" t="s">
        <v>526</v>
      </c>
      <c r="BB213" s="548">
        <f t="shared" si="148"/>
        <v>0.18553285477636663</v>
      </c>
      <c r="BC213" s="606">
        <f t="shared" si="149"/>
        <v>336</v>
      </c>
      <c r="BD213" s="548">
        <f t="shared" si="150"/>
        <v>0.18553285477636663</v>
      </c>
      <c r="BE213" s="606">
        <f t="shared" si="151"/>
        <v>336</v>
      </c>
      <c r="BF213" s="549">
        <f t="shared" si="152"/>
        <v>0</v>
      </c>
      <c r="BG213" s="606">
        <f t="shared" si="153"/>
        <v>0</v>
      </c>
      <c r="BH213" s="519" t="s">
        <v>475</v>
      </c>
      <c r="BI213" s="429">
        <v>0.19</v>
      </c>
      <c r="BJ213" s="606">
        <f t="shared" si="174"/>
        <v>344.09000000000003</v>
      </c>
      <c r="BK213" s="606" t="str">
        <f t="shared" si="154"/>
        <v>n/a</v>
      </c>
      <c r="BL213" s="428" t="s">
        <v>475</v>
      </c>
      <c r="BM213" s="548" t="str">
        <f t="shared" si="155"/>
        <v>n/a</v>
      </c>
      <c r="BN213" s="606" t="str">
        <f t="shared" si="156"/>
        <v>n/a</v>
      </c>
      <c r="BO213" s="606" t="str">
        <f t="shared" si="157"/>
        <v>n/a</v>
      </c>
      <c r="BP213" s="578" t="s">
        <v>475</v>
      </c>
      <c r="BQ213" s="606" t="s">
        <v>475</v>
      </c>
      <c r="BR213" s="519" t="s">
        <v>475</v>
      </c>
      <c r="BS213" s="548" t="str">
        <f t="shared" si="158"/>
        <v>n/a</v>
      </c>
      <c r="BT213" s="607" t="str">
        <f t="shared" si="159"/>
        <v>n/a</v>
      </c>
      <c r="BU213" s="1163"/>
      <c r="BV213" s="650" t="str">
        <f t="shared" si="160"/>
        <v>n/a</v>
      </c>
      <c r="BW213" s="636"/>
      <c r="BX213" s="470" t="s">
        <v>475</v>
      </c>
      <c r="BY213" s="1192"/>
      <c r="BZ213" s="1192"/>
      <c r="CA213" s="608" t="str">
        <f t="shared" si="161"/>
        <v>n/a</v>
      </c>
      <c r="CB213" s="428"/>
      <c r="CC213" s="428"/>
      <c r="CD213" s="609" t="str">
        <f t="shared" si="162"/>
        <v>n/a</v>
      </c>
      <c r="CE213" s="610" t="str">
        <f t="shared" si="163"/>
        <v>n/a</v>
      </c>
      <c r="CF213" s="609" t="str">
        <f t="shared" si="164"/>
        <v>n/a</v>
      </c>
      <c r="CG213" s="658" t="str">
        <f t="shared" si="165"/>
        <v>n/a</v>
      </c>
      <c r="CH213" s="328"/>
      <c r="CI213" s="330">
        <v>0.51249999999999996</v>
      </c>
      <c r="CJ213" s="664">
        <f t="shared" si="166"/>
        <v>928.13749999999993</v>
      </c>
      <c r="CK213" s="328">
        <v>1</v>
      </c>
      <c r="CL213" s="611" t="str">
        <f t="shared" si="175"/>
        <v>Low coverage</v>
      </c>
      <c r="CM213" s="428" t="s">
        <v>169</v>
      </c>
      <c r="CN213" s="428" t="s">
        <v>475</v>
      </c>
      <c r="CO213" s="428" t="s">
        <v>169</v>
      </c>
      <c r="CP213" s="570" t="s">
        <v>170</v>
      </c>
      <c r="CQ213" s="1171"/>
      <c r="CS213" s="1069">
        <f t="shared" si="167"/>
        <v>1</v>
      </c>
      <c r="CT213" s="1069">
        <f t="shared" si="168"/>
        <v>0.55218111540585313</v>
      </c>
      <c r="CU213" s="1066">
        <f t="shared" si="169"/>
        <v>1</v>
      </c>
      <c r="CV213" s="1066">
        <f t="shared" si="170"/>
        <v>0.55218111540585313</v>
      </c>
      <c r="CW213" s="1082">
        <f t="shared" si="171"/>
        <v>0.52749999999999986</v>
      </c>
      <c r="CX213" s="1082">
        <f t="shared" si="172"/>
        <v>3.2439999999999998</v>
      </c>
    </row>
    <row r="214" spans="2:102" ht="18" customHeight="1">
      <c r="B214" s="402" t="s">
        <v>598</v>
      </c>
      <c r="C214" s="603"/>
      <c r="D214" s="603"/>
      <c r="E214" s="1055" t="s">
        <v>722</v>
      </c>
      <c r="F214" s="724" t="s">
        <v>604</v>
      </c>
      <c r="G214" s="556" t="s">
        <v>726</v>
      </c>
      <c r="H214" s="556" t="s">
        <v>727</v>
      </c>
      <c r="I214" s="560" t="s">
        <v>33</v>
      </c>
      <c r="J214" s="560" t="s">
        <v>45</v>
      </c>
      <c r="K214" s="604" t="s">
        <v>607</v>
      </c>
      <c r="L214" s="428">
        <v>0</v>
      </c>
      <c r="M214" s="428">
        <v>0</v>
      </c>
      <c r="N214" s="570">
        <v>695</v>
      </c>
      <c r="O214" s="328" t="s">
        <v>983</v>
      </c>
      <c r="P214" s="720" t="str">
        <f t="shared" si="132"/>
        <v>2. Medium</v>
      </c>
      <c r="Q214" s="968" t="s">
        <v>153</v>
      </c>
      <c r="R214" s="625"/>
      <c r="S214" s="560" t="s">
        <v>172</v>
      </c>
      <c r="T214" s="323" t="str">
        <f t="shared" si="133"/>
        <v>Covered</v>
      </c>
      <c r="U214" s="561">
        <v>42369</v>
      </c>
      <c r="V214" s="1144"/>
      <c r="W214" s="558" t="s">
        <v>152</v>
      </c>
      <c r="X214" s="328">
        <v>0</v>
      </c>
      <c r="Y214" s="428">
        <v>0</v>
      </c>
      <c r="Z214" s="570" t="s">
        <v>43</v>
      </c>
      <c r="AA214" s="328">
        <v>0</v>
      </c>
      <c r="AB214" s="428">
        <v>0</v>
      </c>
      <c r="AC214" s="428">
        <v>0</v>
      </c>
      <c r="AD214" s="428">
        <v>8</v>
      </c>
      <c r="AE214" s="570"/>
      <c r="AF214" s="329">
        <v>0</v>
      </c>
      <c r="AG214" s="1124">
        <v>0</v>
      </c>
      <c r="AH214" s="630">
        <f t="shared" si="134"/>
        <v>0</v>
      </c>
      <c r="AI214" s="574">
        <f t="shared" si="135"/>
        <v>0</v>
      </c>
      <c r="AJ214" s="605">
        <f t="shared" si="136"/>
        <v>0</v>
      </c>
      <c r="AK214" s="574">
        <f t="shared" si="137"/>
        <v>0</v>
      </c>
      <c r="AL214" s="605">
        <f t="shared" si="138"/>
        <v>0</v>
      </c>
      <c r="AM214" s="574">
        <f t="shared" si="139"/>
        <v>0</v>
      </c>
      <c r="AN214" s="605" t="str">
        <f t="shared" si="140"/>
        <v>0-10%</v>
      </c>
      <c r="AO214" s="605">
        <f t="shared" si="141"/>
        <v>0</v>
      </c>
      <c r="AP214" s="574">
        <f t="shared" si="142"/>
        <v>0</v>
      </c>
      <c r="AQ214" s="574" t="str">
        <f t="shared" si="143"/>
        <v>yes</v>
      </c>
      <c r="AR214" s="574">
        <f t="shared" si="144"/>
        <v>2.78</v>
      </c>
      <c r="AS214" s="574">
        <f t="shared" si="145"/>
        <v>0</v>
      </c>
      <c r="AT214" s="574">
        <f t="shared" si="146"/>
        <v>0</v>
      </c>
      <c r="AU214" s="1152">
        <v>0</v>
      </c>
      <c r="AV214" s="635">
        <f t="shared" si="147"/>
        <v>0</v>
      </c>
      <c r="AW214" s="325" t="s">
        <v>681</v>
      </c>
      <c r="AX214" s="740">
        <v>0</v>
      </c>
      <c r="AY214" s="428">
        <v>18</v>
      </c>
      <c r="AZ214" s="428">
        <v>6</v>
      </c>
      <c r="BA214" s="473" t="s">
        <v>526</v>
      </c>
      <c r="BB214" s="548">
        <f t="shared" si="148"/>
        <v>0.1553956834532374</v>
      </c>
      <c r="BC214" s="606">
        <f t="shared" si="149"/>
        <v>107.99999999999999</v>
      </c>
      <c r="BD214" s="548">
        <f t="shared" si="150"/>
        <v>0.1553956834532374</v>
      </c>
      <c r="BE214" s="606">
        <f t="shared" si="151"/>
        <v>107.99999999999999</v>
      </c>
      <c r="BF214" s="549">
        <f t="shared" si="152"/>
        <v>0</v>
      </c>
      <c r="BG214" s="606">
        <f t="shared" si="153"/>
        <v>0</v>
      </c>
      <c r="BH214" s="519" t="s">
        <v>475</v>
      </c>
      <c r="BI214" s="429">
        <v>0.16</v>
      </c>
      <c r="BJ214" s="606">
        <f t="shared" si="174"/>
        <v>111.2</v>
      </c>
      <c r="BK214" s="606" t="str">
        <f t="shared" si="154"/>
        <v>n/a</v>
      </c>
      <c r="BL214" s="428" t="s">
        <v>475</v>
      </c>
      <c r="BM214" s="548" t="str">
        <f t="shared" si="155"/>
        <v>n/a</v>
      </c>
      <c r="BN214" s="606" t="str">
        <f t="shared" si="156"/>
        <v>n/a</v>
      </c>
      <c r="BO214" s="606" t="str">
        <f t="shared" si="157"/>
        <v>n/a</v>
      </c>
      <c r="BP214" s="578" t="s">
        <v>475</v>
      </c>
      <c r="BQ214" s="606" t="s">
        <v>475</v>
      </c>
      <c r="BR214" s="519" t="s">
        <v>475</v>
      </c>
      <c r="BS214" s="548" t="str">
        <f t="shared" si="158"/>
        <v>n/a</v>
      </c>
      <c r="BT214" s="607" t="str">
        <f t="shared" si="159"/>
        <v>n/a</v>
      </c>
      <c r="BU214" s="1163"/>
      <c r="BV214" s="650" t="str">
        <f t="shared" si="160"/>
        <v>n/a</v>
      </c>
      <c r="BW214" s="636"/>
      <c r="BX214" s="470" t="s">
        <v>475</v>
      </c>
      <c r="BY214" s="1192"/>
      <c r="BZ214" s="1192"/>
      <c r="CA214" s="608" t="str">
        <f t="shared" si="161"/>
        <v>n/a</v>
      </c>
      <c r="CB214" s="428"/>
      <c r="CC214" s="428"/>
      <c r="CD214" s="609" t="str">
        <f t="shared" si="162"/>
        <v>n/a</v>
      </c>
      <c r="CE214" s="610" t="str">
        <f t="shared" si="163"/>
        <v>n/a</v>
      </c>
      <c r="CF214" s="609" t="str">
        <f t="shared" si="164"/>
        <v>n/a</v>
      </c>
      <c r="CG214" s="658" t="str">
        <f t="shared" si="165"/>
        <v>n/a</v>
      </c>
      <c r="CH214" s="328"/>
      <c r="CI214" s="330">
        <v>0.9375</v>
      </c>
      <c r="CJ214" s="664">
        <f t="shared" si="166"/>
        <v>651.5625</v>
      </c>
      <c r="CK214" s="328"/>
      <c r="CL214" s="611" t="str">
        <f t="shared" si="175"/>
        <v>No coverage</v>
      </c>
      <c r="CM214" s="428" t="s">
        <v>169</v>
      </c>
      <c r="CN214" s="428" t="s">
        <v>475</v>
      </c>
      <c r="CO214" s="428" t="s">
        <v>169</v>
      </c>
      <c r="CP214" s="570" t="s">
        <v>170</v>
      </c>
      <c r="CQ214" s="1171"/>
      <c r="CS214" s="1069">
        <f t="shared" si="167"/>
        <v>0</v>
      </c>
      <c r="CT214" s="1069">
        <f t="shared" si="168"/>
        <v>0</v>
      </c>
      <c r="CU214" s="1066">
        <f t="shared" si="169"/>
        <v>0</v>
      </c>
      <c r="CV214" s="1066">
        <f t="shared" si="170"/>
        <v>0</v>
      </c>
      <c r="CW214" s="1082">
        <f t="shared" si="171"/>
        <v>1.7375</v>
      </c>
      <c r="CX214" s="1082">
        <f t="shared" si="172"/>
        <v>2.78</v>
      </c>
    </row>
    <row r="215" spans="2:102" ht="18" customHeight="1">
      <c r="B215" s="402" t="s">
        <v>598</v>
      </c>
      <c r="C215" s="603"/>
      <c r="D215" s="603"/>
      <c r="E215" s="1055" t="s">
        <v>723</v>
      </c>
      <c r="F215" s="724" t="s">
        <v>605</v>
      </c>
      <c r="G215" s="556" t="s">
        <v>728</v>
      </c>
      <c r="H215" s="556" t="s">
        <v>729</v>
      </c>
      <c r="I215" s="560" t="s">
        <v>33</v>
      </c>
      <c r="J215" s="560" t="s">
        <v>45</v>
      </c>
      <c r="K215" s="604" t="s">
        <v>607</v>
      </c>
      <c r="L215" s="428">
        <v>0</v>
      </c>
      <c r="M215" s="428">
        <v>0</v>
      </c>
      <c r="N215" s="570">
        <v>1455</v>
      </c>
      <c r="O215" s="328" t="s">
        <v>983</v>
      </c>
      <c r="P215" s="720" t="str">
        <f t="shared" si="132"/>
        <v>3. Large</v>
      </c>
      <c r="Q215" s="968" t="s">
        <v>153</v>
      </c>
      <c r="R215" s="625"/>
      <c r="S215" s="560" t="s">
        <v>172</v>
      </c>
      <c r="T215" s="323" t="str">
        <f t="shared" si="133"/>
        <v>Covered</v>
      </c>
      <c r="U215" s="561">
        <v>42369</v>
      </c>
      <c r="V215" s="1144"/>
      <c r="W215" s="558" t="s">
        <v>152</v>
      </c>
      <c r="X215" s="328">
        <v>0</v>
      </c>
      <c r="Y215" s="428">
        <v>0</v>
      </c>
      <c r="Z215" s="570" t="s">
        <v>43</v>
      </c>
      <c r="AA215" s="328">
        <v>0</v>
      </c>
      <c r="AB215" s="428">
        <v>0</v>
      </c>
      <c r="AC215" s="428">
        <v>0</v>
      </c>
      <c r="AD215" s="428">
        <v>8</v>
      </c>
      <c r="AE215" s="570"/>
      <c r="AF215" s="329">
        <v>0</v>
      </c>
      <c r="AG215" s="1124">
        <v>0</v>
      </c>
      <c r="AH215" s="630">
        <f t="shared" si="134"/>
        <v>0</v>
      </c>
      <c r="AI215" s="574">
        <f t="shared" si="135"/>
        <v>0</v>
      </c>
      <c r="AJ215" s="605">
        <f t="shared" si="136"/>
        <v>0</v>
      </c>
      <c r="AK215" s="574">
        <f t="shared" si="137"/>
        <v>0</v>
      </c>
      <c r="AL215" s="605">
        <f t="shared" si="138"/>
        <v>0</v>
      </c>
      <c r="AM215" s="574">
        <f t="shared" si="139"/>
        <v>0</v>
      </c>
      <c r="AN215" s="605" t="str">
        <f t="shared" si="140"/>
        <v>0-10%</v>
      </c>
      <c r="AO215" s="605">
        <f t="shared" si="141"/>
        <v>0</v>
      </c>
      <c r="AP215" s="574">
        <f t="shared" si="142"/>
        <v>0</v>
      </c>
      <c r="AQ215" s="574" t="str">
        <f t="shared" si="143"/>
        <v>yes</v>
      </c>
      <c r="AR215" s="574">
        <f t="shared" si="144"/>
        <v>5.82</v>
      </c>
      <c r="AS215" s="574">
        <f t="shared" si="145"/>
        <v>0</v>
      </c>
      <c r="AT215" s="574">
        <f t="shared" si="146"/>
        <v>0</v>
      </c>
      <c r="AU215" s="1152">
        <v>0</v>
      </c>
      <c r="AV215" s="635">
        <f t="shared" si="147"/>
        <v>0</v>
      </c>
      <c r="AW215" s="325" t="s">
        <v>680</v>
      </c>
      <c r="AX215" s="740">
        <v>0</v>
      </c>
      <c r="AY215" s="428">
        <v>41</v>
      </c>
      <c r="AZ215" s="428">
        <v>6</v>
      </c>
      <c r="BA215" s="473" t="s">
        <v>526</v>
      </c>
      <c r="BB215" s="548">
        <f t="shared" si="148"/>
        <v>0.16907216494845362</v>
      </c>
      <c r="BC215" s="606">
        <f t="shared" si="149"/>
        <v>246.00000000000003</v>
      </c>
      <c r="BD215" s="548">
        <f t="shared" si="150"/>
        <v>0.16907216494845362</v>
      </c>
      <c r="BE215" s="606">
        <f t="shared" si="151"/>
        <v>246.00000000000003</v>
      </c>
      <c r="BF215" s="549">
        <f t="shared" si="152"/>
        <v>0</v>
      </c>
      <c r="BG215" s="606">
        <f t="shared" si="153"/>
        <v>0</v>
      </c>
      <c r="BH215" s="519" t="s">
        <v>475</v>
      </c>
      <c r="BI215" s="429">
        <v>0.17</v>
      </c>
      <c r="BJ215" s="606">
        <f t="shared" si="174"/>
        <v>247.35000000000002</v>
      </c>
      <c r="BK215" s="606" t="str">
        <f t="shared" si="154"/>
        <v>n/a</v>
      </c>
      <c r="BL215" s="428" t="s">
        <v>475</v>
      </c>
      <c r="BM215" s="548" t="str">
        <f t="shared" si="155"/>
        <v>n/a</v>
      </c>
      <c r="BN215" s="606" t="str">
        <f t="shared" si="156"/>
        <v>n/a</v>
      </c>
      <c r="BO215" s="606" t="str">
        <f t="shared" si="157"/>
        <v>n/a</v>
      </c>
      <c r="BP215" s="578" t="s">
        <v>475</v>
      </c>
      <c r="BQ215" s="606" t="s">
        <v>475</v>
      </c>
      <c r="BR215" s="519" t="s">
        <v>475</v>
      </c>
      <c r="BS215" s="548" t="str">
        <f t="shared" si="158"/>
        <v>n/a</v>
      </c>
      <c r="BT215" s="607" t="str">
        <f t="shared" si="159"/>
        <v>n/a</v>
      </c>
      <c r="BU215" s="1163"/>
      <c r="BV215" s="650" t="str">
        <f t="shared" si="160"/>
        <v>n/a</v>
      </c>
      <c r="BW215" s="636"/>
      <c r="BX215" s="470" t="s">
        <v>475</v>
      </c>
      <c r="BY215" s="1192"/>
      <c r="BZ215" s="1192"/>
      <c r="CA215" s="608" t="str">
        <f t="shared" si="161"/>
        <v>n/a</v>
      </c>
      <c r="CB215" s="428"/>
      <c r="CC215" s="428"/>
      <c r="CD215" s="609" t="str">
        <f t="shared" si="162"/>
        <v>n/a</v>
      </c>
      <c r="CE215" s="610" t="str">
        <f t="shared" si="163"/>
        <v>n/a</v>
      </c>
      <c r="CF215" s="609" t="str">
        <f t="shared" si="164"/>
        <v>n/a</v>
      </c>
      <c r="CG215" s="658" t="str">
        <f t="shared" si="165"/>
        <v>n/a</v>
      </c>
      <c r="CH215" s="328"/>
      <c r="CI215" s="330">
        <v>0.34889999999999999</v>
      </c>
      <c r="CJ215" s="664">
        <f t="shared" si="166"/>
        <v>507.64949999999999</v>
      </c>
      <c r="CK215" s="328"/>
      <c r="CL215" s="611" t="str">
        <f t="shared" si="175"/>
        <v>No coverage</v>
      </c>
      <c r="CM215" s="428" t="s">
        <v>169</v>
      </c>
      <c r="CN215" s="428" t="s">
        <v>475</v>
      </c>
      <c r="CO215" s="428" t="s">
        <v>169</v>
      </c>
      <c r="CP215" s="570" t="s">
        <v>170</v>
      </c>
      <c r="CQ215" s="1171"/>
      <c r="CS215" s="1069">
        <f t="shared" si="167"/>
        <v>0</v>
      </c>
      <c r="CT215" s="1069">
        <f t="shared" si="168"/>
        <v>0</v>
      </c>
      <c r="CU215" s="1066">
        <f t="shared" si="169"/>
        <v>0</v>
      </c>
      <c r="CV215" s="1066">
        <f t="shared" si="170"/>
        <v>0</v>
      </c>
      <c r="CW215" s="1082">
        <f t="shared" si="171"/>
        <v>3.6375000000000002</v>
      </c>
      <c r="CX215" s="1082">
        <f t="shared" si="172"/>
        <v>5.82</v>
      </c>
    </row>
    <row r="216" spans="2:102" ht="18" customHeight="1">
      <c r="B216" s="402" t="s">
        <v>72</v>
      </c>
      <c r="C216" s="603"/>
      <c r="D216" s="603"/>
      <c r="E216" s="1052" t="s">
        <v>225</v>
      </c>
      <c r="F216" s="402" t="s">
        <v>73</v>
      </c>
      <c r="G216" s="556">
        <v>93.865170000000006</v>
      </c>
      <c r="H216" s="556">
        <v>19.091054</v>
      </c>
      <c r="I216" s="560" t="s">
        <v>33</v>
      </c>
      <c r="J216" s="560" t="s">
        <v>45</v>
      </c>
      <c r="K216" s="604" t="s">
        <v>641</v>
      </c>
      <c r="L216" s="428">
        <v>18</v>
      </c>
      <c r="M216" s="428">
        <v>77</v>
      </c>
      <c r="N216" s="570">
        <v>9874</v>
      </c>
      <c r="O216" s="328" t="s">
        <v>983</v>
      </c>
      <c r="P216" s="720" t="str">
        <f t="shared" si="132"/>
        <v>3. Large</v>
      </c>
      <c r="Q216" s="968" t="s">
        <v>153</v>
      </c>
      <c r="R216" s="625" t="s">
        <v>301</v>
      </c>
      <c r="S216" s="560" t="s">
        <v>71</v>
      </c>
      <c r="T216" s="323" t="str">
        <f t="shared" si="133"/>
        <v>Covered</v>
      </c>
      <c r="U216" s="561">
        <v>42338</v>
      </c>
      <c r="V216" s="1144"/>
      <c r="W216" s="558" t="s">
        <v>152</v>
      </c>
      <c r="X216" s="328">
        <v>0</v>
      </c>
      <c r="Y216" s="428">
        <v>0</v>
      </c>
      <c r="Z216" s="570" t="s">
        <v>43</v>
      </c>
      <c r="AA216" s="328">
        <v>2</v>
      </c>
      <c r="AB216" s="428">
        <v>0</v>
      </c>
      <c r="AC216" s="428">
        <v>0</v>
      </c>
      <c r="AD216" s="428">
        <v>0</v>
      </c>
      <c r="AE216" s="570"/>
      <c r="AF216" s="329">
        <v>0</v>
      </c>
      <c r="AG216" s="1124">
        <v>0</v>
      </c>
      <c r="AH216" s="630">
        <f t="shared" si="134"/>
        <v>5.0638039295118495E-2</v>
      </c>
      <c r="AI216" s="574">
        <f t="shared" si="135"/>
        <v>500</v>
      </c>
      <c r="AJ216" s="605">
        <f t="shared" si="136"/>
        <v>5.0638039295118495E-2</v>
      </c>
      <c r="AK216" s="574">
        <f t="shared" si="137"/>
        <v>500</v>
      </c>
      <c r="AL216" s="605">
        <f t="shared" si="138"/>
        <v>5.0638039295118495E-2</v>
      </c>
      <c r="AM216" s="574">
        <f t="shared" si="139"/>
        <v>500</v>
      </c>
      <c r="AN216" s="605" t="str">
        <f t="shared" si="140"/>
        <v>0-10%</v>
      </c>
      <c r="AO216" s="605">
        <f t="shared" si="141"/>
        <v>0</v>
      </c>
      <c r="AP216" s="574">
        <f t="shared" si="142"/>
        <v>0</v>
      </c>
      <c r="AQ216" s="574" t="str">
        <f t="shared" si="143"/>
        <v>no</v>
      </c>
      <c r="AR216" s="574">
        <f t="shared" si="144"/>
        <v>37.496000000000002</v>
      </c>
      <c r="AS216" s="574">
        <f t="shared" si="145"/>
        <v>0</v>
      </c>
      <c r="AT216" s="574">
        <f t="shared" si="146"/>
        <v>0</v>
      </c>
      <c r="AU216" s="1152">
        <v>1</v>
      </c>
      <c r="AV216" s="635">
        <f t="shared" si="147"/>
        <v>9874</v>
      </c>
      <c r="AW216" s="325"/>
      <c r="AX216" s="740">
        <v>0</v>
      </c>
      <c r="AY216" s="428">
        <v>20</v>
      </c>
      <c r="AZ216" s="428">
        <v>6</v>
      </c>
      <c r="BA216" s="473" t="s">
        <v>965</v>
      </c>
      <c r="BB216" s="548">
        <f t="shared" si="148"/>
        <v>1.2153129430828438E-2</v>
      </c>
      <c r="BC216" s="606">
        <f t="shared" si="149"/>
        <v>119.99999999999999</v>
      </c>
      <c r="BD216" s="548">
        <f t="shared" si="150"/>
        <v>1.2153129430828438E-2</v>
      </c>
      <c r="BE216" s="606">
        <f t="shared" si="151"/>
        <v>119.99999999999999</v>
      </c>
      <c r="BF216" s="549">
        <f t="shared" si="152"/>
        <v>0</v>
      </c>
      <c r="BG216" s="606">
        <f t="shared" si="153"/>
        <v>0</v>
      </c>
      <c r="BH216" s="519" t="s">
        <v>475</v>
      </c>
      <c r="BI216" s="429">
        <v>1</v>
      </c>
      <c r="BJ216" s="606">
        <f t="shared" si="174"/>
        <v>9874</v>
      </c>
      <c r="BK216" s="606" t="str">
        <f t="shared" si="154"/>
        <v>n/a</v>
      </c>
      <c r="BL216" s="428" t="s">
        <v>475</v>
      </c>
      <c r="BM216" s="548" t="str">
        <f t="shared" si="155"/>
        <v>n/a</v>
      </c>
      <c r="BN216" s="606" t="str">
        <f t="shared" si="156"/>
        <v>n/a</v>
      </c>
      <c r="BO216" s="606" t="str">
        <f t="shared" si="157"/>
        <v>n/a</v>
      </c>
      <c r="BP216" s="578" t="s">
        <v>475</v>
      </c>
      <c r="BQ216" s="606" t="s">
        <v>475</v>
      </c>
      <c r="BR216" s="519" t="s">
        <v>475</v>
      </c>
      <c r="BS216" s="548" t="str">
        <f t="shared" si="158"/>
        <v>n/a</v>
      </c>
      <c r="BT216" s="607" t="str">
        <f t="shared" si="159"/>
        <v>n/a</v>
      </c>
      <c r="BU216" s="1163" t="s">
        <v>475</v>
      </c>
      <c r="BV216" s="650" t="str">
        <f t="shared" si="160"/>
        <v>n/a</v>
      </c>
      <c r="BW216" s="636"/>
      <c r="BX216" s="430">
        <v>41781</v>
      </c>
      <c r="BY216" s="1190"/>
      <c r="BZ216" s="1190"/>
      <c r="CA216" s="608" t="str">
        <f t="shared" si="161"/>
        <v>n/a</v>
      </c>
      <c r="CB216" s="428">
        <v>12</v>
      </c>
      <c r="CC216" s="428">
        <v>6</v>
      </c>
      <c r="CD216" s="609" t="str">
        <f t="shared" si="162"/>
        <v>n/a</v>
      </c>
      <c r="CE216" s="610" t="str">
        <f t="shared" si="163"/>
        <v>n/a</v>
      </c>
      <c r="CF216" s="609" t="str">
        <f t="shared" si="164"/>
        <v>n/a</v>
      </c>
      <c r="CG216" s="658" t="str">
        <f t="shared" si="165"/>
        <v>n/a</v>
      </c>
      <c r="CH216" s="328" t="s">
        <v>238</v>
      </c>
      <c r="CI216" s="330">
        <v>0</v>
      </c>
      <c r="CJ216" s="664">
        <f t="shared" si="166"/>
        <v>0</v>
      </c>
      <c r="CK216" s="328">
        <v>0</v>
      </c>
      <c r="CL216" s="611" t="str">
        <f t="shared" si="175"/>
        <v>No coverage</v>
      </c>
      <c r="CM216" s="428" t="s">
        <v>38</v>
      </c>
      <c r="CN216" s="675" t="s">
        <v>475</v>
      </c>
      <c r="CO216" s="428" t="s">
        <v>169</v>
      </c>
      <c r="CP216" s="570" t="s">
        <v>169</v>
      </c>
      <c r="CQ216" s="1174" t="s">
        <v>482</v>
      </c>
      <c r="CS216" s="1069">
        <f t="shared" si="167"/>
        <v>8.1020862872189583E-2</v>
      </c>
      <c r="CT216" s="1069">
        <f t="shared" si="168"/>
        <v>5.0638039295118495E-2</v>
      </c>
      <c r="CU216" s="1066">
        <f t="shared" si="169"/>
        <v>8.1020862872189583E-2</v>
      </c>
      <c r="CV216" s="1066">
        <f t="shared" si="170"/>
        <v>5.0638039295118495E-2</v>
      </c>
      <c r="CW216" s="1082">
        <f t="shared" si="171"/>
        <v>22.684999999999999</v>
      </c>
      <c r="CX216" s="1082">
        <f t="shared" si="172"/>
        <v>37.496000000000002</v>
      </c>
    </row>
    <row r="217" spans="2:102" ht="18" customHeight="1">
      <c r="B217" s="402" t="s">
        <v>72</v>
      </c>
      <c r="C217" s="603"/>
      <c r="D217" s="603"/>
      <c r="E217" s="1052" t="s">
        <v>226</v>
      </c>
      <c r="F217" s="402" t="s">
        <v>74</v>
      </c>
      <c r="G217" s="556">
        <v>93.857592999999994</v>
      </c>
      <c r="H217" s="556">
        <v>19.088283000000001</v>
      </c>
      <c r="I217" s="560" t="s">
        <v>44</v>
      </c>
      <c r="J217" s="560" t="s">
        <v>34</v>
      </c>
      <c r="K217" s="604" t="s">
        <v>640</v>
      </c>
      <c r="L217" s="428">
        <v>60</v>
      </c>
      <c r="M217" s="428">
        <v>187</v>
      </c>
      <c r="N217" s="570">
        <v>187</v>
      </c>
      <c r="O217" s="328" t="s">
        <v>983</v>
      </c>
      <c r="P217" s="720" t="str">
        <f t="shared" si="132"/>
        <v>2. Medium</v>
      </c>
      <c r="Q217" s="968" t="s">
        <v>153</v>
      </c>
      <c r="R217" s="625" t="s">
        <v>301</v>
      </c>
      <c r="S217" s="560" t="s">
        <v>71</v>
      </c>
      <c r="T217" s="323" t="str">
        <f t="shared" si="133"/>
        <v>Covered</v>
      </c>
      <c r="U217" s="561">
        <v>42338</v>
      </c>
      <c r="V217" s="1144"/>
      <c r="W217" s="558" t="s">
        <v>152</v>
      </c>
      <c r="X217" s="328">
        <v>0</v>
      </c>
      <c r="Y217" s="428">
        <v>0</v>
      </c>
      <c r="Z217" s="570" t="s">
        <v>43</v>
      </c>
      <c r="AA217" s="328">
        <v>2</v>
      </c>
      <c r="AB217" s="428">
        <v>2</v>
      </c>
      <c r="AC217" s="428">
        <v>0</v>
      </c>
      <c r="AD217" s="428">
        <v>0</v>
      </c>
      <c r="AE217" s="570"/>
      <c r="AF217" s="329">
        <v>1</v>
      </c>
      <c r="AG217" s="1124">
        <v>0</v>
      </c>
      <c r="AH217" s="630">
        <f t="shared" si="134"/>
        <v>1</v>
      </c>
      <c r="AI217" s="574">
        <f t="shared" si="135"/>
        <v>187</v>
      </c>
      <c r="AJ217" s="605">
        <f t="shared" si="136"/>
        <v>1</v>
      </c>
      <c r="AK217" s="574">
        <f t="shared" si="137"/>
        <v>187</v>
      </c>
      <c r="AL217" s="605">
        <f t="shared" si="138"/>
        <v>1</v>
      </c>
      <c r="AM217" s="574">
        <f t="shared" si="139"/>
        <v>187</v>
      </c>
      <c r="AN217" s="605" t="str">
        <f t="shared" si="140"/>
        <v>80-100%</v>
      </c>
      <c r="AO217" s="605">
        <f t="shared" si="141"/>
        <v>0</v>
      </c>
      <c r="AP217" s="574">
        <f t="shared" si="142"/>
        <v>0</v>
      </c>
      <c r="AQ217" s="574" t="str">
        <f t="shared" si="143"/>
        <v>no</v>
      </c>
      <c r="AR217" s="574">
        <f t="shared" si="144"/>
        <v>0</v>
      </c>
      <c r="AS217" s="574">
        <f t="shared" si="145"/>
        <v>0</v>
      </c>
      <c r="AT217" s="574">
        <f t="shared" si="146"/>
        <v>187</v>
      </c>
      <c r="AU217" s="1152">
        <v>1</v>
      </c>
      <c r="AV217" s="635">
        <f t="shared" si="147"/>
        <v>187</v>
      </c>
      <c r="AW217" s="325"/>
      <c r="AX217" s="740">
        <v>0</v>
      </c>
      <c r="AY217" s="428">
        <v>24</v>
      </c>
      <c r="AZ217" s="428">
        <v>20</v>
      </c>
      <c r="BA217" s="473" t="s">
        <v>960</v>
      </c>
      <c r="BB217" s="548">
        <f t="shared" si="148"/>
        <v>1</v>
      </c>
      <c r="BC217" s="606">
        <f t="shared" si="149"/>
        <v>187</v>
      </c>
      <c r="BD217" s="548">
        <f t="shared" si="150"/>
        <v>1</v>
      </c>
      <c r="BE217" s="606">
        <f t="shared" si="151"/>
        <v>187</v>
      </c>
      <c r="BF217" s="549">
        <f t="shared" si="152"/>
        <v>0</v>
      </c>
      <c r="BG217" s="606">
        <f t="shared" si="153"/>
        <v>0</v>
      </c>
      <c r="BH217" s="428" t="s">
        <v>491</v>
      </c>
      <c r="BI217" s="429">
        <v>1</v>
      </c>
      <c r="BJ217" s="606">
        <f t="shared" si="174"/>
        <v>187</v>
      </c>
      <c r="BK217" s="606">
        <f t="shared" si="154"/>
        <v>0</v>
      </c>
      <c r="BL217" s="428">
        <v>8</v>
      </c>
      <c r="BM217" s="548">
        <f t="shared" si="155"/>
        <v>0.23957219251336898</v>
      </c>
      <c r="BN217" s="606">
        <f t="shared" si="156"/>
        <v>44.8</v>
      </c>
      <c r="BO217" s="606">
        <f t="shared" si="157"/>
        <v>25.392857142857146</v>
      </c>
      <c r="BP217" s="578">
        <v>1</v>
      </c>
      <c r="BQ217" s="606">
        <v>170</v>
      </c>
      <c r="BR217" s="519">
        <v>7</v>
      </c>
      <c r="BS217" s="548">
        <f t="shared" si="158"/>
        <v>1</v>
      </c>
      <c r="BT217" s="607">
        <f t="shared" si="159"/>
        <v>0</v>
      </c>
      <c r="BU217" s="1163">
        <v>1</v>
      </c>
      <c r="BV217" s="650">
        <f t="shared" si="160"/>
        <v>187</v>
      </c>
      <c r="BW217" s="636"/>
      <c r="BX217" s="430">
        <v>41781</v>
      </c>
      <c r="BY217" s="1190"/>
      <c r="BZ217" s="1190"/>
      <c r="CA217" s="608" t="str">
        <f t="shared" si="161"/>
        <v>To be done</v>
      </c>
      <c r="CB217" s="428">
        <v>57</v>
      </c>
      <c r="CC217" s="428">
        <v>1</v>
      </c>
      <c r="CD217" s="609">
        <f t="shared" si="162"/>
        <v>60</v>
      </c>
      <c r="CE217" s="610">
        <f t="shared" si="163"/>
        <v>0</v>
      </c>
      <c r="CF217" s="609">
        <f t="shared" si="164"/>
        <v>0</v>
      </c>
      <c r="CG217" s="658">
        <f t="shared" si="165"/>
        <v>16</v>
      </c>
      <c r="CH217" s="328" t="s">
        <v>743</v>
      </c>
      <c r="CI217" s="330">
        <v>0.75</v>
      </c>
      <c r="CJ217" s="664">
        <f t="shared" si="166"/>
        <v>140.25</v>
      </c>
      <c r="CK217" s="328">
        <v>10</v>
      </c>
      <c r="CL217" s="611" t="str">
        <f t="shared" si="175"/>
        <v>Excellent coverage</v>
      </c>
      <c r="CM217" s="428" t="s">
        <v>41</v>
      </c>
      <c r="CN217" s="428" t="s">
        <v>43</v>
      </c>
      <c r="CO217" s="428" t="s">
        <v>41</v>
      </c>
      <c r="CP217" s="570" t="s">
        <v>41</v>
      </c>
      <c r="CQ217" s="1171"/>
      <c r="CS217" s="1069">
        <f t="shared" si="167"/>
        <v>1</v>
      </c>
      <c r="CT217" s="1069">
        <f t="shared" si="168"/>
        <v>1</v>
      </c>
      <c r="CU217" s="1066">
        <f t="shared" si="169"/>
        <v>1</v>
      </c>
      <c r="CV217" s="1066">
        <f t="shared" si="170"/>
        <v>1</v>
      </c>
      <c r="CW217" s="1082">
        <f t="shared" si="171"/>
        <v>0</v>
      </c>
      <c r="CX217" s="1082">
        <f t="shared" si="172"/>
        <v>0</v>
      </c>
    </row>
    <row r="218" spans="2:102" ht="18" customHeight="1">
      <c r="B218" s="402" t="s">
        <v>64</v>
      </c>
      <c r="C218" s="603"/>
      <c r="D218" s="603"/>
      <c r="E218" s="1052">
        <v>197602</v>
      </c>
      <c r="F218" s="402" t="s">
        <v>437</v>
      </c>
      <c r="G218" s="556">
        <v>92.671099999999996</v>
      </c>
      <c r="H218" s="556">
        <v>20.547599999999999</v>
      </c>
      <c r="I218" s="560" t="s">
        <v>33</v>
      </c>
      <c r="J218" s="560" t="s">
        <v>34</v>
      </c>
      <c r="K218" s="604" t="s">
        <v>455</v>
      </c>
      <c r="L218" s="428">
        <v>0</v>
      </c>
      <c r="M218" s="428">
        <v>0</v>
      </c>
      <c r="N218" s="570">
        <v>453</v>
      </c>
      <c r="O218" s="328" t="s">
        <v>983</v>
      </c>
      <c r="P218" s="720" t="str">
        <f t="shared" si="132"/>
        <v>1. Small</v>
      </c>
      <c r="Q218" s="968" t="s">
        <v>153</v>
      </c>
      <c r="R218" s="625"/>
      <c r="S218" s="560" t="s">
        <v>172</v>
      </c>
      <c r="T218" s="323" t="str">
        <f t="shared" si="133"/>
        <v>Covered</v>
      </c>
      <c r="U218" s="561">
        <v>42369</v>
      </c>
      <c r="V218" s="1144"/>
      <c r="W218" s="558" t="s">
        <v>152</v>
      </c>
      <c r="X218" s="328">
        <v>0</v>
      </c>
      <c r="Y218" s="428">
        <v>0</v>
      </c>
      <c r="Z218" s="570" t="s">
        <v>43</v>
      </c>
      <c r="AA218" s="328">
        <v>0</v>
      </c>
      <c r="AB218" s="428">
        <v>0</v>
      </c>
      <c r="AC218" s="428">
        <v>0</v>
      </c>
      <c r="AD218" s="428">
        <v>1</v>
      </c>
      <c r="AE218" s="570"/>
      <c r="AF218" s="329">
        <v>0</v>
      </c>
      <c r="AG218" s="1124">
        <v>0</v>
      </c>
      <c r="AH218" s="630">
        <f t="shared" si="134"/>
        <v>0</v>
      </c>
      <c r="AI218" s="574">
        <f t="shared" si="135"/>
        <v>0</v>
      </c>
      <c r="AJ218" s="605">
        <f t="shared" si="136"/>
        <v>0</v>
      </c>
      <c r="AK218" s="574">
        <f t="shared" si="137"/>
        <v>0</v>
      </c>
      <c r="AL218" s="605">
        <f t="shared" si="138"/>
        <v>0</v>
      </c>
      <c r="AM218" s="574">
        <f t="shared" si="139"/>
        <v>0</v>
      </c>
      <c r="AN218" s="605" t="str">
        <f t="shared" si="140"/>
        <v>0-10%</v>
      </c>
      <c r="AO218" s="605">
        <f t="shared" si="141"/>
        <v>0</v>
      </c>
      <c r="AP218" s="574">
        <f t="shared" si="142"/>
        <v>0</v>
      </c>
      <c r="AQ218" s="574" t="str">
        <f t="shared" si="143"/>
        <v>yes</v>
      </c>
      <c r="AR218" s="574">
        <f t="shared" si="144"/>
        <v>1.8120000000000001</v>
      </c>
      <c r="AS218" s="574">
        <f t="shared" si="145"/>
        <v>0</v>
      </c>
      <c r="AT218" s="574">
        <f t="shared" si="146"/>
        <v>0</v>
      </c>
      <c r="AU218" s="1152">
        <v>0</v>
      </c>
      <c r="AV218" s="635">
        <f t="shared" si="147"/>
        <v>0</v>
      </c>
      <c r="AW218" s="325" t="s">
        <v>937</v>
      </c>
      <c r="AX218" s="740">
        <v>0</v>
      </c>
      <c r="AY218" s="428">
        <v>40</v>
      </c>
      <c r="AZ218" s="428">
        <v>6</v>
      </c>
      <c r="BA218" s="473" t="s">
        <v>526</v>
      </c>
      <c r="BB218" s="548">
        <f t="shared" si="148"/>
        <v>0.5298013245033113</v>
      </c>
      <c r="BC218" s="606">
        <f t="shared" si="149"/>
        <v>240.00000000000003</v>
      </c>
      <c r="BD218" s="548">
        <f t="shared" si="150"/>
        <v>0.5298013245033113</v>
      </c>
      <c r="BE218" s="606">
        <f t="shared" si="151"/>
        <v>240.00000000000003</v>
      </c>
      <c r="BF218" s="549">
        <f t="shared" si="152"/>
        <v>0</v>
      </c>
      <c r="BG218" s="606">
        <f t="shared" si="153"/>
        <v>0</v>
      </c>
      <c r="BH218" s="519" t="s">
        <v>475</v>
      </c>
      <c r="BI218" s="429">
        <v>0.53</v>
      </c>
      <c r="BJ218" s="606">
        <f t="shared" si="174"/>
        <v>240.09</v>
      </c>
      <c r="BK218" s="606" t="str">
        <f t="shared" si="154"/>
        <v>n/a</v>
      </c>
      <c r="BL218" s="428" t="s">
        <v>475</v>
      </c>
      <c r="BM218" s="548" t="str">
        <f t="shared" si="155"/>
        <v>n/a</v>
      </c>
      <c r="BN218" s="606" t="str">
        <f t="shared" si="156"/>
        <v>n/a</v>
      </c>
      <c r="BO218" s="606" t="str">
        <f t="shared" si="157"/>
        <v>n/a</v>
      </c>
      <c r="BP218" s="578" t="s">
        <v>475</v>
      </c>
      <c r="BQ218" s="606" t="s">
        <v>475</v>
      </c>
      <c r="BR218" s="519" t="s">
        <v>475</v>
      </c>
      <c r="BS218" s="548" t="str">
        <f t="shared" si="158"/>
        <v>n/a</v>
      </c>
      <c r="BT218" s="607" t="str">
        <f t="shared" si="159"/>
        <v>n/a</v>
      </c>
      <c r="BU218" s="1163">
        <v>0</v>
      </c>
      <c r="BV218" s="650" t="str">
        <f t="shared" si="160"/>
        <v>n/a</v>
      </c>
      <c r="BW218" s="636"/>
      <c r="BX218" s="470" t="s">
        <v>475</v>
      </c>
      <c r="BY218" s="1192"/>
      <c r="BZ218" s="1192"/>
      <c r="CA218" s="608" t="str">
        <f t="shared" si="161"/>
        <v>n/a</v>
      </c>
      <c r="CB218" s="428"/>
      <c r="CC218" s="428"/>
      <c r="CD218" s="609" t="str">
        <f t="shared" si="162"/>
        <v>n/a</v>
      </c>
      <c r="CE218" s="610" t="str">
        <f t="shared" si="163"/>
        <v>n/a</v>
      </c>
      <c r="CF218" s="609" t="str">
        <f t="shared" si="164"/>
        <v>n/a</v>
      </c>
      <c r="CG218" s="658" t="str">
        <f t="shared" si="165"/>
        <v>n/a</v>
      </c>
      <c r="CH218" s="328"/>
      <c r="CI218" s="330">
        <v>0.89370000000000005</v>
      </c>
      <c r="CJ218" s="664">
        <f t="shared" si="166"/>
        <v>404.84610000000004</v>
      </c>
      <c r="CK218" s="328"/>
      <c r="CL218" s="611" t="str">
        <f t="shared" si="175"/>
        <v>No coverage</v>
      </c>
      <c r="CM218" s="428" t="s">
        <v>169</v>
      </c>
      <c r="CN218" s="428" t="s">
        <v>475</v>
      </c>
      <c r="CO218" s="428" t="s">
        <v>170</v>
      </c>
      <c r="CP218" s="570" t="s">
        <v>170</v>
      </c>
      <c r="CQ218" s="1170"/>
      <c r="CS218" s="1069">
        <f t="shared" si="167"/>
        <v>0</v>
      </c>
      <c r="CT218" s="1069">
        <f t="shared" si="168"/>
        <v>0</v>
      </c>
      <c r="CU218" s="1066">
        <f t="shared" si="169"/>
        <v>0</v>
      </c>
      <c r="CV218" s="1066">
        <f t="shared" si="170"/>
        <v>0</v>
      </c>
      <c r="CW218" s="1082">
        <f t="shared" si="171"/>
        <v>1.1325000000000001</v>
      </c>
      <c r="CX218" s="1082">
        <f t="shared" si="172"/>
        <v>1.8120000000000001</v>
      </c>
    </row>
    <row r="219" spans="2:102" ht="18" customHeight="1">
      <c r="B219" s="402" t="s">
        <v>64</v>
      </c>
      <c r="C219" s="603"/>
      <c r="D219" s="603"/>
      <c r="E219" s="1052" t="s">
        <v>224</v>
      </c>
      <c r="F219" s="402" t="s">
        <v>69</v>
      </c>
      <c r="G219" s="556">
        <v>92.640022000000002</v>
      </c>
      <c r="H219" s="556">
        <v>20.569219</v>
      </c>
      <c r="I219" s="560" t="s">
        <v>44</v>
      </c>
      <c r="J219" s="560" t="s">
        <v>34</v>
      </c>
      <c r="K219" s="604" t="s">
        <v>640</v>
      </c>
      <c r="L219" s="428">
        <v>250</v>
      </c>
      <c r="M219" s="428">
        <v>1231</v>
      </c>
      <c r="N219" s="570">
        <v>1231</v>
      </c>
      <c r="O219" s="328" t="s">
        <v>983</v>
      </c>
      <c r="P219" s="720" t="str">
        <f t="shared" si="132"/>
        <v>2. Medium</v>
      </c>
      <c r="Q219" s="968" t="s">
        <v>153</v>
      </c>
      <c r="R219" s="625" t="s">
        <v>301</v>
      </c>
      <c r="S219" s="560" t="s">
        <v>172</v>
      </c>
      <c r="T219" s="323" t="str">
        <f t="shared" si="133"/>
        <v>Covered</v>
      </c>
      <c r="U219" s="561">
        <v>42369</v>
      </c>
      <c r="V219" s="1144"/>
      <c r="W219" s="558" t="s">
        <v>152</v>
      </c>
      <c r="X219" s="328">
        <v>0</v>
      </c>
      <c r="Y219" s="428">
        <v>0</v>
      </c>
      <c r="Z219" s="570" t="s">
        <v>43</v>
      </c>
      <c r="AA219" s="328">
        <v>0</v>
      </c>
      <c r="AB219" s="428">
        <v>1</v>
      </c>
      <c r="AC219" s="428">
        <v>0</v>
      </c>
      <c r="AD219" s="428">
        <v>0</v>
      </c>
      <c r="AE219" s="570"/>
      <c r="AF219" s="329">
        <v>0.1</v>
      </c>
      <c r="AG219" s="1124">
        <v>1</v>
      </c>
      <c r="AH219" s="630">
        <f t="shared" si="134"/>
        <v>0.40617384240454912</v>
      </c>
      <c r="AI219" s="574">
        <f t="shared" si="135"/>
        <v>499.99999999999994</v>
      </c>
      <c r="AJ219" s="605">
        <f t="shared" si="136"/>
        <v>0.40617384240454912</v>
      </c>
      <c r="AK219" s="574">
        <f t="shared" si="137"/>
        <v>499.99999999999994</v>
      </c>
      <c r="AL219" s="605">
        <f t="shared" si="138"/>
        <v>1</v>
      </c>
      <c r="AM219" s="574">
        <f t="shared" si="139"/>
        <v>1231</v>
      </c>
      <c r="AN219" s="605" t="str">
        <f t="shared" si="140"/>
        <v>30-45%</v>
      </c>
      <c r="AO219" s="605">
        <f t="shared" si="141"/>
        <v>0</v>
      </c>
      <c r="AP219" s="574">
        <f t="shared" si="142"/>
        <v>0</v>
      </c>
      <c r="AQ219" s="574" t="str">
        <f t="shared" si="143"/>
        <v>no</v>
      </c>
      <c r="AR219" s="574">
        <f t="shared" si="144"/>
        <v>2.0775000000000001</v>
      </c>
      <c r="AS219" s="574">
        <f t="shared" si="145"/>
        <v>1231</v>
      </c>
      <c r="AT219" s="574">
        <f t="shared" si="146"/>
        <v>123.10000000000001</v>
      </c>
      <c r="AU219" s="1152">
        <v>0.75</v>
      </c>
      <c r="AV219" s="635">
        <f t="shared" si="147"/>
        <v>923.25</v>
      </c>
      <c r="AW219" s="325" t="s">
        <v>883</v>
      </c>
      <c r="AX219" s="740">
        <v>0</v>
      </c>
      <c r="AY219" s="428">
        <v>20</v>
      </c>
      <c r="AZ219" s="428">
        <v>20</v>
      </c>
      <c r="BA219" s="473" t="s">
        <v>960</v>
      </c>
      <c r="BB219" s="548">
        <f t="shared" si="148"/>
        <v>0.3249390739236393</v>
      </c>
      <c r="BC219" s="606">
        <f t="shared" si="149"/>
        <v>400</v>
      </c>
      <c r="BD219" s="548">
        <f t="shared" si="150"/>
        <v>0.3249390739236393</v>
      </c>
      <c r="BE219" s="606">
        <f t="shared" si="151"/>
        <v>400</v>
      </c>
      <c r="BF219" s="549">
        <f t="shared" si="152"/>
        <v>0</v>
      </c>
      <c r="BG219" s="606">
        <f t="shared" si="153"/>
        <v>0</v>
      </c>
      <c r="BH219" s="519" t="s">
        <v>475</v>
      </c>
      <c r="BI219" s="429">
        <v>0.31</v>
      </c>
      <c r="BJ219" s="606">
        <f t="shared" si="174"/>
        <v>381.61</v>
      </c>
      <c r="BK219" s="606">
        <f t="shared" si="154"/>
        <v>41.55</v>
      </c>
      <c r="BL219" s="428">
        <v>0</v>
      </c>
      <c r="BM219" s="548">
        <f t="shared" si="155"/>
        <v>0</v>
      </c>
      <c r="BN219" s="606">
        <f t="shared" si="156"/>
        <v>0</v>
      </c>
      <c r="BO219" s="606">
        <f t="shared" si="157"/>
        <v>219.82142857142858</v>
      </c>
      <c r="BP219" s="578">
        <v>0</v>
      </c>
      <c r="BQ219" s="606">
        <v>0</v>
      </c>
      <c r="BR219" s="519">
        <v>0</v>
      </c>
      <c r="BS219" s="548">
        <f t="shared" si="158"/>
        <v>0</v>
      </c>
      <c r="BT219" s="607">
        <f t="shared" si="159"/>
        <v>12.31</v>
      </c>
      <c r="BU219" s="1163">
        <v>0</v>
      </c>
      <c r="BV219" s="650">
        <f t="shared" si="160"/>
        <v>0</v>
      </c>
      <c r="BW219" s="636" t="s">
        <v>1140</v>
      </c>
      <c r="BX219" s="470">
        <v>41636</v>
      </c>
      <c r="BY219" s="1192"/>
      <c r="BZ219" s="1192"/>
      <c r="CA219" s="608" t="str">
        <f t="shared" si="161"/>
        <v>To be done</v>
      </c>
      <c r="CB219" s="428">
        <v>500</v>
      </c>
      <c r="CC219" s="428">
        <v>1</v>
      </c>
      <c r="CD219" s="609">
        <f t="shared" si="162"/>
        <v>250</v>
      </c>
      <c r="CE219" s="610">
        <f t="shared" si="163"/>
        <v>0</v>
      </c>
      <c r="CF219" s="609">
        <f t="shared" si="164"/>
        <v>0</v>
      </c>
      <c r="CG219" s="658">
        <f t="shared" si="165"/>
        <v>20</v>
      </c>
      <c r="CH219" s="328" t="s">
        <v>236</v>
      </c>
      <c r="CI219" s="330">
        <v>0.48820000000000002</v>
      </c>
      <c r="CJ219" s="664">
        <f t="shared" si="166"/>
        <v>600.9742</v>
      </c>
      <c r="CK219" s="328"/>
      <c r="CL219" s="611" t="str">
        <f t="shared" si="175"/>
        <v>No coverage</v>
      </c>
      <c r="CM219" s="428" t="s">
        <v>170</v>
      </c>
      <c r="CN219" s="428" t="s">
        <v>475</v>
      </c>
      <c r="CO219" s="428" t="s">
        <v>170</v>
      </c>
      <c r="CP219" s="570" t="s">
        <v>170</v>
      </c>
      <c r="CQ219" s="1170"/>
      <c r="CS219" s="1069">
        <f t="shared" si="167"/>
        <v>0.40617384240454912</v>
      </c>
      <c r="CT219" s="1069">
        <f t="shared" si="168"/>
        <v>0.20308692120227456</v>
      </c>
      <c r="CU219" s="1066">
        <f t="shared" si="169"/>
        <v>0.40617384240454912</v>
      </c>
      <c r="CV219" s="1066">
        <f t="shared" si="170"/>
        <v>0.20308692120227456</v>
      </c>
      <c r="CW219" s="1082">
        <f t="shared" si="171"/>
        <v>2.0775000000000001</v>
      </c>
      <c r="CX219" s="1082">
        <f t="shared" si="172"/>
        <v>3.9240000000000004</v>
      </c>
    </row>
    <row r="220" spans="2:102" ht="18" customHeight="1">
      <c r="B220" s="402" t="s">
        <v>64</v>
      </c>
      <c r="C220" s="603"/>
      <c r="D220" s="603"/>
      <c r="E220" s="1052" t="s">
        <v>224</v>
      </c>
      <c r="F220" s="402" t="s">
        <v>69</v>
      </c>
      <c r="G220" s="556">
        <v>92.640022000000002</v>
      </c>
      <c r="H220" s="556">
        <v>20.569219</v>
      </c>
      <c r="I220" s="560" t="s">
        <v>33</v>
      </c>
      <c r="J220" s="560" t="s">
        <v>34</v>
      </c>
      <c r="K220" s="604" t="s">
        <v>607</v>
      </c>
      <c r="L220" s="428">
        <v>0</v>
      </c>
      <c r="M220" s="428">
        <v>0</v>
      </c>
      <c r="N220" s="570">
        <v>1743</v>
      </c>
      <c r="O220" s="328" t="s">
        <v>983</v>
      </c>
      <c r="P220" s="720" t="str">
        <f t="shared" si="132"/>
        <v>3. Large</v>
      </c>
      <c r="Q220" s="968" t="s">
        <v>153</v>
      </c>
      <c r="R220" s="625"/>
      <c r="S220" s="560" t="s">
        <v>172</v>
      </c>
      <c r="T220" s="323" t="str">
        <f t="shared" si="133"/>
        <v>Covered</v>
      </c>
      <c r="U220" s="561">
        <v>42369</v>
      </c>
      <c r="V220" s="1144"/>
      <c r="W220" s="558" t="s">
        <v>152</v>
      </c>
      <c r="X220" s="328">
        <v>0</v>
      </c>
      <c r="Y220" s="428">
        <v>0</v>
      </c>
      <c r="Z220" s="570" t="s">
        <v>43</v>
      </c>
      <c r="AA220" s="328">
        <v>0</v>
      </c>
      <c r="AB220" s="428">
        <v>0</v>
      </c>
      <c r="AC220" s="428">
        <v>0</v>
      </c>
      <c r="AD220" s="428">
        <v>7</v>
      </c>
      <c r="AE220" s="570"/>
      <c r="AF220" s="329">
        <v>0.1</v>
      </c>
      <c r="AG220" s="1124">
        <v>0</v>
      </c>
      <c r="AH220" s="630">
        <f t="shared" si="134"/>
        <v>0</v>
      </c>
      <c r="AI220" s="574">
        <f t="shared" si="135"/>
        <v>0</v>
      </c>
      <c r="AJ220" s="605">
        <f t="shared" si="136"/>
        <v>0</v>
      </c>
      <c r="AK220" s="574">
        <f t="shared" si="137"/>
        <v>0</v>
      </c>
      <c r="AL220" s="605">
        <f t="shared" si="138"/>
        <v>0</v>
      </c>
      <c r="AM220" s="574">
        <f t="shared" si="139"/>
        <v>0</v>
      </c>
      <c r="AN220" s="605" t="str">
        <f t="shared" si="140"/>
        <v>0-10%</v>
      </c>
      <c r="AO220" s="605">
        <f t="shared" si="141"/>
        <v>0</v>
      </c>
      <c r="AP220" s="574">
        <f t="shared" si="142"/>
        <v>0</v>
      </c>
      <c r="AQ220" s="574" t="str">
        <f t="shared" si="143"/>
        <v>yes</v>
      </c>
      <c r="AR220" s="574">
        <f t="shared" si="144"/>
        <v>6.9720000000000004</v>
      </c>
      <c r="AS220" s="574">
        <f t="shared" si="145"/>
        <v>0</v>
      </c>
      <c r="AT220" s="574">
        <f t="shared" si="146"/>
        <v>174.3</v>
      </c>
      <c r="AU220" s="1152">
        <v>0.14000000000000001</v>
      </c>
      <c r="AV220" s="635">
        <f t="shared" si="147"/>
        <v>244.02</v>
      </c>
      <c r="AW220" s="325" t="s">
        <v>679</v>
      </c>
      <c r="AX220" s="740">
        <v>0</v>
      </c>
      <c r="AY220" s="428">
        <v>3</v>
      </c>
      <c r="AZ220" s="428">
        <v>6</v>
      </c>
      <c r="BA220" s="473" t="s">
        <v>526</v>
      </c>
      <c r="BB220" s="548">
        <f t="shared" si="148"/>
        <v>1.0327022375215147E-2</v>
      </c>
      <c r="BC220" s="606">
        <f t="shared" si="149"/>
        <v>18</v>
      </c>
      <c r="BD220" s="548">
        <f t="shared" si="150"/>
        <v>1.0327022375215147E-2</v>
      </c>
      <c r="BE220" s="606">
        <f t="shared" si="151"/>
        <v>18</v>
      </c>
      <c r="BF220" s="549">
        <f t="shared" si="152"/>
        <v>0</v>
      </c>
      <c r="BG220" s="606">
        <f t="shared" si="153"/>
        <v>0</v>
      </c>
      <c r="BH220" s="519" t="s">
        <v>475</v>
      </c>
      <c r="BI220" s="429">
        <v>0.01</v>
      </c>
      <c r="BJ220" s="606">
        <f t="shared" si="174"/>
        <v>17.43</v>
      </c>
      <c r="BK220" s="606" t="str">
        <f t="shared" si="154"/>
        <v>n/a</v>
      </c>
      <c r="BL220" s="428" t="s">
        <v>475</v>
      </c>
      <c r="BM220" s="548" t="str">
        <f t="shared" si="155"/>
        <v>n/a</v>
      </c>
      <c r="BN220" s="606" t="str">
        <f t="shared" si="156"/>
        <v>n/a</v>
      </c>
      <c r="BO220" s="606" t="str">
        <f t="shared" si="157"/>
        <v>n/a</v>
      </c>
      <c r="BP220" s="578" t="s">
        <v>475</v>
      </c>
      <c r="BQ220" s="606" t="s">
        <v>475</v>
      </c>
      <c r="BR220" s="519" t="s">
        <v>475</v>
      </c>
      <c r="BS220" s="548" t="str">
        <f t="shared" si="158"/>
        <v>n/a</v>
      </c>
      <c r="BT220" s="607" t="str">
        <f t="shared" si="159"/>
        <v>n/a</v>
      </c>
      <c r="BU220" s="1163">
        <v>0</v>
      </c>
      <c r="BV220" s="650" t="str">
        <f t="shared" si="160"/>
        <v>n/a</v>
      </c>
      <c r="BW220" s="636" t="s">
        <v>1143</v>
      </c>
      <c r="BX220" s="470" t="s">
        <v>475</v>
      </c>
      <c r="BY220" s="1192"/>
      <c r="BZ220" s="1192"/>
      <c r="CA220" s="608" t="str">
        <f t="shared" si="161"/>
        <v>n/a</v>
      </c>
      <c r="CB220" s="428"/>
      <c r="CC220" s="428"/>
      <c r="CD220" s="609" t="str">
        <f t="shared" si="162"/>
        <v>n/a</v>
      </c>
      <c r="CE220" s="610" t="str">
        <f t="shared" si="163"/>
        <v>n/a</v>
      </c>
      <c r="CF220" s="609" t="str">
        <f t="shared" si="164"/>
        <v>n/a</v>
      </c>
      <c r="CG220" s="658" t="str">
        <f t="shared" si="165"/>
        <v>n/a</v>
      </c>
      <c r="CH220" s="328"/>
      <c r="CI220" s="330">
        <v>0.29370000000000002</v>
      </c>
      <c r="CJ220" s="664">
        <f t="shared" si="166"/>
        <v>511.91910000000001</v>
      </c>
      <c r="CK220" s="328"/>
      <c r="CL220" s="611" t="str">
        <f t="shared" si="175"/>
        <v>No coverage</v>
      </c>
      <c r="CM220" s="428" t="s">
        <v>169</v>
      </c>
      <c r="CN220" s="428" t="s">
        <v>475</v>
      </c>
      <c r="CO220" s="428" t="s">
        <v>169</v>
      </c>
      <c r="CP220" s="570" t="s">
        <v>170</v>
      </c>
      <c r="CQ220" s="1170"/>
      <c r="CS220" s="1069">
        <f t="shared" si="167"/>
        <v>0</v>
      </c>
      <c r="CT220" s="1069">
        <f t="shared" si="168"/>
        <v>0</v>
      </c>
      <c r="CU220" s="1066">
        <f t="shared" si="169"/>
        <v>0</v>
      </c>
      <c r="CV220" s="1066">
        <f t="shared" si="170"/>
        <v>0</v>
      </c>
      <c r="CW220" s="1082">
        <f t="shared" si="171"/>
        <v>4.3574999999999999</v>
      </c>
      <c r="CX220" s="1082">
        <f t="shared" si="172"/>
        <v>6.9720000000000004</v>
      </c>
    </row>
    <row r="221" spans="2:102" ht="18" customHeight="1">
      <c r="B221" s="721" t="s">
        <v>64</v>
      </c>
      <c r="C221" s="604"/>
      <c r="D221" s="604"/>
      <c r="E221" s="1054" t="s">
        <v>223</v>
      </c>
      <c r="F221" s="721" t="s">
        <v>68</v>
      </c>
      <c r="G221" s="722">
        <v>92.781294000000003</v>
      </c>
      <c r="H221" s="722">
        <v>20.399269</v>
      </c>
      <c r="I221" s="595" t="s">
        <v>33</v>
      </c>
      <c r="J221" s="595" t="s">
        <v>34</v>
      </c>
      <c r="K221" s="604" t="s">
        <v>1157</v>
      </c>
      <c r="L221" s="585">
        <v>32</v>
      </c>
      <c r="M221" s="585">
        <v>167</v>
      </c>
      <c r="N221" s="723">
        <v>2535</v>
      </c>
      <c r="O221" s="328" t="s">
        <v>983</v>
      </c>
      <c r="P221" s="1134" t="str">
        <f t="shared" si="132"/>
        <v>3. Large</v>
      </c>
      <c r="Q221" s="1135" t="s">
        <v>283</v>
      </c>
      <c r="R221" s="1137" t="s">
        <v>301</v>
      </c>
      <c r="S221" s="595" t="s">
        <v>54</v>
      </c>
      <c r="T221" s="323" t="str">
        <f t="shared" si="133"/>
        <v>Covered</v>
      </c>
      <c r="U221" s="561">
        <v>42490</v>
      </c>
      <c r="V221" s="1142"/>
      <c r="W221" s="558" t="s">
        <v>152</v>
      </c>
      <c r="X221" s="597">
        <v>0</v>
      </c>
      <c r="Y221" s="580">
        <v>0</v>
      </c>
      <c r="Z221" s="590" t="s">
        <v>43</v>
      </c>
      <c r="AA221" s="579">
        <v>48</v>
      </c>
      <c r="AB221" s="580">
        <v>0</v>
      </c>
      <c r="AC221" s="580">
        <v>0</v>
      </c>
      <c r="AD221" s="580">
        <v>0</v>
      </c>
      <c r="AE221" s="590"/>
      <c r="AF221" s="573">
        <v>0</v>
      </c>
      <c r="AG221" s="1152">
        <v>1</v>
      </c>
      <c r="AH221" s="630">
        <f t="shared" si="134"/>
        <v>1</v>
      </c>
      <c r="AI221" s="577">
        <f t="shared" si="135"/>
        <v>2535</v>
      </c>
      <c r="AJ221" s="605">
        <f t="shared" si="136"/>
        <v>1</v>
      </c>
      <c r="AK221" s="577">
        <f t="shared" si="137"/>
        <v>2535</v>
      </c>
      <c r="AL221" s="631">
        <f t="shared" si="138"/>
        <v>1</v>
      </c>
      <c r="AM221" s="577">
        <f t="shared" si="139"/>
        <v>2535</v>
      </c>
      <c r="AN221" s="633" t="str">
        <f t="shared" si="140"/>
        <v>80-100%</v>
      </c>
      <c r="AO221" s="631">
        <f t="shared" si="141"/>
        <v>0</v>
      </c>
      <c r="AP221" s="577">
        <f t="shared" si="142"/>
        <v>0</v>
      </c>
      <c r="AQ221" s="577" t="str">
        <f t="shared" si="143"/>
        <v>no</v>
      </c>
      <c r="AR221" s="574">
        <f t="shared" si="144"/>
        <v>0</v>
      </c>
      <c r="AS221" s="574">
        <f t="shared" si="145"/>
        <v>2535</v>
      </c>
      <c r="AT221" s="574">
        <f t="shared" si="146"/>
        <v>0</v>
      </c>
      <c r="AU221" s="1152">
        <v>1</v>
      </c>
      <c r="AV221" s="635">
        <f t="shared" si="147"/>
        <v>2535</v>
      </c>
      <c r="AW221" s="584"/>
      <c r="AX221" s="1079">
        <v>0</v>
      </c>
      <c r="AY221" s="580">
        <v>0</v>
      </c>
      <c r="AZ221" s="428">
        <v>6</v>
      </c>
      <c r="BA221" s="428" t="s">
        <v>963</v>
      </c>
      <c r="BB221" s="548">
        <f t="shared" si="148"/>
        <v>0</v>
      </c>
      <c r="BC221" s="606">
        <f t="shared" si="149"/>
        <v>0</v>
      </c>
      <c r="BD221" s="548">
        <f t="shared" si="150"/>
        <v>0</v>
      </c>
      <c r="BE221" s="576">
        <f t="shared" si="151"/>
        <v>0</v>
      </c>
      <c r="BF221" s="646">
        <f t="shared" si="152"/>
        <v>0</v>
      </c>
      <c r="BG221" s="606">
        <f t="shared" si="153"/>
        <v>0</v>
      </c>
      <c r="BH221" s="580" t="s">
        <v>475</v>
      </c>
      <c r="BI221" s="586">
        <v>1</v>
      </c>
      <c r="BJ221" s="606">
        <f t="shared" si="174"/>
        <v>2535</v>
      </c>
      <c r="BK221" s="596" t="str">
        <f t="shared" si="154"/>
        <v>n/a</v>
      </c>
      <c r="BL221" s="580" t="s">
        <v>475</v>
      </c>
      <c r="BM221" s="645" t="str">
        <f t="shared" si="155"/>
        <v>n/a</v>
      </c>
      <c r="BN221" s="606" t="str">
        <f t="shared" si="156"/>
        <v>n/a</v>
      </c>
      <c r="BO221" s="596" t="str">
        <f t="shared" si="157"/>
        <v>n/a</v>
      </c>
      <c r="BP221" s="647" t="s">
        <v>475</v>
      </c>
      <c r="BQ221" s="606" t="s">
        <v>475</v>
      </c>
      <c r="BR221" s="593" t="s">
        <v>475</v>
      </c>
      <c r="BS221" s="645" t="str">
        <f t="shared" si="158"/>
        <v>n/a</v>
      </c>
      <c r="BT221" s="648" t="str">
        <f t="shared" si="159"/>
        <v>n/a</v>
      </c>
      <c r="BU221" s="1161" t="s">
        <v>475</v>
      </c>
      <c r="BV221" s="650" t="str">
        <f t="shared" si="160"/>
        <v>n/a</v>
      </c>
      <c r="BW221" s="637"/>
      <c r="BX221" s="591">
        <v>41866</v>
      </c>
      <c r="BY221" s="1193"/>
      <c r="BZ221" s="1193"/>
      <c r="CA221" s="659" t="str">
        <f t="shared" si="161"/>
        <v>n/a</v>
      </c>
      <c r="CB221" s="580">
        <v>56</v>
      </c>
      <c r="CC221" s="580">
        <v>6</v>
      </c>
      <c r="CD221" s="660" t="str">
        <f t="shared" si="162"/>
        <v>n/a</v>
      </c>
      <c r="CE221" s="661" t="str">
        <f t="shared" si="163"/>
        <v>n/a</v>
      </c>
      <c r="CF221" s="609" t="str">
        <f t="shared" si="164"/>
        <v>n/a</v>
      </c>
      <c r="CG221" s="662" t="str">
        <f t="shared" si="165"/>
        <v>n/a</v>
      </c>
      <c r="CH221" s="579" t="s">
        <v>505</v>
      </c>
      <c r="CI221" s="330">
        <v>0.89</v>
      </c>
      <c r="CJ221" s="664">
        <f t="shared" si="166"/>
        <v>2256.15</v>
      </c>
      <c r="CK221" s="579">
        <v>5</v>
      </c>
      <c r="CL221" s="674" t="str">
        <f t="shared" si="175"/>
        <v>Good coverage</v>
      </c>
      <c r="CM221" s="580" t="s">
        <v>169</v>
      </c>
      <c r="CN221" s="580" t="s">
        <v>475</v>
      </c>
      <c r="CO221" s="580" t="s">
        <v>169</v>
      </c>
      <c r="CP221" s="590" t="s">
        <v>475</v>
      </c>
      <c r="CQ221" s="1168"/>
      <c r="CS221" s="1069">
        <f t="shared" si="167"/>
        <v>1</v>
      </c>
      <c r="CT221" s="1069">
        <f t="shared" si="168"/>
        <v>1</v>
      </c>
      <c r="CU221" s="1066">
        <f t="shared" si="169"/>
        <v>1</v>
      </c>
      <c r="CV221" s="1066">
        <f t="shared" si="170"/>
        <v>1</v>
      </c>
      <c r="CW221" s="1082">
        <f t="shared" si="171"/>
        <v>0</v>
      </c>
      <c r="CX221" s="1082">
        <f t="shared" si="172"/>
        <v>0</v>
      </c>
    </row>
    <row r="222" spans="2:102" ht="18" customHeight="1">
      <c r="B222" s="402" t="s">
        <v>64</v>
      </c>
      <c r="C222" s="603"/>
      <c r="D222" s="603"/>
      <c r="E222" s="1052">
        <v>197603</v>
      </c>
      <c r="F222" s="402" t="s">
        <v>438</v>
      </c>
      <c r="G222" s="556">
        <v>92.674199999999999</v>
      </c>
      <c r="H222" s="556">
        <v>20.553599999999999</v>
      </c>
      <c r="I222" s="560" t="s">
        <v>33</v>
      </c>
      <c r="J222" s="560" t="s">
        <v>34</v>
      </c>
      <c r="K222" s="604" t="s">
        <v>455</v>
      </c>
      <c r="L222" s="428">
        <v>0</v>
      </c>
      <c r="M222" s="428">
        <v>0</v>
      </c>
      <c r="N222" s="570">
        <v>3282</v>
      </c>
      <c r="O222" s="328" t="s">
        <v>983</v>
      </c>
      <c r="P222" s="720" t="str">
        <f t="shared" si="132"/>
        <v>3. Large</v>
      </c>
      <c r="Q222" s="968" t="s">
        <v>153</v>
      </c>
      <c r="R222" s="625"/>
      <c r="S222" s="560" t="s">
        <v>172</v>
      </c>
      <c r="T222" s="323" t="str">
        <f t="shared" si="133"/>
        <v>Covered</v>
      </c>
      <c r="U222" s="561">
        <v>42369</v>
      </c>
      <c r="V222" s="1144"/>
      <c r="W222" s="558" t="s">
        <v>152</v>
      </c>
      <c r="X222" s="328">
        <v>0</v>
      </c>
      <c r="Y222" s="428">
        <v>0</v>
      </c>
      <c r="Z222" s="570" t="s">
        <v>43</v>
      </c>
      <c r="AA222" s="328">
        <v>0</v>
      </c>
      <c r="AB222" s="428">
        <v>0</v>
      </c>
      <c r="AC222" s="428">
        <v>0</v>
      </c>
      <c r="AD222" s="428">
        <v>15</v>
      </c>
      <c r="AE222" s="570"/>
      <c r="AF222" s="329">
        <v>0</v>
      </c>
      <c r="AG222" s="1124">
        <v>0</v>
      </c>
      <c r="AH222" s="630">
        <f t="shared" si="134"/>
        <v>0</v>
      </c>
      <c r="AI222" s="574">
        <f t="shared" si="135"/>
        <v>0</v>
      </c>
      <c r="AJ222" s="605">
        <f t="shared" si="136"/>
        <v>0</v>
      </c>
      <c r="AK222" s="574">
        <f t="shared" si="137"/>
        <v>0</v>
      </c>
      <c r="AL222" s="605">
        <f t="shared" si="138"/>
        <v>0</v>
      </c>
      <c r="AM222" s="574">
        <f t="shared" si="139"/>
        <v>0</v>
      </c>
      <c r="AN222" s="605" t="str">
        <f t="shared" si="140"/>
        <v>0-10%</v>
      </c>
      <c r="AO222" s="605">
        <f t="shared" si="141"/>
        <v>0</v>
      </c>
      <c r="AP222" s="574">
        <f t="shared" si="142"/>
        <v>0</v>
      </c>
      <c r="AQ222" s="574" t="str">
        <f t="shared" si="143"/>
        <v>yes</v>
      </c>
      <c r="AR222" s="574">
        <f t="shared" si="144"/>
        <v>13.128</v>
      </c>
      <c r="AS222" s="574">
        <f t="shared" si="145"/>
        <v>0</v>
      </c>
      <c r="AT222" s="574">
        <f t="shared" si="146"/>
        <v>0</v>
      </c>
      <c r="AU222" s="1152">
        <v>0</v>
      </c>
      <c r="AV222" s="635">
        <f t="shared" si="147"/>
        <v>0</v>
      </c>
      <c r="AW222" s="325" t="s">
        <v>938</v>
      </c>
      <c r="AX222" s="740">
        <v>0</v>
      </c>
      <c r="AY222" s="428">
        <v>35</v>
      </c>
      <c r="AZ222" s="428">
        <v>6</v>
      </c>
      <c r="BA222" s="473" t="s">
        <v>526</v>
      </c>
      <c r="BB222" s="548">
        <f t="shared" si="148"/>
        <v>6.3985374771480807E-2</v>
      </c>
      <c r="BC222" s="606">
        <f t="shared" si="149"/>
        <v>210</v>
      </c>
      <c r="BD222" s="548">
        <f t="shared" si="150"/>
        <v>6.3985374771480807E-2</v>
      </c>
      <c r="BE222" s="606">
        <f t="shared" si="151"/>
        <v>210</v>
      </c>
      <c r="BF222" s="549">
        <f t="shared" si="152"/>
        <v>0</v>
      </c>
      <c r="BG222" s="606">
        <f t="shared" si="153"/>
        <v>0</v>
      </c>
      <c r="BH222" s="519" t="s">
        <v>475</v>
      </c>
      <c r="BI222" s="429">
        <v>0.06</v>
      </c>
      <c r="BJ222" s="606">
        <f t="shared" si="174"/>
        <v>196.92</v>
      </c>
      <c r="BK222" s="606" t="str">
        <f t="shared" si="154"/>
        <v>n/a</v>
      </c>
      <c r="BL222" s="428" t="s">
        <v>475</v>
      </c>
      <c r="BM222" s="548" t="str">
        <f t="shared" si="155"/>
        <v>n/a</v>
      </c>
      <c r="BN222" s="606" t="str">
        <f t="shared" si="156"/>
        <v>n/a</v>
      </c>
      <c r="BO222" s="606" t="str">
        <f t="shared" si="157"/>
        <v>n/a</v>
      </c>
      <c r="BP222" s="578" t="s">
        <v>475</v>
      </c>
      <c r="BQ222" s="606" t="s">
        <v>475</v>
      </c>
      <c r="BR222" s="519" t="s">
        <v>475</v>
      </c>
      <c r="BS222" s="548" t="str">
        <f t="shared" si="158"/>
        <v>n/a</v>
      </c>
      <c r="BT222" s="607" t="str">
        <f t="shared" si="159"/>
        <v>n/a</v>
      </c>
      <c r="BU222" s="1163">
        <v>0</v>
      </c>
      <c r="BV222" s="650" t="str">
        <f t="shared" si="160"/>
        <v>n/a</v>
      </c>
      <c r="BW222" s="636" t="s">
        <v>1141</v>
      </c>
      <c r="BX222" s="470" t="s">
        <v>475</v>
      </c>
      <c r="BY222" s="1192"/>
      <c r="BZ222" s="1192"/>
      <c r="CA222" s="608" t="str">
        <f t="shared" si="161"/>
        <v>n/a</v>
      </c>
      <c r="CB222" s="428"/>
      <c r="CC222" s="428"/>
      <c r="CD222" s="609" t="str">
        <f t="shared" si="162"/>
        <v>n/a</v>
      </c>
      <c r="CE222" s="610" t="str">
        <f t="shared" si="163"/>
        <v>n/a</v>
      </c>
      <c r="CF222" s="609" t="str">
        <f t="shared" si="164"/>
        <v>n/a</v>
      </c>
      <c r="CG222" s="658" t="str">
        <f t="shared" si="165"/>
        <v>n/a</v>
      </c>
      <c r="CH222" s="328"/>
      <c r="CI222" s="330">
        <v>0.15379999999999999</v>
      </c>
      <c r="CJ222" s="664">
        <f t="shared" si="166"/>
        <v>504.77159999999998</v>
      </c>
      <c r="CK222" s="328">
        <v>1</v>
      </c>
      <c r="CL222" s="611" t="str">
        <f t="shared" si="175"/>
        <v>Low coverage</v>
      </c>
      <c r="CM222" s="428" t="s">
        <v>169</v>
      </c>
      <c r="CN222" s="428" t="s">
        <v>475</v>
      </c>
      <c r="CO222" s="428" t="s">
        <v>170</v>
      </c>
      <c r="CP222" s="570" t="s">
        <v>170</v>
      </c>
      <c r="CQ222" s="1170"/>
      <c r="CS222" s="1069">
        <f t="shared" si="167"/>
        <v>0</v>
      </c>
      <c r="CT222" s="1069">
        <f t="shared" si="168"/>
        <v>0</v>
      </c>
      <c r="CU222" s="1066">
        <f t="shared" si="169"/>
        <v>0</v>
      </c>
      <c r="CV222" s="1066">
        <f t="shared" si="170"/>
        <v>0</v>
      </c>
      <c r="CW222" s="1082">
        <f t="shared" si="171"/>
        <v>8.2050000000000001</v>
      </c>
      <c r="CX222" s="1082">
        <f t="shared" si="172"/>
        <v>13.128</v>
      </c>
    </row>
    <row r="223" spans="2:102" ht="18" customHeight="1">
      <c r="B223" s="402" t="s">
        <v>64</v>
      </c>
      <c r="C223" s="603"/>
      <c r="D223" s="603"/>
      <c r="E223" s="1052"/>
      <c r="F223" s="402" t="s">
        <v>439</v>
      </c>
      <c r="G223" s="556">
        <v>92.691800000000001</v>
      </c>
      <c r="H223" s="556">
        <v>20.59</v>
      </c>
      <c r="I223" s="560" t="s">
        <v>33</v>
      </c>
      <c r="J223" s="560" t="s">
        <v>45</v>
      </c>
      <c r="K223" s="604" t="s">
        <v>455</v>
      </c>
      <c r="L223" s="428">
        <v>0</v>
      </c>
      <c r="M223" s="428">
        <v>0</v>
      </c>
      <c r="N223" s="570">
        <v>756</v>
      </c>
      <c r="O223" s="328" t="s">
        <v>983</v>
      </c>
      <c r="P223" s="720" t="str">
        <f t="shared" si="132"/>
        <v>2. Medium</v>
      </c>
      <c r="Q223" s="968" t="s">
        <v>153</v>
      </c>
      <c r="R223" s="625"/>
      <c r="S223" s="560" t="s">
        <v>172</v>
      </c>
      <c r="T223" s="323" t="str">
        <f t="shared" si="133"/>
        <v>Covered</v>
      </c>
      <c r="U223" s="561">
        <v>42369</v>
      </c>
      <c r="V223" s="1144"/>
      <c r="W223" s="558" t="s">
        <v>152</v>
      </c>
      <c r="X223" s="328">
        <v>0</v>
      </c>
      <c r="Y223" s="428">
        <v>0</v>
      </c>
      <c r="Z223" s="570" t="s">
        <v>43</v>
      </c>
      <c r="AA223" s="328">
        <v>0</v>
      </c>
      <c r="AB223" s="428">
        <v>0</v>
      </c>
      <c r="AC223" s="428">
        <v>0</v>
      </c>
      <c r="AD223" s="428">
        <v>2</v>
      </c>
      <c r="AE223" s="570"/>
      <c r="AF223" s="329">
        <v>0</v>
      </c>
      <c r="AG223" s="1124">
        <v>1</v>
      </c>
      <c r="AH223" s="630">
        <f t="shared" si="134"/>
        <v>0</v>
      </c>
      <c r="AI223" s="574">
        <f t="shared" si="135"/>
        <v>0</v>
      </c>
      <c r="AJ223" s="605">
        <f t="shared" si="136"/>
        <v>0</v>
      </c>
      <c r="AK223" s="574">
        <f t="shared" si="137"/>
        <v>0</v>
      </c>
      <c r="AL223" s="605">
        <f t="shared" si="138"/>
        <v>1</v>
      </c>
      <c r="AM223" s="574">
        <f t="shared" si="139"/>
        <v>756</v>
      </c>
      <c r="AN223" s="605" t="str">
        <f t="shared" si="140"/>
        <v>0-10%</v>
      </c>
      <c r="AO223" s="605">
        <f t="shared" si="141"/>
        <v>0</v>
      </c>
      <c r="AP223" s="574">
        <f t="shared" si="142"/>
        <v>0</v>
      </c>
      <c r="AQ223" s="574" t="str">
        <f t="shared" si="143"/>
        <v>yes</v>
      </c>
      <c r="AR223" s="574">
        <f t="shared" si="144"/>
        <v>3.024</v>
      </c>
      <c r="AS223" s="574">
        <f t="shared" si="145"/>
        <v>756</v>
      </c>
      <c r="AT223" s="574">
        <f t="shared" si="146"/>
        <v>0</v>
      </c>
      <c r="AU223" s="1152">
        <v>0</v>
      </c>
      <c r="AV223" s="635">
        <f t="shared" si="147"/>
        <v>0</v>
      </c>
      <c r="AW223" s="325" t="s">
        <v>682</v>
      </c>
      <c r="AX223" s="740">
        <v>0</v>
      </c>
      <c r="AY223" s="428">
        <v>45</v>
      </c>
      <c r="AZ223" s="428">
        <v>6</v>
      </c>
      <c r="BA223" s="473" t="s">
        <v>526</v>
      </c>
      <c r="BB223" s="548">
        <f t="shared" si="148"/>
        <v>0.35714285714285715</v>
      </c>
      <c r="BC223" s="606">
        <f t="shared" si="149"/>
        <v>270</v>
      </c>
      <c r="BD223" s="548">
        <f t="shared" si="150"/>
        <v>0.35714285714285715</v>
      </c>
      <c r="BE223" s="606">
        <f t="shared" si="151"/>
        <v>270</v>
      </c>
      <c r="BF223" s="549">
        <f t="shared" si="152"/>
        <v>0</v>
      </c>
      <c r="BG223" s="606">
        <f t="shared" si="153"/>
        <v>0</v>
      </c>
      <c r="BH223" s="519" t="s">
        <v>475</v>
      </c>
      <c r="BI223" s="429">
        <v>0.36</v>
      </c>
      <c r="BJ223" s="606">
        <f t="shared" si="174"/>
        <v>272.15999999999997</v>
      </c>
      <c r="BK223" s="606" t="str">
        <f t="shared" si="154"/>
        <v>n/a</v>
      </c>
      <c r="BL223" s="428" t="s">
        <v>475</v>
      </c>
      <c r="BM223" s="548" t="str">
        <f t="shared" si="155"/>
        <v>n/a</v>
      </c>
      <c r="BN223" s="606" t="str">
        <f t="shared" si="156"/>
        <v>n/a</v>
      </c>
      <c r="BO223" s="606" t="str">
        <f t="shared" si="157"/>
        <v>n/a</v>
      </c>
      <c r="BP223" s="578" t="s">
        <v>475</v>
      </c>
      <c r="BQ223" s="606" t="s">
        <v>475</v>
      </c>
      <c r="BR223" s="519" t="s">
        <v>475</v>
      </c>
      <c r="BS223" s="548" t="str">
        <f t="shared" si="158"/>
        <v>n/a</v>
      </c>
      <c r="BT223" s="607" t="str">
        <f t="shared" si="159"/>
        <v>n/a</v>
      </c>
      <c r="BU223" s="1163">
        <v>0</v>
      </c>
      <c r="BV223" s="650" t="str">
        <f t="shared" si="160"/>
        <v>n/a</v>
      </c>
      <c r="BW223" s="636" t="s">
        <v>1141</v>
      </c>
      <c r="BX223" s="470" t="s">
        <v>475</v>
      </c>
      <c r="BY223" s="1192"/>
      <c r="BZ223" s="1192"/>
      <c r="CA223" s="608" t="str">
        <f t="shared" si="161"/>
        <v>n/a</v>
      </c>
      <c r="CB223" s="428"/>
      <c r="CC223" s="428"/>
      <c r="CD223" s="609" t="str">
        <f t="shared" si="162"/>
        <v>n/a</v>
      </c>
      <c r="CE223" s="610" t="str">
        <f t="shared" si="163"/>
        <v>n/a</v>
      </c>
      <c r="CF223" s="609" t="str">
        <f t="shared" si="164"/>
        <v>n/a</v>
      </c>
      <c r="CG223" s="658" t="str">
        <f t="shared" si="165"/>
        <v>n/a</v>
      </c>
      <c r="CH223" s="328"/>
      <c r="CI223" s="330">
        <v>0.1404</v>
      </c>
      <c r="CJ223" s="664">
        <f t="shared" si="166"/>
        <v>106.14239999999999</v>
      </c>
      <c r="CK223" s="328"/>
      <c r="CL223" s="611" t="str">
        <f t="shared" si="175"/>
        <v>No coverage</v>
      </c>
      <c r="CM223" s="428" t="s">
        <v>169</v>
      </c>
      <c r="CN223" s="428" t="s">
        <v>475</v>
      </c>
      <c r="CO223" s="428" t="s">
        <v>170</v>
      </c>
      <c r="CP223" s="570" t="s">
        <v>170</v>
      </c>
      <c r="CQ223" s="1170"/>
      <c r="CS223" s="1069">
        <f t="shared" si="167"/>
        <v>0</v>
      </c>
      <c r="CT223" s="1069">
        <f t="shared" si="168"/>
        <v>0</v>
      </c>
      <c r="CU223" s="1066">
        <f t="shared" si="169"/>
        <v>0</v>
      </c>
      <c r="CV223" s="1066">
        <f t="shared" si="170"/>
        <v>0</v>
      </c>
      <c r="CW223" s="1082">
        <f t="shared" si="171"/>
        <v>1.89</v>
      </c>
      <c r="CX223" s="1082">
        <f t="shared" si="172"/>
        <v>3.024</v>
      </c>
    </row>
    <row r="224" spans="2:102" ht="18" customHeight="1">
      <c r="B224" s="402" t="s">
        <v>64</v>
      </c>
      <c r="C224" s="603"/>
      <c r="D224" s="603"/>
      <c r="E224" s="1052">
        <v>197601</v>
      </c>
      <c r="F224" s="402" t="s">
        <v>440</v>
      </c>
      <c r="G224" s="556">
        <v>92.648399999999995</v>
      </c>
      <c r="H224" s="556">
        <v>20.546399999999998</v>
      </c>
      <c r="I224" s="560" t="s">
        <v>33</v>
      </c>
      <c r="J224" s="560" t="s">
        <v>34</v>
      </c>
      <c r="K224" s="604" t="s">
        <v>455</v>
      </c>
      <c r="L224" s="428">
        <v>0</v>
      </c>
      <c r="M224" s="428">
        <v>0</v>
      </c>
      <c r="N224" s="570">
        <v>991</v>
      </c>
      <c r="O224" s="328" t="s">
        <v>983</v>
      </c>
      <c r="P224" s="720" t="str">
        <f t="shared" si="132"/>
        <v>2. Medium</v>
      </c>
      <c r="Q224" s="968" t="s">
        <v>153</v>
      </c>
      <c r="R224" s="625"/>
      <c r="S224" s="560" t="s">
        <v>172</v>
      </c>
      <c r="T224" s="323" t="str">
        <f t="shared" si="133"/>
        <v>Covered</v>
      </c>
      <c r="U224" s="561">
        <v>42369</v>
      </c>
      <c r="V224" s="1144"/>
      <c r="W224" s="558" t="s">
        <v>152</v>
      </c>
      <c r="X224" s="328">
        <v>0</v>
      </c>
      <c r="Y224" s="428">
        <v>0</v>
      </c>
      <c r="Z224" s="570" t="s">
        <v>43</v>
      </c>
      <c r="AA224" s="328">
        <v>0</v>
      </c>
      <c r="AB224" s="428">
        <v>0</v>
      </c>
      <c r="AC224" s="428">
        <v>0</v>
      </c>
      <c r="AD224" s="428">
        <v>3</v>
      </c>
      <c r="AE224" s="570"/>
      <c r="AF224" s="329">
        <v>0</v>
      </c>
      <c r="AG224" s="1124">
        <v>0</v>
      </c>
      <c r="AH224" s="630">
        <f t="shared" si="134"/>
        <v>0</v>
      </c>
      <c r="AI224" s="574">
        <f t="shared" si="135"/>
        <v>0</v>
      </c>
      <c r="AJ224" s="605">
        <f t="shared" si="136"/>
        <v>0</v>
      </c>
      <c r="AK224" s="574">
        <f t="shared" si="137"/>
        <v>0</v>
      </c>
      <c r="AL224" s="605">
        <f t="shared" si="138"/>
        <v>0</v>
      </c>
      <c r="AM224" s="574">
        <f t="shared" si="139"/>
        <v>0</v>
      </c>
      <c r="AN224" s="605" t="str">
        <f t="shared" si="140"/>
        <v>0-10%</v>
      </c>
      <c r="AO224" s="605">
        <f t="shared" si="141"/>
        <v>0</v>
      </c>
      <c r="AP224" s="574">
        <f t="shared" si="142"/>
        <v>0</v>
      </c>
      <c r="AQ224" s="574" t="str">
        <f t="shared" si="143"/>
        <v>yes</v>
      </c>
      <c r="AR224" s="574">
        <f t="shared" si="144"/>
        <v>3.964</v>
      </c>
      <c r="AS224" s="574">
        <f t="shared" si="145"/>
        <v>0</v>
      </c>
      <c r="AT224" s="574">
        <f t="shared" si="146"/>
        <v>0</v>
      </c>
      <c r="AU224" s="1152">
        <v>0</v>
      </c>
      <c r="AV224" s="635">
        <f t="shared" si="147"/>
        <v>0</v>
      </c>
      <c r="AW224" s="325" t="s">
        <v>740</v>
      </c>
      <c r="AX224" s="740">
        <v>0</v>
      </c>
      <c r="AY224" s="428">
        <v>59</v>
      </c>
      <c r="AZ224" s="428">
        <v>6</v>
      </c>
      <c r="BA224" s="473" t="s">
        <v>526</v>
      </c>
      <c r="BB224" s="548">
        <f t="shared" si="148"/>
        <v>0.35721493440968716</v>
      </c>
      <c r="BC224" s="606">
        <f t="shared" si="149"/>
        <v>354</v>
      </c>
      <c r="BD224" s="548">
        <f t="shared" si="150"/>
        <v>0.35721493440968716</v>
      </c>
      <c r="BE224" s="606">
        <f t="shared" si="151"/>
        <v>354</v>
      </c>
      <c r="BF224" s="549">
        <f t="shared" si="152"/>
        <v>0</v>
      </c>
      <c r="BG224" s="606">
        <f t="shared" si="153"/>
        <v>0</v>
      </c>
      <c r="BH224" s="428" t="s">
        <v>475</v>
      </c>
      <c r="BI224" s="429">
        <v>0.36</v>
      </c>
      <c r="BJ224" s="606">
        <f t="shared" si="174"/>
        <v>356.76</v>
      </c>
      <c r="BK224" s="606" t="str">
        <f t="shared" si="154"/>
        <v>n/a</v>
      </c>
      <c r="BL224" s="428" t="s">
        <v>475</v>
      </c>
      <c r="BM224" s="548" t="str">
        <f t="shared" si="155"/>
        <v>n/a</v>
      </c>
      <c r="BN224" s="606" t="str">
        <f t="shared" si="156"/>
        <v>n/a</v>
      </c>
      <c r="BO224" s="606" t="str">
        <f t="shared" si="157"/>
        <v>n/a</v>
      </c>
      <c r="BP224" s="429" t="s">
        <v>475</v>
      </c>
      <c r="BQ224" s="606" t="s">
        <v>475</v>
      </c>
      <c r="BR224" s="428" t="s">
        <v>475</v>
      </c>
      <c r="BS224" s="548" t="str">
        <f t="shared" si="158"/>
        <v>n/a</v>
      </c>
      <c r="BT224" s="607" t="str">
        <f t="shared" si="159"/>
        <v>n/a</v>
      </c>
      <c r="BU224" s="1163">
        <v>0</v>
      </c>
      <c r="BV224" s="650" t="str">
        <f t="shared" si="160"/>
        <v>n/a</v>
      </c>
      <c r="BW224" s="636" t="s">
        <v>1141</v>
      </c>
      <c r="BX224" s="470" t="s">
        <v>475</v>
      </c>
      <c r="BY224" s="1192"/>
      <c r="BZ224" s="1192"/>
      <c r="CA224" s="608" t="str">
        <f t="shared" si="161"/>
        <v>n/a</v>
      </c>
      <c r="CB224" s="428"/>
      <c r="CC224" s="428"/>
      <c r="CD224" s="609" t="str">
        <f t="shared" si="162"/>
        <v>n/a</v>
      </c>
      <c r="CE224" s="610" t="str">
        <f t="shared" si="163"/>
        <v>n/a</v>
      </c>
      <c r="CF224" s="609" t="str">
        <f t="shared" si="164"/>
        <v>n/a</v>
      </c>
      <c r="CG224" s="658" t="str">
        <f t="shared" si="165"/>
        <v>n/a</v>
      </c>
      <c r="CH224" s="328"/>
      <c r="CI224" s="330">
        <v>0.3831</v>
      </c>
      <c r="CJ224" s="664">
        <f t="shared" si="166"/>
        <v>379.65210000000002</v>
      </c>
      <c r="CK224" s="328"/>
      <c r="CL224" s="611" t="str">
        <f t="shared" si="175"/>
        <v>No coverage</v>
      </c>
      <c r="CM224" s="428" t="s">
        <v>169</v>
      </c>
      <c r="CN224" s="428" t="s">
        <v>475</v>
      </c>
      <c r="CO224" s="428" t="s">
        <v>170</v>
      </c>
      <c r="CP224" s="570" t="s">
        <v>170</v>
      </c>
      <c r="CQ224" s="1171"/>
      <c r="CS224" s="1069">
        <f t="shared" si="167"/>
        <v>0</v>
      </c>
      <c r="CT224" s="1069">
        <f t="shared" si="168"/>
        <v>0</v>
      </c>
      <c r="CU224" s="1066">
        <f t="shared" si="169"/>
        <v>0</v>
      </c>
      <c r="CV224" s="1066">
        <f t="shared" si="170"/>
        <v>0</v>
      </c>
      <c r="CW224" s="1082">
        <f t="shared" si="171"/>
        <v>2.4775</v>
      </c>
      <c r="CX224" s="1082">
        <f t="shared" si="172"/>
        <v>3.964</v>
      </c>
    </row>
    <row r="225" spans="2:102" ht="18" customHeight="1">
      <c r="B225" s="402" t="s">
        <v>64</v>
      </c>
      <c r="C225" s="603"/>
      <c r="D225" s="603"/>
      <c r="E225" s="1052">
        <v>197650</v>
      </c>
      <c r="F225" s="402" t="s">
        <v>67</v>
      </c>
      <c r="G225" s="556">
        <v>92.664500000000004</v>
      </c>
      <c r="H225" s="556">
        <v>20.396999999999998</v>
      </c>
      <c r="I225" s="560" t="s">
        <v>33</v>
      </c>
      <c r="J225" s="560" t="s">
        <v>45</v>
      </c>
      <c r="K225" s="604" t="s">
        <v>508</v>
      </c>
      <c r="L225" s="428">
        <v>0</v>
      </c>
      <c r="M225" s="428">
        <v>0</v>
      </c>
      <c r="N225" s="570">
        <v>5700</v>
      </c>
      <c r="O225" s="328" t="s">
        <v>983</v>
      </c>
      <c r="P225" s="720" t="str">
        <f t="shared" si="132"/>
        <v>3. Large</v>
      </c>
      <c r="Q225" s="968" t="s">
        <v>139</v>
      </c>
      <c r="R225" s="625"/>
      <c r="S225" s="560" t="s">
        <v>139</v>
      </c>
      <c r="T225" s="323" t="str">
        <f t="shared" si="133"/>
        <v>Not Covered</v>
      </c>
      <c r="U225" s="561"/>
      <c r="V225" s="1144"/>
      <c r="W225" s="558" t="s">
        <v>154</v>
      </c>
      <c r="X225" s="328">
        <v>0</v>
      </c>
      <c r="Y225" s="428">
        <v>0</v>
      </c>
      <c r="Z225" s="570" t="s">
        <v>43</v>
      </c>
      <c r="AA225" s="328">
        <v>0</v>
      </c>
      <c r="AB225" s="428">
        <v>1</v>
      </c>
      <c r="AC225" s="428">
        <v>0</v>
      </c>
      <c r="AD225" s="428">
        <v>2</v>
      </c>
      <c r="AE225" s="570"/>
      <c r="AF225" s="329">
        <v>0</v>
      </c>
      <c r="AG225" s="1124">
        <v>0</v>
      </c>
      <c r="AH225" s="630">
        <f t="shared" si="134"/>
        <v>4.3859649122807015E-2</v>
      </c>
      <c r="AI225" s="574">
        <f t="shared" si="135"/>
        <v>250</v>
      </c>
      <c r="AJ225" s="605">
        <f t="shared" si="136"/>
        <v>4.3859649122807015E-2</v>
      </c>
      <c r="AK225" s="574">
        <f t="shared" si="137"/>
        <v>250</v>
      </c>
      <c r="AL225" s="605">
        <f t="shared" si="138"/>
        <v>4.3859649122807015E-2</v>
      </c>
      <c r="AM225" s="574">
        <f t="shared" si="139"/>
        <v>250</v>
      </c>
      <c r="AN225" s="605" t="str">
        <f t="shared" si="140"/>
        <v>0-10%</v>
      </c>
      <c r="AO225" s="605">
        <f t="shared" si="141"/>
        <v>0</v>
      </c>
      <c r="AP225" s="574">
        <f t="shared" si="142"/>
        <v>0</v>
      </c>
      <c r="AQ225" s="574" t="str">
        <f t="shared" si="143"/>
        <v>yes</v>
      </c>
      <c r="AR225" s="574">
        <f t="shared" si="144"/>
        <v>21.8</v>
      </c>
      <c r="AS225" s="574">
        <f t="shared" si="145"/>
        <v>0</v>
      </c>
      <c r="AT225" s="574">
        <f t="shared" si="146"/>
        <v>0</v>
      </c>
      <c r="AU225" s="1152">
        <v>0.09</v>
      </c>
      <c r="AV225" s="635">
        <f t="shared" si="147"/>
        <v>513</v>
      </c>
      <c r="AW225" s="325"/>
      <c r="AX225" s="740">
        <v>0</v>
      </c>
      <c r="AY225" s="428">
        <v>0</v>
      </c>
      <c r="AZ225" s="428">
        <v>6</v>
      </c>
      <c r="BA225" s="473" t="s">
        <v>965</v>
      </c>
      <c r="BB225" s="548">
        <f t="shared" si="148"/>
        <v>0</v>
      </c>
      <c r="BC225" s="606">
        <f t="shared" si="149"/>
        <v>0</v>
      </c>
      <c r="BD225" s="548">
        <f t="shared" si="150"/>
        <v>0</v>
      </c>
      <c r="BE225" s="606">
        <f t="shared" si="151"/>
        <v>0</v>
      </c>
      <c r="BF225" s="549">
        <f t="shared" si="152"/>
        <v>0</v>
      </c>
      <c r="BG225" s="606">
        <f t="shared" si="153"/>
        <v>0</v>
      </c>
      <c r="BH225" s="519" t="s">
        <v>475</v>
      </c>
      <c r="BI225" s="429">
        <v>0</v>
      </c>
      <c r="BJ225" s="606">
        <f t="shared" si="174"/>
        <v>0</v>
      </c>
      <c r="BK225" s="606" t="str">
        <f t="shared" si="154"/>
        <v>n/a</v>
      </c>
      <c r="BL225" s="428" t="s">
        <v>475</v>
      </c>
      <c r="BM225" s="548" t="str">
        <f t="shared" si="155"/>
        <v>n/a</v>
      </c>
      <c r="BN225" s="606" t="str">
        <f t="shared" si="156"/>
        <v>n/a</v>
      </c>
      <c r="BO225" s="606" t="str">
        <f t="shared" si="157"/>
        <v>n/a</v>
      </c>
      <c r="BP225" s="578" t="s">
        <v>475</v>
      </c>
      <c r="BQ225" s="606" t="s">
        <v>475</v>
      </c>
      <c r="BR225" s="519" t="s">
        <v>475</v>
      </c>
      <c r="BS225" s="548" t="str">
        <f t="shared" si="158"/>
        <v>n/a</v>
      </c>
      <c r="BT225" s="607" t="str">
        <f t="shared" si="159"/>
        <v>n/a</v>
      </c>
      <c r="BU225" s="1163" t="s">
        <v>475</v>
      </c>
      <c r="BV225" s="650" t="str">
        <f t="shared" si="160"/>
        <v>n/a</v>
      </c>
      <c r="BW225" s="636"/>
      <c r="BX225" s="470" t="s">
        <v>475</v>
      </c>
      <c r="BY225" s="1192"/>
      <c r="BZ225" s="1192"/>
      <c r="CA225" s="608" t="str">
        <f t="shared" si="161"/>
        <v>n/a</v>
      </c>
      <c r="CB225" s="428"/>
      <c r="CC225" s="428"/>
      <c r="CD225" s="609" t="str">
        <f t="shared" si="162"/>
        <v>n/a</v>
      </c>
      <c r="CE225" s="610" t="str">
        <f t="shared" si="163"/>
        <v>n/a</v>
      </c>
      <c r="CF225" s="609" t="str">
        <f t="shared" si="164"/>
        <v>n/a</v>
      </c>
      <c r="CG225" s="658" t="str">
        <f t="shared" si="165"/>
        <v>n/a</v>
      </c>
      <c r="CH225" s="328"/>
      <c r="CI225" s="330"/>
      <c r="CJ225" s="664">
        <f t="shared" si="166"/>
        <v>0</v>
      </c>
      <c r="CK225" s="328"/>
      <c r="CL225" s="611" t="str">
        <f t="shared" si="175"/>
        <v>No coverage</v>
      </c>
      <c r="CM225" s="428"/>
      <c r="CN225" s="428"/>
      <c r="CO225" s="428"/>
      <c r="CP225" s="570"/>
      <c r="CQ225" s="1170"/>
      <c r="CS225" s="1069">
        <f t="shared" si="167"/>
        <v>8.771929824561403E-2</v>
      </c>
      <c r="CT225" s="1069">
        <f t="shared" si="168"/>
        <v>4.3859649122807015E-2</v>
      </c>
      <c r="CU225" s="1066">
        <f t="shared" si="169"/>
        <v>8.771929824561403E-2</v>
      </c>
      <c r="CV225" s="1066">
        <f t="shared" si="170"/>
        <v>4.3859649122807015E-2</v>
      </c>
      <c r="CW225" s="1082">
        <f t="shared" si="171"/>
        <v>13.25</v>
      </c>
      <c r="CX225" s="1082">
        <f t="shared" si="172"/>
        <v>21.8</v>
      </c>
    </row>
    <row r="226" spans="2:102" ht="18" customHeight="1">
      <c r="B226" s="721" t="s">
        <v>64</v>
      </c>
      <c r="C226" s="604"/>
      <c r="D226" s="604"/>
      <c r="E226" s="1054" t="s">
        <v>222</v>
      </c>
      <c r="F226" s="721" t="s">
        <v>67</v>
      </c>
      <c r="G226" s="722">
        <v>92.660360999999995</v>
      </c>
      <c r="H226" s="722">
        <v>20.408453000000002</v>
      </c>
      <c r="I226" s="595" t="s">
        <v>44</v>
      </c>
      <c r="J226" s="595" t="s">
        <v>34</v>
      </c>
      <c r="K226" s="604" t="s">
        <v>640</v>
      </c>
      <c r="L226" s="585">
        <v>218</v>
      </c>
      <c r="M226" s="585">
        <v>1283</v>
      </c>
      <c r="N226" s="723">
        <v>1283</v>
      </c>
      <c r="O226" s="328" t="s">
        <v>983</v>
      </c>
      <c r="P226" s="1134" t="str">
        <f t="shared" si="132"/>
        <v>2. Medium</v>
      </c>
      <c r="Q226" s="1135" t="s">
        <v>283</v>
      </c>
      <c r="R226" s="1137" t="s">
        <v>301</v>
      </c>
      <c r="S226" s="595" t="s">
        <v>54</v>
      </c>
      <c r="T226" s="323" t="str">
        <f t="shared" si="133"/>
        <v>Covered</v>
      </c>
      <c r="U226" s="561">
        <v>42490</v>
      </c>
      <c r="V226" s="1142">
        <v>10.75</v>
      </c>
      <c r="W226" s="558" t="s">
        <v>152</v>
      </c>
      <c r="X226" s="597">
        <v>10.75</v>
      </c>
      <c r="Y226" s="580">
        <v>0</v>
      </c>
      <c r="Z226" s="590" t="s">
        <v>35</v>
      </c>
      <c r="AA226" s="579">
        <v>1</v>
      </c>
      <c r="AB226" s="580">
        <v>0</v>
      </c>
      <c r="AC226" s="580">
        <v>0</v>
      </c>
      <c r="AD226" s="580">
        <v>0</v>
      </c>
      <c r="AE226" s="590"/>
      <c r="AF226" s="573">
        <v>1</v>
      </c>
      <c r="AG226" s="1152">
        <v>1</v>
      </c>
      <c r="AH226" s="630">
        <f t="shared" si="134"/>
        <v>0.8703559366069108</v>
      </c>
      <c r="AI226" s="577">
        <f t="shared" si="135"/>
        <v>1116.6666666666665</v>
      </c>
      <c r="AJ226" s="605">
        <f t="shared" si="136"/>
        <v>0.31176929072486359</v>
      </c>
      <c r="AK226" s="577">
        <f t="shared" si="137"/>
        <v>400</v>
      </c>
      <c r="AL226" s="631">
        <f t="shared" si="138"/>
        <v>1</v>
      </c>
      <c r="AM226" s="577">
        <f t="shared" si="139"/>
        <v>1283</v>
      </c>
      <c r="AN226" s="633" t="str">
        <f t="shared" si="140"/>
        <v>80-100%</v>
      </c>
      <c r="AO226" s="631">
        <f t="shared" si="141"/>
        <v>0.55858664588204721</v>
      </c>
      <c r="AP226" s="577">
        <f t="shared" si="142"/>
        <v>716.66666666666652</v>
      </c>
      <c r="AQ226" s="577" t="str">
        <f t="shared" si="143"/>
        <v>no</v>
      </c>
      <c r="AR226" s="574">
        <f t="shared" si="144"/>
        <v>2.2075</v>
      </c>
      <c r="AS226" s="574">
        <f t="shared" si="145"/>
        <v>1283</v>
      </c>
      <c r="AT226" s="574">
        <f t="shared" si="146"/>
        <v>1283</v>
      </c>
      <c r="AU226" s="1152">
        <v>1</v>
      </c>
      <c r="AV226" s="635">
        <f t="shared" si="147"/>
        <v>1283</v>
      </c>
      <c r="AW226" s="584"/>
      <c r="AX226" s="1079">
        <v>3</v>
      </c>
      <c r="AY226" s="580">
        <v>60</v>
      </c>
      <c r="AZ226" s="428">
        <v>20</v>
      </c>
      <c r="BA226" s="428"/>
      <c r="BB226" s="548">
        <f t="shared" si="148"/>
        <v>0.98207326578332033</v>
      </c>
      <c r="BC226" s="606">
        <f t="shared" si="149"/>
        <v>1260</v>
      </c>
      <c r="BD226" s="548">
        <f t="shared" si="150"/>
        <v>0.93530787217459077</v>
      </c>
      <c r="BE226" s="576">
        <f t="shared" si="151"/>
        <v>1200</v>
      </c>
      <c r="BF226" s="646">
        <f t="shared" si="152"/>
        <v>4.6765393608729555E-2</v>
      </c>
      <c r="BG226" s="606">
        <f t="shared" si="153"/>
        <v>60.000000000000021</v>
      </c>
      <c r="BH226" s="593" t="s">
        <v>491</v>
      </c>
      <c r="BI226" s="586">
        <v>0.99</v>
      </c>
      <c r="BJ226" s="606">
        <f t="shared" si="174"/>
        <v>1270.17</v>
      </c>
      <c r="BK226" s="596">
        <f t="shared" si="154"/>
        <v>4.1500000000000057</v>
      </c>
      <c r="BL226" s="580">
        <v>113</v>
      </c>
      <c r="BM226" s="645">
        <f t="shared" si="155"/>
        <v>0.49321901792673417</v>
      </c>
      <c r="BN226" s="606">
        <f t="shared" si="156"/>
        <v>632.79999999999995</v>
      </c>
      <c r="BO226" s="596">
        <f t="shared" si="157"/>
        <v>116.10714285714286</v>
      </c>
      <c r="BP226" s="647">
        <v>0</v>
      </c>
      <c r="BQ226" s="606">
        <v>0</v>
      </c>
      <c r="BR226" s="593">
        <v>15</v>
      </c>
      <c r="BS226" s="645">
        <f t="shared" si="158"/>
        <v>1</v>
      </c>
      <c r="BT226" s="648">
        <f t="shared" si="159"/>
        <v>0</v>
      </c>
      <c r="BU226" s="1162">
        <v>0</v>
      </c>
      <c r="BV226" s="650">
        <f t="shared" si="160"/>
        <v>0</v>
      </c>
      <c r="BW226" s="637"/>
      <c r="BX226" s="591">
        <v>41887</v>
      </c>
      <c r="BY226" s="1193"/>
      <c r="BZ226" s="1193"/>
      <c r="CA226" s="659" t="str">
        <f t="shared" si="161"/>
        <v>To be done</v>
      </c>
      <c r="CB226" s="580">
        <v>229</v>
      </c>
      <c r="CC226" s="580">
        <v>9</v>
      </c>
      <c r="CD226" s="660">
        <f t="shared" si="162"/>
        <v>218</v>
      </c>
      <c r="CE226" s="661">
        <f t="shared" si="163"/>
        <v>0</v>
      </c>
      <c r="CF226" s="609">
        <f t="shared" si="164"/>
        <v>0</v>
      </c>
      <c r="CG226" s="662">
        <f t="shared" si="165"/>
        <v>4</v>
      </c>
      <c r="CH226" s="579" t="s">
        <v>505</v>
      </c>
      <c r="CI226" s="330">
        <v>0.92</v>
      </c>
      <c r="CJ226" s="664">
        <f t="shared" si="166"/>
        <v>1180.3600000000001</v>
      </c>
      <c r="CK226" s="579">
        <v>2</v>
      </c>
      <c r="CL226" s="674" t="str">
        <f t="shared" si="175"/>
        <v>Good coverage</v>
      </c>
      <c r="CM226" s="580" t="s">
        <v>38</v>
      </c>
      <c r="CN226" s="580" t="s">
        <v>43</v>
      </c>
      <c r="CO226" s="580" t="s">
        <v>41</v>
      </c>
      <c r="CP226" s="590" t="s">
        <v>38</v>
      </c>
      <c r="CQ226" s="1169"/>
      <c r="CS226" s="1069">
        <f t="shared" si="167"/>
        <v>0.8703559366069108</v>
      </c>
      <c r="CT226" s="1069">
        <f t="shared" si="168"/>
        <v>0.75344245258508702</v>
      </c>
      <c r="CU226" s="1066">
        <f t="shared" si="169"/>
        <v>0.31176929072486359</v>
      </c>
      <c r="CV226" s="1066">
        <f t="shared" si="170"/>
        <v>0.19485580670303976</v>
      </c>
      <c r="CW226" s="1082">
        <f t="shared" si="171"/>
        <v>2.2075</v>
      </c>
      <c r="CX226" s="1082">
        <f t="shared" si="172"/>
        <v>4.1319999999999997</v>
      </c>
    </row>
    <row r="227" spans="2:102" ht="18" customHeight="1">
      <c r="B227" s="402" t="s">
        <v>64</v>
      </c>
      <c r="C227" s="603"/>
      <c r="D227" s="603"/>
      <c r="E227" s="1052">
        <v>197591</v>
      </c>
      <c r="F227" s="402" t="s">
        <v>730</v>
      </c>
      <c r="G227" s="556">
        <v>92.643269000000004</v>
      </c>
      <c r="H227" s="556">
        <v>20.581468999999998</v>
      </c>
      <c r="I227" s="560" t="s">
        <v>33</v>
      </c>
      <c r="J227" s="560" t="s">
        <v>34</v>
      </c>
      <c r="K227" s="604" t="s">
        <v>607</v>
      </c>
      <c r="L227" s="428">
        <v>0</v>
      </c>
      <c r="M227" s="428">
        <v>0</v>
      </c>
      <c r="N227" s="570">
        <v>2175</v>
      </c>
      <c r="O227" s="328" t="s">
        <v>983</v>
      </c>
      <c r="P227" s="720" t="str">
        <f t="shared" si="132"/>
        <v>3. Large</v>
      </c>
      <c r="Q227" s="968" t="s">
        <v>153</v>
      </c>
      <c r="R227" s="625"/>
      <c r="S227" s="560" t="s">
        <v>172</v>
      </c>
      <c r="T227" s="323" t="str">
        <f t="shared" si="133"/>
        <v>Covered</v>
      </c>
      <c r="U227" s="561">
        <v>42369</v>
      </c>
      <c r="V227" s="1144"/>
      <c r="W227" s="558" t="s">
        <v>152</v>
      </c>
      <c r="X227" s="328">
        <v>0</v>
      </c>
      <c r="Y227" s="428">
        <v>0</v>
      </c>
      <c r="Z227" s="570" t="s">
        <v>43</v>
      </c>
      <c r="AA227" s="328">
        <v>0</v>
      </c>
      <c r="AB227" s="428">
        <v>0</v>
      </c>
      <c r="AC227" s="428">
        <v>0</v>
      </c>
      <c r="AD227" s="428">
        <v>7</v>
      </c>
      <c r="AE227" s="570"/>
      <c r="AF227" s="329">
        <v>0</v>
      </c>
      <c r="AG227" s="1124">
        <v>0</v>
      </c>
      <c r="AH227" s="630">
        <f t="shared" si="134"/>
        <v>0</v>
      </c>
      <c r="AI227" s="574">
        <f t="shared" si="135"/>
        <v>0</v>
      </c>
      <c r="AJ227" s="605">
        <f t="shared" si="136"/>
        <v>0</v>
      </c>
      <c r="AK227" s="574">
        <f t="shared" si="137"/>
        <v>0</v>
      </c>
      <c r="AL227" s="605">
        <f t="shared" si="138"/>
        <v>0</v>
      </c>
      <c r="AM227" s="574">
        <f t="shared" si="139"/>
        <v>0</v>
      </c>
      <c r="AN227" s="605" t="str">
        <f t="shared" si="140"/>
        <v>0-10%</v>
      </c>
      <c r="AO227" s="605">
        <f t="shared" si="141"/>
        <v>0</v>
      </c>
      <c r="AP227" s="574">
        <f t="shared" si="142"/>
        <v>0</v>
      </c>
      <c r="AQ227" s="574" t="str">
        <f t="shared" si="143"/>
        <v>yes</v>
      </c>
      <c r="AR227" s="574">
        <f t="shared" si="144"/>
        <v>8.6999999999999993</v>
      </c>
      <c r="AS227" s="574">
        <f t="shared" si="145"/>
        <v>0</v>
      </c>
      <c r="AT227" s="574">
        <f t="shared" si="146"/>
        <v>0</v>
      </c>
      <c r="AU227" s="1152">
        <v>0</v>
      </c>
      <c r="AV227" s="635">
        <f t="shared" si="147"/>
        <v>0</v>
      </c>
      <c r="AW227" s="325"/>
      <c r="AX227" s="740">
        <v>0</v>
      </c>
      <c r="AY227" s="428">
        <v>57</v>
      </c>
      <c r="AZ227" s="428">
        <v>6</v>
      </c>
      <c r="BA227" s="473" t="s">
        <v>526</v>
      </c>
      <c r="BB227" s="548">
        <f t="shared" si="148"/>
        <v>0.15724137931034482</v>
      </c>
      <c r="BC227" s="606">
        <f t="shared" si="149"/>
        <v>342</v>
      </c>
      <c r="BD227" s="548">
        <f t="shared" si="150"/>
        <v>0.15724137931034482</v>
      </c>
      <c r="BE227" s="606">
        <f t="shared" si="151"/>
        <v>342</v>
      </c>
      <c r="BF227" s="549">
        <f t="shared" si="152"/>
        <v>0</v>
      </c>
      <c r="BG227" s="606">
        <f t="shared" si="153"/>
        <v>0</v>
      </c>
      <c r="BH227" s="519" t="s">
        <v>475</v>
      </c>
      <c r="BI227" s="429">
        <v>0.16</v>
      </c>
      <c r="BJ227" s="606">
        <f t="shared" si="174"/>
        <v>348</v>
      </c>
      <c r="BK227" s="606" t="str">
        <f t="shared" si="154"/>
        <v>n/a</v>
      </c>
      <c r="BL227" s="428" t="s">
        <v>475</v>
      </c>
      <c r="BM227" s="548" t="str">
        <f t="shared" si="155"/>
        <v>n/a</v>
      </c>
      <c r="BN227" s="606" t="str">
        <f t="shared" si="156"/>
        <v>n/a</v>
      </c>
      <c r="BO227" s="606" t="str">
        <f t="shared" si="157"/>
        <v>n/a</v>
      </c>
      <c r="BP227" s="578" t="s">
        <v>475</v>
      </c>
      <c r="BQ227" s="606" t="s">
        <v>475</v>
      </c>
      <c r="BR227" s="519" t="s">
        <v>475</v>
      </c>
      <c r="BS227" s="548" t="str">
        <f t="shared" si="158"/>
        <v>n/a</v>
      </c>
      <c r="BT227" s="607" t="str">
        <f t="shared" si="159"/>
        <v>n/a</v>
      </c>
      <c r="BU227" s="1163">
        <v>0</v>
      </c>
      <c r="BV227" s="650" t="str">
        <f t="shared" si="160"/>
        <v>n/a</v>
      </c>
      <c r="BW227" s="636" t="s">
        <v>1141</v>
      </c>
      <c r="BX227" s="470" t="s">
        <v>475</v>
      </c>
      <c r="BY227" s="1192"/>
      <c r="BZ227" s="1192"/>
      <c r="CA227" s="608" t="str">
        <f t="shared" si="161"/>
        <v>n/a</v>
      </c>
      <c r="CB227" s="428"/>
      <c r="CC227" s="428"/>
      <c r="CD227" s="609" t="str">
        <f t="shared" si="162"/>
        <v>n/a</v>
      </c>
      <c r="CE227" s="610" t="str">
        <f t="shared" si="163"/>
        <v>n/a</v>
      </c>
      <c r="CF227" s="609" t="str">
        <f t="shared" si="164"/>
        <v>n/a</v>
      </c>
      <c r="CG227" s="658" t="str">
        <f t="shared" si="165"/>
        <v>n/a</v>
      </c>
      <c r="CH227" s="328"/>
      <c r="CI227" s="330">
        <v>0.1394</v>
      </c>
      <c r="CJ227" s="664">
        <f t="shared" si="166"/>
        <v>303.19499999999999</v>
      </c>
      <c r="CK227" s="328"/>
      <c r="CL227" s="611" t="str">
        <f t="shared" si="175"/>
        <v>No coverage</v>
      </c>
      <c r="CM227" s="428" t="s">
        <v>169</v>
      </c>
      <c r="CN227" s="428" t="s">
        <v>475</v>
      </c>
      <c r="CO227" s="428" t="s">
        <v>169</v>
      </c>
      <c r="CP227" s="570" t="s">
        <v>170</v>
      </c>
      <c r="CQ227" s="1171"/>
      <c r="CS227" s="1069">
        <f t="shared" si="167"/>
        <v>0</v>
      </c>
      <c r="CT227" s="1069">
        <f t="shared" si="168"/>
        <v>0</v>
      </c>
      <c r="CU227" s="1066">
        <f t="shared" si="169"/>
        <v>0</v>
      </c>
      <c r="CV227" s="1066">
        <f t="shared" si="170"/>
        <v>0</v>
      </c>
      <c r="CW227" s="1082">
        <f t="shared" si="171"/>
        <v>5.4375</v>
      </c>
      <c r="CX227" s="1082">
        <f t="shared" si="172"/>
        <v>8.6999999999999993</v>
      </c>
    </row>
    <row r="228" spans="2:102" ht="18" customHeight="1">
      <c r="B228" s="402" t="s">
        <v>64</v>
      </c>
      <c r="C228" s="603"/>
      <c r="D228" s="603"/>
      <c r="E228" s="1052">
        <v>197590</v>
      </c>
      <c r="F228" s="402" t="s">
        <v>441</v>
      </c>
      <c r="G228" s="556">
        <v>92.641800000000003</v>
      </c>
      <c r="H228" s="556">
        <v>20.569800000000001</v>
      </c>
      <c r="I228" s="560" t="s">
        <v>33</v>
      </c>
      <c r="J228" s="560" t="s">
        <v>45</v>
      </c>
      <c r="K228" s="604" t="s">
        <v>455</v>
      </c>
      <c r="L228" s="428">
        <v>0</v>
      </c>
      <c r="M228" s="428">
        <v>0</v>
      </c>
      <c r="N228" s="570">
        <v>176</v>
      </c>
      <c r="O228" s="328" t="s">
        <v>983</v>
      </c>
      <c r="P228" s="720" t="str">
        <f t="shared" si="132"/>
        <v>1. Small</v>
      </c>
      <c r="Q228" s="968" t="s">
        <v>153</v>
      </c>
      <c r="R228" s="625"/>
      <c r="S228" s="560" t="s">
        <v>172</v>
      </c>
      <c r="T228" s="323" t="str">
        <f t="shared" si="133"/>
        <v>Covered</v>
      </c>
      <c r="U228" s="561">
        <v>42369</v>
      </c>
      <c r="V228" s="1144"/>
      <c r="W228" s="558" t="s">
        <v>152</v>
      </c>
      <c r="X228" s="328">
        <v>0</v>
      </c>
      <c r="Y228" s="428">
        <v>0</v>
      </c>
      <c r="Z228" s="570" t="s">
        <v>43</v>
      </c>
      <c r="AA228" s="328">
        <v>0</v>
      </c>
      <c r="AB228" s="428">
        <v>0</v>
      </c>
      <c r="AC228" s="428">
        <v>0</v>
      </c>
      <c r="AD228" s="428">
        <v>3</v>
      </c>
      <c r="AE228" s="570"/>
      <c r="AF228" s="329">
        <v>0</v>
      </c>
      <c r="AG228" s="1124">
        <v>0.32</v>
      </c>
      <c r="AH228" s="630">
        <f t="shared" si="134"/>
        <v>0</v>
      </c>
      <c r="AI228" s="574">
        <f t="shared" si="135"/>
        <v>0</v>
      </c>
      <c r="AJ228" s="605">
        <f t="shared" si="136"/>
        <v>0</v>
      </c>
      <c r="AK228" s="574">
        <f t="shared" si="137"/>
        <v>0</v>
      </c>
      <c r="AL228" s="605">
        <f t="shared" si="138"/>
        <v>0.32</v>
      </c>
      <c r="AM228" s="574">
        <f t="shared" si="139"/>
        <v>56.32</v>
      </c>
      <c r="AN228" s="605" t="str">
        <f t="shared" si="140"/>
        <v>0-10%</v>
      </c>
      <c r="AO228" s="605">
        <f t="shared" si="141"/>
        <v>0</v>
      </c>
      <c r="AP228" s="574">
        <f t="shared" si="142"/>
        <v>0</v>
      </c>
      <c r="AQ228" s="574" t="str">
        <f t="shared" si="143"/>
        <v>yes</v>
      </c>
      <c r="AR228" s="574">
        <f t="shared" si="144"/>
        <v>0.70399999999999996</v>
      </c>
      <c r="AS228" s="574">
        <f t="shared" si="145"/>
        <v>56.32</v>
      </c>
      <c r="AT228" s="574">
        <f t="shared" si="146"/>
        <v>0</v>
      </c>
      <c r="AU228" s="1152">
        <v>0.32</v>
      </c>
      <c r="AV228" s="635">
        <f t="shared" si="147"/>
        <v>56.32</v>
      </c>
      <c r="AW228" s="325" t="s">
        <v>939</v>
      </c>
      <c r="AX228" s="740">
        <v>0</v>
      </c>
      <c r="AY228" s="428">
        <v>1</v>
      </c>
      <c r="AZ228" s="428">
        <v>6</v>
      </c>
      <c r="BA228" s="473" t="s">
        <v>526</v>
      </c>
      <c r="BB228" s="548">
        <f t="shared" si="148"/>
        <v>3.4090909090909088E-2</v>
      </c>
      <c r="BC228" s="606">
        <f t="shared" si="149"/>
        <v>6</v>
      </c>
      <c r="BD228" s="548">
        <f t="shared" si="150"/>
        <v>3.4090909090909088E-2</v>
      </c>
      <c r="BE228" s="606">
        <f t="shared" si="151"/>
        <v>6</v>
      </c>
      <c r="BF228" s="549">
        <f t="shared" si="152"/>
        <v>0</v>
      </c>
      <c r="BG228" s="606">
        <f t="shared" si="153"/>
        <v>0</v>
      </c>
      <c r="BH228" s="429" t="s">
        <v>475</v>
      </c>
      <c r="BI228" s="429">
        <v>0.03</v>
      </c>
      <c r="BJ228" s="606">
        <f t="shared" si="174"/>
        <v>5.2799999999999994</v>
      </c>
      <c r="BK228" s="606" t="str">
        <f t="shared" si="154"/>
        <v>n/a</v>
      </c>
      <c r="BL228" s="428" t="s">
        <v>475</v>
      </c>
      <c r="BM228" s="548" t="str">
        <f t="shared" si="155"/>
        <v>n/a</v>
      </c>
      <c r="BN228" s="606" t="str">
        <f t="shared" si="156"/>
        <v>n/a</v>
      </c>
      <c r="BO228" s="606" t="str">
        <f t="shared" si="157"/>
        <v>n/a</v>
      </c>
      <c r="BP228" s="429" t="s">
        <v>475</v>
      </c>
      <c r="BQ228" s="606" t="s">
        <v>475</v>
      </c>
      <c r="BR228" s="428" t="s">
        <v>475</v>
      </c>
      <c r="BS228" s="548" t="str">
        <f t="shared" si="158"/>
        <v>n/a</v>
      </c>
      <c r="BT228" s="607" t="str">
        <f t="shared" si="159"/>
        <v>n/a</v>
      </c>
      <c r="BU228" s="1163">
        <v>0</v>
      </c>
      <c r="BV228" s="650" t="str">
        <f t="shared" si="160"/>
        <v>n/a</v>
      </c>
      <c r="BW228" s="636" t="s">
        <v>1141</v>
      </c>
      <c r="BX228" s="470" t="s">
        <v>475</v>
      </c>
      <c r="BY228" s="1192"/>
      <c r="BZ228" s="1192"/>
      <c r="CA228" s="608" t="str">
        <f t="shared" si="161"/>
        <v>n/a</v>
      </c>
      <c r="CB228" s="428"/>
      <c r="CC228" s="428"/>
      <c r="CD228" s="609" t="str">
        <f t="shared" si="162"/>
        <v>n/a</v>
      </c>
      <c r="CE228" s="610" t="str">
        <f t="shared" si="163"/>
        <v>n/a</v>
      </c>
      <c r="CF228" s="609" t="str">
        <f t="shared" si="164"/>
        <v>n/a</v>
      </c>
      <c r="CG228" s="658" t="str">
        <f t="shared" si="165"/>
        <v>n/a</v>
      </c>
      <c r="CH228" s="328"/>
      <c r="CI228" s="330">
        <v>0.73250000000000004</v>
      </c>
      <c r="CJ228" s="664">
        <f t="shared" si="166"/>
        <v>128.92000000000002</v>
      </c>
      <c r="CK228" s="328">
        <v>2</v>
      </c>
      <c r="CL228" s="611" t="str">
        <f t="shared" si="175"/>
        <v>Excellent coverage</v>
      </c>
      <c r="CM228" s="428" t="s">
        <v>169</v>
      </c>
      <c r="CN228" s="428" t="s">
        <v>475</v>
      </c>
      <c r="CO228" s="428" t="s">
        <v>170</v>
      </c>
      <c r="CP228" s="570" t="s">
        <v>170</v>
      </c>
      <c r="CQ228" s="1171"/>
      <c r="CS228" s="1069">
        <f t="shared" si="167"/>
        <v>0</v>
      </c>
      <c r="CT228" s="1069">
        <f t="shared" si="168"/>
        <v>0</v>
      </c>
      <c r="CU228" s="1066">
        <f t="shared" si="169"/>
        <v>0</v>
      </c>
      <c r="CV228" s="1066">
        <f t="shared" si="170"/>
        <v>0</v>
      </c>
      <c r="CW228" s="1082">
        <f t="shared" si="171"/>
        <v>0.44</v>
      </c>
      <c r="CX228" s="1082">
        <f t="shared" si="172"/>
        <v>0.70399999999999996</v>
      </c>
    </row>
    <row r="229" spans="2:102" ht="18" customHeight="1">
      <c r="B229" s="402" t="s">
        <v>64</v>
      </c>
      <c r="C229" s="603"/>
      <c r="D229" s="603"/>
      <c r="E229" s="1052">
        <v>197585</v>
      </c>
      <c r="F229" s="402" t="s">
        <v>442</v>
      </c>
      <c r="G229" s="556">
        <v>92.670699999999997</v>
      </c>
      <c r="H229" s="556">
        <v>20.585799999999999</v>
      </c>
      <c r="I229" s="560" t="s">
        <v>33</v>
      </c>
      <c r="J229" s="560" t="s">
        <v>45</v>
      </c>
      <c r="K229" s="604" t="s">
        <v>455</v>
      </c>
      <c r="L229" s="428">
        <v>0</v>
      </c>
      <c r="M229" s="428">
        <v>0</v>
      </c>
      <c r="N229" s="570">
        <v>323</v>
      </c>
      <c r="O229" s="328" t="s">
        <v>984</v>
      </c>
      <c r="P229" s="720" t="str">
        <f t="shared" si="132"/>
        <v>1. Small</v>
      </c>
      <c r="Q229" s="968" t="s">
        <v>153</v>
      </c>
      <c r="R229" s="625"/>
      <c r="S229" s="560" t="s">
        <v>172</v>
      </c>
      <c r="T229" s="323" t="str">
        <f t="shared" si="133"/>
        <v>Covered</v>
      </c>
      <c r="U229" s="561">
        <v>42369</v>
      </c>
      <c r="V229" s="1144"/>
      <c r="W229" s="558" t="s">
        <v>152</v>
      </c>
      <c r="X229" s="328">
        <v>0</v>
      </c>
      <c r="Y229" s="428">
        <v>0</v>
      </c>
      <c r="Z229" s="570" t="s">
        <v>43</v>
      </c>
      <c r="AA229" s="328">
        <v>0</v>
      </c>
      <c r="AB229" s="428">
        <v>0</v>
      </c>
      <c r="AC229" s="428">
        <v>0</v>
      </c>
      <c r="AD229" s="428">
        <v>3</v>
      </c>
      <c r="AE229" s="570"/>
      <c r="AF229" s="329">
        <v>0</v>
      </c>
      <c r="AG229" s="1124">
        <v>0.51</v>
      </c>
      <c r="AH229" s="630">
        <f t="shared" si="134"/>
        <v>0</v>
      </c>
      <c r="AI229" s="574">
        <f t="shared" si="135"/>
        <v>0</v>
      </c>
      <c r="AJ229" s="605">
        <f t="shared" si="136"/>
        <v>0</v>
      </c>
      <c r="AK229" s="574">
        <f t="shared" si="137"/>
        <v>0</v>
      </c>
      <c r="AL229" s="605">
        <f t="shared" si="138"/>
        <v>0.51</v>
      </c>
      <c r="AM229" s="574">
        <f t="shared" si="139"/>
        <v>164.73</v>
      </c>
      <c r="AN229" s="605" t="str">
        <f t="shared" si="140"/>
        <v>0-10%</v>
      </c>
      <c r="AO229" s="605">
        <f t="shared" si="141"/>
        <v>0</v>
      </c>
      <c r="AP229" s="574">
        <f t="shared" si="142"/>
        <v>0</v>
      </c>
      <c r="AQ229" s="574" t="str">
        <f t="shared" si="143"/>
        <v>yes</v>
      </c>
      <c r="AR229" s="574">
        <f t="shared" si="144"/>
        <v>1.292</v>
      </c>
      <c r="AS229" s="574">
        <f t="shared" si="145"/>
        <v>164.73</v>
      </c>
      <c r="AT229" s="574">
        <f t="shared" si="146"/>
        <v>0</v>
      </c>
      <c r="AU229" s="1152">
        <v>0.51</v>
      </c>
      <c r="AV229" s="635">
        <f t="shared" si="147"/>
        <v>164.73</v>
      </c>
      <c r="AW229" s="325" t="s">
        <v>940</v>
      </c>
      <c r="AX229" s="740">
        <v>0</v>
      </c>
      <c r="AY229" s="428">
        <v>2</v>
      </c>
      <c r="AZ229" s="428">
        <v>6</v>
      </c>
      <c r="BA229" s="473" t="s">
        <v>526</v>
      </c>
      <c r="BB229" s="548">
        <f t="shared" si="148"/>
        <v>3.7151702786377708E-2</v>
      </c>
      <c r="BC229" s="606">
        <f t="shared" si="149"/>
        <v>12</v>
      </c>
      <c r="BD229" s="548">
        <f t="shared" si="150"/>
        <v>3.7151702786377708E-2</v>
      </c>
      <c r="BE229" s="606">
        <f t="shared" si="151"/>
        <v>12</v>
      </c>
      <c r="BF229" s="549">
        <f t="shared" si="152"/>
        <v>0</v>
      </c>
      <c r="BG229" s="606">
        <f t="shared" si="153"/>
        <v>0</v>
      </c>
      <c r="BH229" s="519" t="s">
        <v>475</v>
      </c>
      <c r="BI229" s="429">
        <v>0.04</v>
      </c>
      <c r="BJ229" s="606">
        <f t="shared" si="174"/>
        <v>12.92</v>
      </c>
      <c r="BK229" s="606" t="str">
        <f t="shared" si="154"/>
        <v>n/a</v>
      </c>
      <c r="BL229" s="428" t="s">
        <v>475</v>
      </c>
      <c r="BM229" s="548" t="str">
        <f t="shared" si="155"/>
        <v>n/a</v>
      </c>
      <c r="BN229" s="606" t="str">
        <f t="shared" si="156"/>
        <v>n/a</v>
      </c>
      <c r="BO229" s="606" t="str">
        <f t="shared" si="157"/>
        <v>n/a</v>
      </c>
      <c r="BP229" s="578" t="s">
        <v>475</v>
      </c>
      <c r="BQ229" s="606" t="s">
        <v>475</v>
      </c>
      <c r="BR229" s="519" t="s">
        <v>475</v>
      </c>
      <c r="BS229" s="548" t="str">
        <f t="shared" si="158"/>
        <v>n/a</v>
      </c>
      <c r="BT229" s="607" t="str">
        <f t="shared" si="159"/>
        <v>n/a</v>
      </c>
      <c r="BU229" s="1163">
        <v>0</v>
      </c>
      <c r="BV229" s="650" t="str">
        <f t="shared" si="160"/>
        <v>n/a</v>
      </c>
      <c r="BW229" s="636" t="s">
        <v>1141</v>
      </c>
      <c r="BX229" s="470" t="s">
        <v>475</v>
      </c>
      <c r="BY229" s="1192"/>
      <c r="BZ229" s="1192"/>
      <c r="CA229" s="608" t="str">
        <f t="shared" si="161"/>
        <v>n/a</v>
      </c>
      <c r="CB229" s="428"/>
      <c r="CC229" s="428"/>
      <c r="CD229" s="609" t="str">
        <f t="shared" si="162"/>
        <v>n/a</v>
      </c>
      <c r="CE229" s="610" t="str">
        <f t="shared" si="163"/>
        <v>n/a</v>
      </c>
      <c r="CF229" s="609" t="str">
        <f t="shared" si="164"/>
        <v>n/a</v>
      </c>
      <c r="CG229" s="658" t="str">
        <f t="shared" si="165"/>
        <v>n/a</v>
      </c>
      <c r="CH229" s="328"/>
      <c r="CI229" s="330">
        <v>0.6</v>
      </c>
      <c r="CJ229" s="664">
        <f t="shared" si="166"/>
        <v>193.79999999999998</v>
      </c>
      <c r="CK229" s="328">
        <v>4</v>
      </c>
      <c r="CL229" s="611" t="str">
        <f t="shared" si="175"/>
        <v>Excellent coverage</v>
      </c>
      <c r="CM229" s="428" t="s">
        <v>169</v>
      </c>
      <c r="CN229" s="428" t="s">
        <v>475</v>
      </c>
      <c r="CO229" s="428" t="s">
        <v>170</v>
      </c>
      <c r="CP229" s="570" t="s">
        <v>170</v>
      </c>
      <c r="CQ229" s="1170"/>
      <c r="CS229" s="1069">
        <f t="shared" si="167"/>
        <v>0</v>
      </c>
      <c r="CT229" s="1069">
        <f t="shared" si="168"/>
        <v>0</v>
      </c>
      <c r="CU229" s="1066">
        <f t="shared" si="169"/>
        <v>0</v>
      </c>
      <c r="CV229" s="1066">
        <f t="shared" si="170"/>
        <v>0</v>
      </c>
      <c r="CW229" s="1082">
        <f t="shared" si="171"/>
        <v>0.8075</v>
      </c>
      <c r="CX229" s="1082">
        <f t="shared" si="172"/>
        <v>1.292</v>
      </c>
    </row>
    <row r="230" spans="2:102" ht="18" customHeight="1">
      <c r="B230" s="402" t="s">
        <v>64</v>
      </c>
      <c r="C230" s="603"/>
      <c r="D230" s="603"/>
      <c r="E230" s="1052">
        <v>197654</v>
      </c>
      <c r="F230" s="402" t="s">
        <v>66</v>
      </c>
      <c r="G230" s="556">
        <v>92.630499999999998</v>
      </c>
      <c r="H230" s="556">
        <v>20.447399999999998</v>
      </c>
      <c r="I230" s="560" t="s">
        <v>33</v>
      </c>
      <c r="J230" s="560" t="s">
        <v>45</v>
      </c>
      <c r="K230" s="604" t="s">
        <v>508</v>
      </c>
      <c r="L230" s="428">
        <v>0</v>
      </c>
      <c r="M230" s="428">
        <v>0</v>
      </c>
      <c r="N230" s="570">
        <v>6000</v>
      </c>
      <c r="O230" s="328" t="s">
        <v>983</v>
      </c>
      <c r="P230" s="720" t="str">
        <f t="shared" si="132"/>
        <v>3. Large</v>
      </c>
      <c r="Q230" s="968" t="s">
        <v>139</v>
      </c>
      <c r="R230" s="625"/>
      <c r="S230" s="560" t="s">
        <v>139</v>
      </c>
      <c r="T230" s="323" t="str">
        <f t="shared" si="133"/>
        <v>Not Covered</v>
      </c>
      <c r="U230" s="561"/>
      <c r="V230" s="1144"/>
      <c r="W230" s="558" t="s">
        <v>154</v>
      </c>
      <c r="X230" s="328">
        <v>0</v>
      </c>
      <c r="Y230" s="428">
        <v>0</v>
      </c>
      <c r="Z230" s="570" t="s">
        <v>43</v>
      </c>
      <c r="AA230" s="328">
        <v>0</v>
      </c>
      <c r="AB230" s="428">
        <v>0</v>
      </c>
      <c r="AC230" s="428">
        <v>1</v>
      </c>
      <c r="AD230" s="428">
        <v>0</v>
      </c>
      <c r="AE230" s="570"/>
      <c r="AF230" s="329">
        <v>0</v>
      </c>
      <c r="AG230" s="1124">
        <v>0</v>
      </c>
      <c r="AH230" s="630">
        <f t="shared" si="134"/>
        <v>1.1111111111111112E-2</v>
      </c>
      <c r="AI230" s="574">
        <f t="shared" si="135"/>
        <v>66.666666666666671</v>
      </c>
      <c r="AJ230" s="605">
        <f t="shared" si="136"/>
        <v>1.1111111111111112E-2</v>
      </c>
      <c r="AK230" s="574">
        <f t="shared" si="137"/>
        <v>66.666666666666671</v>
      </c>
      <c r="AL230" s="605">
        <f t="shared" si="138"/>
        <v>1.1111111111111112E-2</v>
      </c>
      <c r="AM230" s="574">
        <f t="shared" si="139"/>
        <v>66.666666666666671</v>
      </c>
      <c r="AN230" s="605" t="str">
        <f t="shared" si="140"/>
        <v>0-10%</v>
      </c>
      <c r="AO230" s="605">
        <f t="shared" si="141"/>
        <v>0</v>
      </c>
      <c r="AP230" s="574">
        <f t="shared" si="142"/>
        <v>0</v>
      </c>
      <c r="AQ230" s="574" t="str">
        <f t="shared" si="143"/>
        <v>no</v>
      </c>
      <c r="AR230" s="574">
        <f t="shared" si="144"/>
        <v>24</v>
      </c>
      <c r="AS230" s="574">
        <f t="shared" si="145"/>
        <v>0</v>
      </c>
      <c r="AT230" s="574">
        <f t="shared" si="146"/>
        <v>0</v>
      </c>
      <c r="AU230" s="1152">
        <v>0.01</v>
      </c>
      <c r="AV230" s="635">
        <f t="shared" si="147"/>
        <v>60</v>
      </c>
      <c r="AW230" s="325"/>
      <c r="AX230" s="740">
        <v>0</v>
      </c>
      <c r="AY230" s="428">
        <v>0</v>
      </c>
      <c r="AZ230" s="428">
        <v>6</v>
      </c>
      <c r="BA230" s="473" t="s">
        <v>965</v>
      </c>
      <c r="BB230" s="548">
        <f t="shared" si="148"/>
        <v>0</v>
      </c>
      <c r="BC230" s="606">
        <f t="shared" si="149"/>
        <v>0</v>
      </c>
      <c r="BD230" s="548">
        <f t="shared" si="150"/>
        <v>0</v>
      </c>
      <c r="BE230" s="606">
        <f t="shared" si="151"/>
        <v>0</v>
      </c>
      <c r="BF230" s="549">
        <f t="shared" si="152"/>
        <v>0</v>
      </c>
      <c r="BG230" s="606">
        <f t="shared" si="153"/>
        <v>0</v>
      </c>
      <c r="BH230" s="519" t="s">
        <v>475</v>
      </c>
      <c r="BI230" s="429">
        <v>0</v>
      </c>
      <c r="BJ230" s="606">
        <f t="shared" si="174"/>
        <v>0</v>
      </c>
      <c r="BK230" s="606" t="str">
        <f t="shared" si="154"/>
        <v>n/a</v>
      </c>
      <c r="BL230" s="428" t="s">
        <v>475</v>
      </c>
      <c r="BM230" s="548" t="str">
        <f t="shared" si="155"/>
        <v>n/a</v>
      </c>
      <c r="BN230" s="606" t="str">
        <f t="shared" si="156"/>
        <v>n/a</v>
      </c>
      <c r="BO230" s="606" t="str">
        <f t="shared" si="157"/>
        <v>n/a</v>
      </c>
      <c r="BP230" s="578" t="s">
        <v>475</v>
      </c>
      <c r="BQ230" s="606" t="s">
        <v>475</v>
      </c>
      <c r="BR230" s="519" t="s">
        <v>475</v>
      </c>
      <c r="BS230" s="548" t="str">
        <f t="shared" si="158"/>
        <v>n/a</v>
      </c>
      <c r="BT230" s="607" t="str">
        <f t="shared" si="159"/>
        <v>n/a</v>
      </c>
      <c r="BU230" s="1163" t="s">
        <v>475</v>
      </c>
      <c r="BV230" s="650" t="str">
        <f t="shared" si="160"/>
        <v>n/a</v>
      </c>
      <c r="BW230" s="636"/>
      <c r="BX230" s="470" t="s">
        <v>475</v>
      </c>
      <c r="BY230" s="1192"/>
      <c r="BZ230" s="1192"/>
      <c r="CA230" s="608" t="str">
        <f t="shared" si="161"/>
        <v>n/a</v>
      </c>
      <c r="CB230" s="428"/>
      <c r="CC230" s="428"/>
      <c r="CD230" s="609" t="str">
        <f t="shared" si="162"/>
        <v>n/a</v>
      </c>
      <c r="CE230" s="610" t="str">
        <f t="shared" si="163"/>
        <v>n/a</v>
      </c>
      <c r="CF230" s="609" t="str">
        <f t="shared" si="164"/>
        <v>n/a</v>
      </c>
      <c r="CG230" s="658" t="str">
        <f t="shared" si="165"/>
        <v>n/a</v>
      </c>
      <c r="CH230" s="328"/>
      <c r="CI230" s="330"/>
      <c r="CJ230" s="664">
        <f t="shared" si="166"/>
        <v>0</v>
      </c>
      <c r="CK230" s="328"/>
      <c r="CL230" s="611" t="str">
        <f t="shared" si="175"/>
        <v>No coverage</v>
      </c>
      <c r="CM230" s="428"/>
      <c r="CN230" s="428"/>
      <c r="CO230" s="428"/>
      <c r="CP230" s="570"/>
      <c r="CQ230" s="1170"/>
      <c r="CS230" s="1069">
        <f t="shared" si="167"/>
        <v>1.1111111111111112E-2</v>
      </c>
      <c r="CT230" s="1069">
        <f t="shared" si="168"/>
        <v>1.1111111111111112E-2</v>
      </c>
      <c r="CU230" s="1066">
        <f t="shared" si="169"/>
        <v>1.1111111111111112E-2</v>
      </c>
      <c r="CV230" s="1066">
        <f t="shared" si="170"/>
        <v>1.1111111111111112E-2</v>
      </c>
      <c r="CW230" s="1082">
        <f t="shared" si="171"/>
        <v>15</v>
      </c>
      <c r="CX230" s="1082">
        <f t="shared" si="172"/>
        <v>24</v>
      </c>
    </row>
    <row r="231" spans="2:102" ht="18" customHeight="1">
      <c r="B231" s="721" t="s">
        <v>64</v>
      </c>
      <c r="C231" s="604"/>
      <c r="D231" s="604"/>
      <c r="E231" s="1054" t="s">
        <v>221</v>
      </c>
      <c r="F231" s="721" t="s">
        <v>66</v>
      </c>
      <c r="G231" s="722">
        <v>92.639589000000001</v>
      </c>
      <c r="H231" s="722">
        <v>20.447261000000001</v>
      </c>
      <c r="I231" s="595" t="s">
        <v>44</v>
      </c>
      <c r="J231" s="595" t="s">
        <v>34</v>
      </c>
      <c r="K231" s="604" t="s">
        <v>640</v>
      </c>
      <c r="L231" s="580">
        <v>197</v>
      </c>
      <c r="M231" s="580">
        <v>911</v>
      </c>
      <c r="N231" s="590">
        <v>911</v>
      </c>
      <c r="O231" s="328" t="s">
        <v>983</v>
      </c>
      <c r="P231" s="1134" t="str">
        <f t="shared" si="132"/>
        <v>2. Medium</v>
      </c>
      <c r="Q231" s="1135" t="s">
        <v>283</v>
      </c>
      <c r="R231" s="1137" t="s">
        <v>301</v>
      </c>
      <c r="S231" s="595" t="s">
        <v>54</v>
      </c>
      <c r="T231" s="323" t="str">
        <f t="shared" si="133"/>
        <v>Covered</v>
      </c>
      <c r="U231" s="561">
        <v>42490</v>
      </c>
      <c r="V231" s="1142"/>
      <c r="W231" s="558" t="s">
        <v>152</v>
      </c>
      <c r="X231" s="597">
        <v>14</v>
      </c>
      <c r="Y231" s="580">
        <v>0</v>
      </c>
      <c r="Z231" s="590" t="s">
        <v>35</v>
      </c>
      <c r="AA231" s="579">
        <v>0</v>
      </c>
      <c r="AB231" s="580">
        <v>0</v>
      </c>
      <c r="AC231" s="580">
        <v>0</v>
      </c>
      <c r="AD231" s="580">
        <v>0</v>
      </c>
      <c r="AE231" s="590"/>
      <c r="AF231" s="573">
        <v>1</v>
      </c>
      <c r="AG231" s="1152">
        <v>1</v>
      </c>
      <c r="AH231" s="630">
        <f t="shared" si="134"/>
        <v>1</v>
      </c>
      <c r="AI231" s="632">
        <f t="shared" si="135"/>
        <v>911</v>
      </c>
      <c r="AJ231" s="605">
        <f t="shared" si="136"/>
        <v>0</v>
      </c>
      <c r="AK231" s="632">
        <f t="shared" si="137"/>
        <v>0</v>
      </c>
      <c r="AL231" s="631">
        <f t="shared" si="138"/>
        <v>1</v>
      </c>
      <c r="AM231" s="632">
        <f t="shared" si="139"/>
        <v>911</v>
      </c>
      <c r="AN231" s="631" t="str">
        <f t="shared" si="140"/>
        <v>80-100%</v>
      </c>
      <c r="AO231" s="631">
        <f t="shared" si="141"/>
        <v>1</v>
      </c>
      <c r="AP231" s="632">
        <f t="shared" si="142"/>
        <v>911</v>
      </c>
      <c r="AQ231" s="632" t="str">
        <f t="shared" si="143"/>
        <v>no</v>
      </c>
      <c r="AR231" s="574">
        <f t="shared" si="144"/>
        <v>2.2774999999999999</v>
      </c>
      <c r="AS231" s="574">
        <f t="shared" si="145"/>
        <v>911</v>
      </c>
      <c r="AT231" s="574">
        <f t="shared" si="146"/>
        <v>911</v>
      </c>
      <c r="AU231" s="1154">
        <v>1</v>
      </c>
      <c r="AV231" s="635">
        <f t="shared" si="147"/>
        <v>911</v>
      </c>
      <c r="AW231" s="584"/>
      <c r="AX231" s="1079">
        <v>4</v>
      </c>
      <c r="AY231" s="580">
        <v>44</v>
      </c>
      <c r="AZ231" s="428">
        <v>20</v>
      </c>
      <c r="BA231" s="428"/>
      <c r="BB231" s="548">
        <f t="shared" si="148"/>
        <v>1</v>
      </c>
      <c r="BC231" s="606">
        <f t="shared" si="149"/>
        <v>911</v>
      </c>
      <c r="BD231" s="548">
        <f t="shared" si="150"/>
        <v>0.96597145993413835</v>
      </c>
      <c r="BE231" s="596">
        <f t="shared" si="151"/>
        <v>880</v>
      </c>
      <c r="BF231" s="646">
        <f t="shared" si="152"/>
        <v>3.4028540065861645E-2</v>
      </c>
      <c r="BG231" s="606">
        <f t="shared" si="153"/>
        <v>30.999999999999957</v>
      </c>
      <c r="BH231" s="593" t="s">
        <v>491</v>
      </c>
      <c r="BI231" s="586">
        <v>1</v>
      </c>
      <c r="BJ231" s="606">
        <f t="shared" si="174"/>
        <v>911</v>
      </c>
      <c r="BK231" s="596">
        <f t="shared" si="154"/>
        <v>1.5499999999999972</v>
      </c>
      <c r="BL231" s="593">
        <v>87</v>
      </c>
      <c r="BM231" s="645">
        <f t="shared" si="155"/>
        <v>0.53479692645444565</v>
      </c>
      <c r="BN231" s="606">
        <f t="shared" si="156"/>
        <v>487.2</v>
      </c>
      <c r="BO231" s="596">
        <f t="shared" si="157"/>
        <v>75.678571428571445</v>
      </c>
      <c r="BP231" s="1122">
        <v>0</v>
      </c>
      <c r="BQ231" s="606">
        <v>0</v>
      </c>
      <c r="BR231" s="580">
        <v>11</v>
      </c>
      <c r="BS231" s="645">
        <f t="shared" si="158"/>
        <v>1</v>
      </c>
      <c r="BT231" s="648">
        <f t="shared" si="159"/>
        <v>0</v>
      </c>
      <c r="BU231" s="1162">
        <v>0</v>
      </c>
      <c r="BV231" s="650">
        <f t="shared" si="160"/>
        <v>0</v>
      </c>
      <c r="BW231" s="637"/>
      <c r="BX231" s="591">
        <v>41892</v>
      </c>
      <c r="BY231" s="1193"/>
      <c r="BZ231" s="1193"/>
      <c r="CA231" s="659" t="str">
        <f t="shared" si="161"/>
        <v>To be done</v>
      </c>
      <c r="CB231" s="580">
        <v>229</v>
      </c>
      <c r="CC231" s="580">
        <v>9</v>
      </c>
      <c r="CD231" s="660">
        <f t="shared" si="162"/>
        <v>197</v>
      </c>
      <c r="CE231" s="661">
        <f t="shared" si="163"/>
        <v>0</v>
      </c>
      <c r="CF231" s="609">
        <f t="shared" si="164"/>
        <v>0</v>
      </c>
      <c r="CG231" s="662">
        <f t="shared" si="165"/>
        <v>4</v>
      </c>
      <c r="CH231" s="579" t="s">
        <v>505</v>
      </c>
      <c r="CI231" s="330">
        <v>0.9</v>
      </c>
      <c r="CJ231" s="664">
        <f t="shared" si="166"/>
        <v>819.9</v>
      </c>
      <c r="CK231" s="579">
        <v>2</v>
      </c>
      <c r="CL231" s="674" t="str">
        <f t="shared" si="175"/>
        <v>Excellent coverage</v>
      </c>
      <c r="CM231" s="580" t="s">
        <v>38</v>
      </c>
      <c r="CN231" s="580" t="s">
        <v>43</v>
      </c>
      <c r="CO231" s="580" t="s">
        <v>41</v>
      </c>
      <c r="CP231" s="590" t="s">
        <v>38</v>
      </c>
      <c r="CQ231" s="1169"/>
      <c r="CS231" s="1069">
        <f t="shared" si="167"/>
        <v>1</v>
      </c>
      <c r="CT231" s="1069">
        <f t="shared" si="168"/>
        <v>1</v>
      </c>
      <c r="CU231" s="1066">
        <f t="shared" si="169"/>
        <v>0</v>
      </c>
      <c r="CV231" s="1066">
        <f t="shared" si="170"/>
        <v>0</v>
      </c>
      <c r="CW231" s="1082">
        <f t="shared" si="171"/>
        <v>2.2774999999999999</v>
      </c>
      <c r="CX231" s="1082">
        <f t="shared" si="172"/>
        <v>3.6440000000000001</v>
      </c>
    </row>
    <row r="232" spans="2:102" ht="18" customHeight="1">
      <c r="B232" s="402" t="s">
        <v>64</v>
      </c>
      <c r="C232" s="603"/>
      <c r="D232" s="603"/>
      <c r="E232" s="1052"/>
      <c r="F232" s="402" t="s">
        <v>947</v>
      </c>
      <c r="G232" s="556"/>
      <c r="H232" s="556"/>
      <c r="I232" s="560" t="s">
        <v>33</v>
      </c>
      <c r="J232" s="560" t="s">
        <v>45</v>
      </c>
      <c r="K232" s="604" t="s">
        <v>607</v>
      </c>
      <c r="L232" s="428">
        <v>0</v>
      </c>
      <c r="M232" s="428">
        <v>0</v>
      </c>
      <c r="N232" s="570">
        <v>669</v>
      </c>
      <c r="O232" s="328" t="s">
        <v>984</v>
      </c>
      <c r="P232" s="720" t="str">
        <f t="shared" si="132"/>
        <v>2. Medium</v>
      </c>
      <c r="Q232" s="968" t="s">
        <v>153</v>
      </c>
      <c r="R232" s="625"/>
      <c r="S232" s="560" t="s">
        <v>172</v>
      </c>
      <c r="T232" s="323" t="str">
        <f t="shared" si="133"/>
        <v>Covered</v>
      </c>
      <c r="U232" s="561">
        <v>42369</v>
      </c>
      <c r="V232" s="1144"/>
      <c r="W232" s="558" t="s">
        <v>152</v>
      </c>
      <c r="X232" s="328">
        <v>0</v>
      </c>
      <c r="Y232" s="428">
        <v>0</v>
      </c>
      <c r="Z232" s="570" t="s">
        <v>43</v>
      </c>
      <c r="AA232" s="328">
        <v>0</v>
      </c>
      <c r="AB232" s="428">
        <v>0</v>
      </c>
      <c r="AC232" s="428">
        <v>0</v>
      </c>
      <c r="AD232" s="428">
        <v>5</v>
      </c>
      <c r="AE232" s="570"/>
      <c r="AF232" s="329">
        <v>0</v>
      </c>
      <c r="AG232" s="1124">
        <v>0</v>
      </c>
      <c r="AH232" s="630">
        <f t="shared" si="134"/>
        <v>0</v>
      </c>
      <c r="AI232" s="574">
        <f t="shared" si="135"/>
        <v>0</v>
      </c>
      <c r="AJ232" s="605">
        <f t="shared" si="136"/>
        <v>0</v>
      </c>
      <c r="AK232" s="574">
        <f t="shared" si="137"/>
        <v>0</v>
      </c>
      <c r="AL232" s="605">
        <f t="shared" si="138"/>
        <v>0</v>
      </c>
      <c r="AM232" s="574">
        <f t="shared" si="139"/>
        <v>0</v>
      </c>
      <c r="AN232" s="605" t="str">
        <f t="shared" si="140"/>
        <v>0-10%</v>
      </c>
      <c r="AO232" s="605">
        <f t="shared" si="141"/>
        <v>0</v>
      </c>
      <c r="AP232" s="574">
        <f t="shared" si="142"/>
        <v>0</v>
      </c>
      <c r="AQ232" s="574" t="str">
        <f t="shared" si="143"/>
        <v>yes</v>
      </c>
      <c r="AR232" s="574">
        <f t="shared" si="144"/>
        <v>2.6760000000000002</v>
      </c>
      <c r="AS232" s="574">
        <f t="shared" si="145"/>
        <v>0</v>
      </c>
      <c r="AT232" s="574">
        <f t="shared" si="146"/>
        <v>0</v>
      </c>
      <c r="AU232" s="1152">
        <v>0.2</v>
      </c>
      <c r="AV232" s="635">
        <f t="shared" si="147"/>
        <v>133.80000000000001</v>
      </c>
      <c r="AW232" s="325" t="s">
        <v>981</v>
      </c>
      <c r="AX232" s="740">
        <v>0</v>
      </c>
      <c r="AY232" s="428">
        <v>12</v>
      </c>
      <c r="AZ232" s="428">
        <v>6</v>
      </c>
      <c r="BA232" s="473" t="s">
        <v>526</v>
      </c>
      <c r="BB232" s="548">
        <f t="shared" si="148"/>
        <v>0.10762331838565023</v>
      </c>
      <c r="BC232" s="606">
        <f t="shared" si="149"/>
        <v>72</v>
      </c>
      <c r="BD232" s="548">
        <f t="shared" si="150"/>
        <v>0.10762331838565023</v>
      </c>
      <c r="BE232" s="606">
        <f t="shared" si="151"/>
        <v>72</v>
      </c>
      <c r="BF232" s="549">
        <f t="shared" si="152"/>
        <v>0</v>
      </c>
      <c r="BG232" s="606">
        <f t="shared" si="153"/>
        <v>0</v>
      </c>
      <c r="BH232" s="519" t="s">
        <v>475</v>
      </c>
      <c r="BI232" s="429">
        <v>0.11</v>
      </c>
      <c r="BJ232" s="606">
        <f t="shared" si="174"/>
        <v>73.59</v>
      </c>
      <c r="BK232" s="606" t="str">
        <f t="shared" si="154"/>
        <v>n/a</v>
      </c>
      <c r="BL232" s="428" t="s">
        <v>475</v>
      </c>
      <c r="BM232" s="548" t="str">
        <f t="shared" si="155"/>
        <v>n/a</v>
      </c>
      <c r="BN232" s="606" t="str">
        <f t="shared" si="156"/>
        <v>n/a</v>
      </c>
      <c r="BO232" s="606" t="str">
        <f t="shared" si="157"/>
        <v>n/a</v>
      </c>
      <c r="BP232" s="578" t="s">
        <v>475</v>
      </c>
      <c r="BQ232" s="606" t="s">
        <v>475</v>
      </c>
      <c r="BR232" s="519" t="s">
        <v>475</v>
      </c>
      <c r="BS232" s="548" t="str">
        <f t="shared" si="158"/>
        <v>n/a</v>
      </c>
      <c r="BT232" s="607" t="str">
        <f t="shared" si="159"/>
        <v>n/a</v>
      </c>
      <c r="BU232" s="1163">
        <v>0</v>
      </c>
      <c r="BV232" s="650"/>
      <c r="BW232" s="636"/>
      <c r="BX232" s="470" t="s">
        <v>475</v>
      </c>
      <c r="BY232" s="1192"/>
      <c r="BZ232" s="1192"/>
      <c r="CA232" s="608" t="str">
        <f t="shared" si="161"/>
        <v>n/a</v>
      </c>
      <c r="CB232" s="428"/>
      <c r="CC232" s="428"/>
      <c r="CD232" s="609" t="str">
        <f t="shared" si="162"/>
        <v>n/a</v>
      </c>
      <c r="CE232" s="610" t="str">
        <f t="shared" si="163"/>
        <v>n/a</v>
      </c>
      <c r="CF232" s="609" t="str">
        <f t="shared" si="164"/>
        <v>n/a</v>
      </c>
      <c r="CG232" s="658" t="str">
        <f t="shared" si="165"/>
        <v>n/a</v>
      </c>
      <c r="CH232" s="328"/>
      <c r="CI232" s="330">
        <v>0.24829999999999999</v>
      </c>
      <c r="CJ232" s="664">
        <f t="shared" si="166"/>
        <v>166.11269999999999</v>
      </c>
      <c r="CK232" s="328"/>
      <c r="CL232" s="611" t="str">
        <f t="shared" si="175"/>
        <v>No coverage</v>
      </c>
      <c r="CM232" s="428" t="s">
        <v>169</v>
      </c>
      <c r="CN232" s="428" t="s">
        <v>475</v>
      </c>
      <c r="CO232" s="428" t="s">
        <v>169</v>
      </c>
      <c r="CP232" s="570" t="s">
        <v>170</v>
      </c>
      <c r="CQ232" s="1170"/>
      <c r="CS232" s="1069">
        <f t="shared" si="167"/>
        <v>0</v>
      </c>
      <c r="CT232" s="1069">
        <f t="shared" si="168"/>
        <v>0</v>
      </c>
      <c r="CU232" s="1066">
        <f t="shared" si="169"/>
        <v>0</v>
      </c>
      <c r="CV232" s="1066">
        <f t="shared" si="170"/>
        <v>0</v>
      </c>
      <c r="CW232" s="1082">
        <f t="shared" si="171"/>
        <v>1.6725000000000001</v>
      </c>
      <c r="CX232" s="1082">
        <f t="shared" si="172"/>
        <v>2.6760000000000002</v>
      </c>
    </row>
    <row r="233" spans="2:102" ht="18" customHeight="1">
      <c r="B233" s="402" t="s">
        <v>64</v>
      </c>
      <c r="C233" s="603"/>
      <c r="D233" s="603"/>
      <c r="E233" s="1052">
        <v>197580</v>
      </c>
      <c r="F233" s="402" t="s">
        <v>594</v>
      </c>
      <c r="G233" s="556">
        <v>92.664699999999996</v>
      </c>
      <c r="H233" s="556">
        <v>20.582699999999999</v>
      </c>
      <c r="I233" s="560" t="s">
        <v>33</v>
      </c>
      <c r="J233" s="560" t="s">
        <v>45</v>
      </c>
      <c r="K233" s="604" t="s">
        <v>607</v>
      </c>
      <c r="L233" s="428">
        <v>0</v>
      </c>
      <c r="M233" s="428">
        <v>0</v>
      </c>
      <c r="N233" s="570">
        <v>348</v>
      </c>
      <c r="O233" s="328" t="s">
        <v>983</v>
      </c>
      <c r="P233" s="720" t="str">
        <f t="shared" si="132"/>
        <v>1. Small</v>
      </c>
      <c r="Q233" s="968" t="s">
        <v>153</v>
      </c>
      <c r="R233" s="625"/>
      <c r="S233" s="560" t="s">
        <v>172</v>
      </c>
      <c r="T233" s="323" t="str">
        <f t="shared" si="133"/>
        <v>Covered</v>
      </c>
      <c r="U233" s="561">
        <v>42369</v>
      </c>
      <c r="V233" s="1144"/>
      <c r="W233" s="558" t="s">
        <v>152</v>
      </c>
      <c r="X233" s="328">
        <v>0</v>
      </c>
      <c r="Y233" s="428">
        <v>0</v>
      </c>
      <c r="Z233" s="570" t="s">
        <v>43</v>
      </c>
      <c r="AA233" s="328">
        <v>0</v>
      </c>
      <c r="AB233" s="428">
        <v>0</v>
      </c>
      <c r="AC233" s="428">
        <v>0</v>
      </c>
      <c r="AD233" s="428">
        <v>5</v>
      </c>
      <c r="AE233" s="570"/>
      <c r="AF233" s="329">
        <v>0</v>
      </c>
      <c r="AG233" s="1124">
        <v>0</v>
      </c>
      <c r="AH233" s="630">
        <f t="shared" si="134"/>
        <v>0</v>
      </c>
      <c r="AI233" s="574">
        <f t="shared" si="135"/>
        <v>0</v>
      </c>
      <c r="AJ233" s="605">
        <f t="shared" si="136"/>
        <v>0</v>
      </c>
      <c r="AK233" s="574">
        <f t="shared" si="137"/>
        <v>0</v>
      </c>
      <c r="AL233" s="605">
        <f t="shared" si="138"/>
        <v>0</v>
      </c>
      <c r="AM233" s="574">
        <f t="shared" si="139"/>
        <v>0</v>
      </c>
      <c r="AN233" s="605" t="str">
        <f t="shared" si="140"/>
        <v>0-10%</v>
      </c>
      <c r="AO233" s="605">
        <f t="shared" si="141"/>
        <v>0</v>
      </c>
      <c r="AP233" s="574">
        <f t="shared" si="142"/>
        <v>0</v>
      </c>
      <c r="AQ233" s="574" t="str">
        <f t="shared" si="143"/>
        <v>yes</v>
      </c>
      <c r="AR233" s="574">
        <f t="shared" si="144"/>
        <v>1.3919999999999999</v>
      </c>
      <c r="AS233" s="574">
        <f t="shared" si="145"/>
        <v>0</v>
      </c>
      <c r="AT233" s="574">
        <f t="shared" si="146"/>
        <v>0</v>
      </c>
      <c r="AU233" s="1152">
        <v>0.2</v>
      </c>
      <c r="AV233" s="635">
        <f t="shared" si="147"/>
        <v>69.600000000000009</v>
      </c>
      <c r="AW233" s="325" t="s">
        <v>980</v>
      </c>
      <c r="AX233" s="740">
        <v>0</v>
      </c>
      <c r="AY233" s="428">
        <v>38</v>
      </c>
      <c r="AZ233" s="428">
        <v>6</v>
      </c>
      <c r="BA233" s="473" t="s">
        <v>526</v>
      </c>
      <c r="BB233" s="548">
        <f t="shared" si="148"/>
        <v>0.65517241379310343</v>
      </c>
      <c r="BC233" s="606">
        <f t="shared" si="149"/>
        <v>228</v>
      </c>
      <c r="BD233" s="548">
        <f t="shared" si="150"/>
        <v>0.65517241379310343</v>
      </c>
      <c r="BE233" s="606">
        <f t="shared" si="151"/>
        <v>228</v>
      </c>
      <c r="BF233" s="549">
        <f t="shared" si="152"/>
        <v>0</v>
      </c>
      <c r="BG233" s="606">
        <f t="shared" si="153"/>
        <v>0</v>
      </c>
      <c r="BH233" s="519" t="s">
        <v>475</v>
      </c>
      <c r="BI233" s="429">
        <v>0.66</v>
      </c>
      <c r="BJ233" s="606">
        <f t="shared" ref="BJ233:BJ264" si="176">BI233*N233</f>
        <v>229.68</v>
      </c>
      <c r="BK233" s="606" t="str">
        <f t="shared" si="154"/>
        <v>n/a</v>
      </c>
      <c r="BL233" s="428" t="s">
        <v>475</v>
      </c>
      <c r="BM233" s="548" t="str">
        <f t="shared" si="155"/>
        <v>n/a</v>
      </c>
      <c r="BN233" s="606" t="str">
        <f t="shared" si="156"/>
        <v>n/a</v>
      </c>
      <c r="BO233" s="606" t="str">
        <f t="shared" si="157"/>
        <v>n/a</v>
      </c>
      <c r="BP233" s="578" t="s">
        <v>475</v>
      </c>
      <c r="BQ233" s="606" t="s">
        <v>475</v>
      </c>
      <c r="BR233" s="519" t="s">
        <v>475</v>
      </c>
      <c r="BS233" s="548" t="str">
        <f t="shared" si="158"/>
        <v>n/a</v>
      </c>
      <c r="BT233" s="607" t="str">
        <f t="shared" si="159"/>
        <v>n/a</v>
      </c>
      <c r="BU233" s="1163">
        <v>0</v>
      </c>
      <c r="BV233" s="650" t="str">
        <f t="shared" ref="BV233:BV239" si="177">IF(I233="Village","n/a",BU233*N233)</f>
        <v>n/a</v>
      </c>
      <c r="BW233" s="636" t="s">
        <v>1142</v>
      </c>
      <c r="BX233" s="470" t="s">
        <v>475</v>
      </c>
      <c r="BY233" s="1192"/>
      <c r="BZ233" s="1192"/>
      <c r="CA233" s="608" t="str">
        <f t="shared" si="161"/>
        <v>n/a</v>
      </c>
      <c r="CB233" s="428"/>
      <c r="CC233" s="428"/>
      <c r="CD233" s="609" t="str">
        <f t="shared" si="162"/>
        <v>n/a</v>
      </c>
      <c r="CE233" s="610" t="str">
        <f t="shared" si="163"/>
        <v>n/a</v>
      </c>
      <c r="CF233" s="609" t="str">
        <f t="shared" si="164"/>
        <v>n/a</v>
      </c>
      <c r="CG233" s="658" t="str">
        <f t="shared" si="165"/>
        <v>n/a</v>
      </c>
      <c r="CH233" s="328"/>
      <c r="CI233" s="330">
        <v>0.91420000000000001</v>
      </c>
      <c r="CJ233" s="664">
        <f t="shared" si="166"/>
        <v>318.14159999999998</v>
      </c>
      <c r="CK233" s="328"/>
      <c r="CL233" s="611" t="s">
        <v>606</v>
      </c>
      <c r="CM233" s="428" t="s">
        <v>169</v>
      </c>
      <c r="CN233" s="428" t="s">
        <v>475</v>
      </c>
      <c r="CO233" s="428" t="s">
        <v>169</v>
      </c>
      <c r="CP233" s="570" t="s">
        <v>170</v>
      </c>
      <c r="CQ233" s="1171"/>
      <c r="CS233" s="1069">
        <f t="shared" si="167"/>
        <v>0</v>
      </c>
      <c r="CT233" s="1069">
        <f t="shared" si="168"/>
        <v>0</v>
      </c>
      <c r="CU233" s="1066">
        <f t="shared" si="169"/>
        <v>0</v>
      </c>
      <c r="CV233" s="1066">
        <f t="shared" si="170"/>
        <v>0</v>
      </c>
      <c r="CW233" s="1082">
        <f t="shared" si="171"/>
        <v>0.87</v>
      </c>
      <c r="CX233" s="1082">
        <f t="shared" si="172"/>
        <v>1.3919999999999999</v>
      </c>
    </row>
    <row r="234" spans="2:102" ht="18" customHeight="1">
      <c r="B234" s="402" t="s">
        <v>64</v>
      </c>
      <c r="C234" s="603"/>
      <c r="D234" s="603"/>
      <c r="E234" s="1052">
        <v>197596</v>
      </c>
      <c r="F234" s="402" t="s">
        <v>595</v>
      </c>
      <c r="G234" s="556">
        <v>92.645300000000006</v>
      </c>
      <c r="H234" s="556">
        <v>20.511900000000001</v>
      </c>
      <c r="I234" s="560" t="s">
        <v>33</v>
      </c>
      <c r="J234" s="560" t="s">
        <v>45</v>
      </c>
      <c r="K234" s="604" t="s">
        <v>607</v>
      </c>
      <c r="L234" s="428">
        <v>0</v>
      </c>
      <c r="M234" s="428">
        <v>0</v>
      </c>
      <c r="N234" s="570">
        <v>497</v>
      </c>
      <c r="O234" s="328" t="s">
        <v>983</v>
      </c>
      <c r="P234" s="720" t="str">
        <f t="shared" si="132"/>
        <v>1. Small</v>
      </c>
      <c r="Q234" s="968" t="s">
        <v>153</v>
      </c>
      <c r="R234" s="625"/>
      <c r="S234" s="560" t="s">
        <v>172</v>
      </c>
      <c r="T234" s="323" t="str">
        <f t="shared" si="133"/>
        <v>Covered</v>
      </c>
      <c r="U234" s="561">
        <v>42369</v>
      </c>
      <c r="V234" s="1144"/>
      <c r="W234" s="558" t="s">
        <v>152</v>
      </c>
      <c r="X234" s="328">
        <v>0</v>
      </c>
      <c r="Y234" s="428">
        <v>0</v>
      </c>
      <c r="Z234" s="570" t="s">
        <v>43</v>
      </c>
      <c r="AA234" s="328">
        <v>0</v>
      </c>
      <c r="AB234" s="428">
        <v>0</v>
      </c>
      <c r="AC234" s="428">
        <v>0</v>
      </c>
      <c r="AD234" s="428">
        <v>3</v>
      </c>
      <c r="AE234" s="570"/>
      <c r="AF234" s="329">
        <v>0</v>
      </c>
      <c r="AG234" s="1124">
        <v>0</v>
      </c>
      <c r="AH234" s="630">
        <f t="shared" si="134"/>
        <v>0</v>
      </c>
      <c r="AI234" s="574">
        <f t="shared" si="135"/>
        <v>0</v>
      </c>
      <c r="AJ234" s="605">
        <f t="shared" si="136"/>
        <v>0</v>
      </c>
      <c r="AK234" s="574">
        <f t="shared" si="137"/>
        <v>0</v>
      </c>
      <c r="AL234" s="605">
        <f t="shared" si="138"/>
        <v>0</v>
      </c>
      <c r="AM234" s="574">
        <f t="shared" si="139"/>
        <v>0</v>
      </c>
      <c r="AN234" s="605" t="str">
        <f t="shared" si="140"/>
        <v>0-10%</v>
      </c>
      <c r="AO234" s="605">
        <f t="shared" si="141"/>
        <v>0</v>
      </c>
      <c r="AP234" s="574">
        <f t="shared" si="142"/>
        <v>0</v>
      </c>
      <c r="AQ234" s="574" t="str">
        <f t="shared" si="143"/>
        <v>yes</v>
      </c>
      <c r="AR234" s="574">
        <f t="shared" si="144"/>
        <v>1.988</v>
      </c>
      <c r="AS234" s="574">
        <f t="shared" si="145"/>
        <v>0</v>
      </c>
      <c r="AT234" s="574">
        <f t="shared" si="146"/>
        <v>0</v>
      </c>
      <c r="AU234" s="1152">
        <v>0</v>
      </c>
      <c r="AV234" s="635">
        <f t="shared" si="147"/>
        <v>0</v>
      </c>
      <c r="AW234" s="325" t="s">
        <v>677</v>
      </c>
      <c r="AX234" s="740">
        <v>0</v>
      </c>
      <c r="AY234" s="428">
        <v>6</v>
      </c>
      <c r="AZ234" s="428">
        <v>6</v>
      </c>
      <c r="BA234" s="473" t="s">
        <v>526</v>
      </c>
      <c r="BB234" s="548">
        <f t="shared" si="148"/>
        <v>7.2434607645875254E-2</v>
      </c>
      <c r="BC234" s="606">
        <f t="shared" si="149"/>
        <v>36</v>
      </c>
      <c r="BD234" s="548">
        <f t="shared" si="150"/>
        <v>7.2434607645875254E-2</v>
      </c>
      <c r="BE234" s="606">
        <f t="shared" si="151"/>
        <v>36</v>
      </c>
      <c r="BF234" s="549">
        <f t="shared" si="152"/>
        <v>0</v>
      </c>
      <c r="BG234" s="606">
        <f t="shared" si="153"/>
        <v>0</v>
      </c>
      <c r="BH234" s="519" t="s">
        <v>475</v>
      </c>
      <c r="BI234" s="429">
        <v>7.0000000000000007E-2</v>
      </c>
      <c r="BJ234" s="606">
        <f t="shared" si="176"/>
        <v>34.790000000000006</v>
      </c>
      <c r="BK234" s="606" t="str">
        <f t="shared" si="154"/>
        <v>n/a</v>
      </c>
      <c r="BL234" s="428" t="s">
        <v>475</v>
      </c>
      <c r="BM234" s="548" t="str">
        <f t="shared" si="155"/>
        <v>n/a</v>
      </c>
      <c r="BN234" s="606" t="str">
        <f t="shared" si="156"/>
        <v>n/a</v>
      </c>
      <c r="BO234" s="606" t="str">
        <f t="shared" si="157"/>
        <v>n/a</v>
      </c>
      <c r="BP234" s="578" t="s">
        <v>475</v>
      </c>
      <c r="BQ234" s="606" t="s">
        <v>475</v>
      </c>
      <c r="BR234" s="519" t="s">
        <v>475</v>
      </c>
      <c r="BS234" s="548" t="str">
        <f t="shared" si="158"/>
        <v>n/a</v>
      </c>
      <c r="BT234" s="607" t="str">
        <f t="shared" si="159"/>
        <v>n/a</v>
      </c>
      <c r="BU234" s="1163">
        <v>0</v>
      </c>
      <c r="BV234" s="650" t="str">
        <f t="shared" si="177"/>
        <v>n/a</v>
      </c>
      <c r="BW234" s="636" t="s">
        <v>1141</v>
      </c>
      <c r="BX234" s="470" t="s">
        <v>475</v>
      </c>
      <c r="BY234" s="1192"/>
      <c r="BZ234" s="1192"/>
      <c r="CA234" s="608" t="str">
        <f t="shared" si="161"/>
        <v>n/a</v>
      </c>
      <c r="CB234" s="428"/>
      <c r="CC234" s="428"/>
      <c r="CD234" s="609" t="str">
        <f t="shared" si="162"/>
        <v>n/a</v>
      </c>
      <c r="CE234" s="610" t="str">
        <f t="shared" si="163"/>
        <v>n/a</v>
      </c>
      <c r="CF234" s="609" t="str">
        <f t="shared" si="164"/>
        <v>n/a</v>
      </c>
      <c r="CG234" s="658" t="str">
        <f t="shared" si="165"/>
        <v>n/a</v>
      </c>
      <c r="CH234" s="328"/>
      <c r="CI234" s="330">
        <v>0.26750000000000002</v>
      </c>
      <c r="CJ234" s="664">
        <f t="shared" si="166"/>
        <v>132.94750000000002</v>
      </c>
      <c r="CK234" s="328"/>
      <c r="CL234" s="611" t="s">
        <v>606</v>
      </c>
      <c r="CM234" s="428" t="s">
        <v>169</v>
      </c>
      <c r="CN234" s="428" t="s">
        <v>475</v>
      </c>
      <c r="CO234" s="428" t="s">
        <v>41</v>
      </c>
      <c r="CP234" s="570" t="s">
        <v>170</v>
      </c>
      <c r="CQ234" s="1170"/>
      <c r="CS234" s="1069">
        <f t="shared" si="167"/>
        <v>0</v>
      </c>
      <c r="CT234" s="1069">
        <f t="shared" si="168"/>
        <v>0</v>
      </c>
      <c r="CU234" s="1066">
        <f t="shared" si="169"/>
        <v>0</v>
      </c>
      <c r="CV234" s="1066">
        <f t="shared" si="170"/>
        <v>0</v>
      </c>
      <c r="CW234" s="1082">
        <f t="shared" si="171"/>
        <v>1.2424999999999999</v>
      </c>
      <c r="CX234" s="1082">
        <f t="shared" si="172"/>
        <v>1.988</v>
      </c>
    </row>
    <row r="235" spans="2:102" ht="18" customHeight="1">
      <c r="B235" s="402" t="s">
        <v>64</v>
      </c>
      <c r="C235" s="603"/>
      <c r="D235" s="603"/>
      <c r="E235" s="1053">
        <v>197597</v>
      </c>
      <c r="F235" s="402" t="s">
        <v>443</v>
      </c>
      <c r="G235" s="556">
        <v>92.650499999999994</v>
      </c>
      <c r="H235" s="556">
        <v>20.550799999999999</v>
      </c>
      <c r="I235" s="560" t="s">
        <v>33</v>
      </c>
      <c r="J235" s="560" t="s">
        <v>34</v>
      </c>
      <c r="K235" s="604" t="s">
        <v>455</v>
      </c>
      <c r="L235" s="428">
        <v>0</v>
      </c>
      <c r="M235" s="428">
        <v>0</v>
      </c>
      <c r="N235" s="570">
        <v>1004</v>
      </c>
      <c r="O235" s="328" t="s">
        <v>984</v>
      </c>
      <c r="P235" s="720" t="str">
        <f t="shared" si="132"/>
        <v>3. Large</v>
      </c>
      <c r="Q235" s="968" t="s">
        <v>153</v>
      </c>
      <c r="R235" s="625"/>
      <c r="S235" s="560" t="s">
        <v>172</v>
      </c>
      <c r="T235" s="323" t="str">
        <f t="shared" si="133"/>
        <v>Covered</v>
      </c>
      <c r="U235" s="561">
        <v>42369</v>
      </c>
      <c r="V235" s="1144"/>
      <c r="W235" s="558" t="s">
        <v>152</v>
      </c>
      <c r="X235" s="328">
        <v>0</v>
      </c>
      <c r="Y235" s="428">
        <v>0</v>
      </c>
      <c r="Z235" s="570" t="s">
        <v>43</v>
      </c>
      <c r="AA235" s="328">
        <v>1</v>
      </c>
      <c r="AB235" s="428">
        <v>0</v>
      </c>
      <c r="AC235" s="428">
        <v>0</v>
      </c>
      <c r="AD235" s="428">
        <v>5</v>
      </c>
      <c r="AE235" s="570"/>
      <c r="AF235" s="329">
        <v>0</v>
      </c>
      <c r="AG235" s="1124">
        <v>0</v>
      </c>
      <c r="AH235" s="630">
        <f t="shared" si="134"/>
        <v>0.24900398406374502</v>
      </c>
      <c r="AI235" s="574">
        <f t="shared" si="135"/>
        <v>250</v>
      </c>
      <c r="AJ235" s="605">
        <f t="shared" si="136"/>
        <v>0.24900398406374502</v>
      </c>
      <c r="AK235" s="574">
        <f t="shared" si="137"/>
        <v>250</v>
      </c>
      <c r="AL235" s="605">
        <f t="shared" si="138"/>
        <v>0.24900398406374502</v>
      </c>
      <c r="AM235" s="574">
        <f t="shared" si="139"/>
        <v>250</v>
      </c>
      <c r="AN235" s="605" t="str">
        <f t="shared" si="140"/>
        <v>15-30%</v>
      </c>
      <c r="AO235" s="605">
        <f t="shared" si="141"/>
        <v>0</v>
      </c>
      <c r="AP235" s="574">
        <f t="shared" si="142"/>
        <v>0</v>
      </c>
      <c r="AQ235" s="574" t="str">
        <f t="shared" si="143"/>
        <v>yes</v>
      </c>
      <c r="AR235" s="574">
        <f t="shared" si="144"/>
        <v>3.016</v>
      </c>
      <c r="AS235" s="574">
        <f t="shared" si="145"/>
        <v>0</v>
      </c>
      <c r="AT235" s="574">
        <f t="shared" si="146"/>
        <v>0</v>
      </c>
      <c r="AU235" s="1152">
        <v>0.25</v>
      </c>
      <c r="AV235" s="635">
        <f t="shared" si="147"/>
        <v>251</v>
      </c>
      <c r="AW235" s="325" t="s">
        <v>941</v>
      </c>
      <c r="AX235" s="740">
        <v>0</v>
      </c>
      <c r="AY235" s="428">
        <v>34</v>
      </c>
      <c r="AZ235" s="428">
        <v>6</v>
      </c>
      <c r="BA235" s="473" t="s">
        <v>526</v>
      </c>
      <c r="BB235" s="548">
        <f t="shared" si="148"/>
        <v>0.20318725099601595</v>
      </c>
      <c r="BC235" s="606">
        <f t="shared" si="149"/>
        <v>204</v>
      </c>
      <c r="BD235" s="548">
        <f t="shared" si="150"/>
        <v>0.20318725099601595</v>
      </c>
      <c r="BE235" s="606">
        <f t="shared" si="151"/>
        <v>204</v>
      </c>
      <c r="BF235" s="549">
        <f t="shared" si="152"/>
        <v>0</v>
      </c>
      <c r="BG235" s="606">
        <f t="shared" si="153"/>
        <v>0</v>
      </c>
      <c r="BH235" s="519" t="s">
        <v>475</v>
      </c>
      <c r="BI235" s="429">
        <v>0.2</v>
      </c>
      <c r="BJ235" s="606">
        <f t="shared" si="176"/>
        <v>200.8</v>
      </c>
      <c r="BK235" s="606" t="str">
        <f t="shared" si="154"/>
        <v>n/a</v>
      </c>
      <c r="BL235" s="428" t="s">
        <v>475</v>
      </c>
      <c r="BM235" s="548" t="str">
        <f t="shared" si="155"/>
        <v>n/a</v>
      </c>
      <c r="BN235" s="606" t="str">
        <f t="shared" si="156"/>
        <v>n/a</v>
      </c>
      <c r="BO235" s="606" t="str">
        <f t="shared" si="157"/>
        <v>n/a</v>
      </c>
      <c r="BP235" s="578" t="s">
        <v>475</v>
      </c>
      <c r="BQ235" s="606" t="s">
        <v>475</v>
      </c>
      <c r="BR235" s="519" t="s">
        <v>475</v>
      </c>
      <c r="BS235" s="548" t="str">
        <f t="shared" si="158"/>
        <v>n/a</v>
      </c>
      <c r="BT235" s="607" t="str">
        <f t="shared" si="159"/>
        <v>n/a</v>
      </c>
      <c r="BU235" s="1163">
        <v>0</v>
      </c>
      <c r="BV235" s="650" t="str">
        <f t="shared" si="177"/>
        <v>n/a</v>
      </c>
      <c r="BW235" s="636" t="s">
        <v>1141</v>
      </c>
      <c r="BX235" s="470" t="s">
        <v>475</v>
      </c>
      <c r="BY235" s="1192"/>
      <c r="BZ235" s="1192"/>
      <c r="CA235" s="608" t="str">
        <f t="shared" si="161"/>
        <v>n/a</v>
      </c>
      <c r="CB235" s="428"/>
      <c r="CC235" s="428"/>
      <c r="CD235" s="609" t="str">
        <f t="shared" si="162"/>
        <v>n/a</v>
      </c>
      <c r="CE235" s="610" t="str">
        <f t="shared" si="163"/>
        <v>n/a</v>
      </c>
      <c r="CF235" s="609" t="str">
        <f t="shared" si="164"/>
        <v>n/a</v>
      </c>
      <c r="CG235" s="658" t="str">
        <f t="shared" si="165"/>
        <v>n/a</v>
      </c>
      <c r="CH235" s="328"/>
      <c r="CI235" s="330">
        <v>0.40110000000000001</v>
      </c>
      <c r="CJ235" s="664">
        <f t="shared" si="166"/>
        <v>402.70440000000002</v>
      </c>
      <c r="CK235" s="328"/>
      <c r="CL235" s="611" t="str">
        <f t="shared" ref="CL235:CL242" si="178">IF(CK235=0,"No coverage",IF(N235/CK235&gt;1000,"Low coverage",IF(N235/CK235&gt;750,"Average coverage",IF(N235/CK235&gt;500,"Good coverage","Excellent coverage"))))</f>
        <v>No coverage</v>
      </c>
      <c r="CM235" s="428" t="s">
        <v>169</v>
      </c>
      <c r="CN235" s="428" t="s">
        <v>475</v>
      </c>
      <c r="CO235" s="428" t="s">
        <v>170</v>
      </c>
      <c r="CP235" s="570" t="s">
        <v>170</v>
      </c>
      <c r="CQ235" s="1170"/>
      <c r="CS235" s="1069">
        <f t="shared" si="167"/>
        <v>0.39840637450199201</v>
      </c>
      <c r="CT235" s="1069">
        <f t="shared" si="168"/>
        <v>0.24900398406374502</v>
      </c>
      <c r="CU235" s="1066">
        <f t="shared" si="169"/>
        <v>0.39840637450199201</v>
      </c>
      <c r="CV235" s="1066">
        <f t="shared" si="170"/>
        <v>0.24900398406374502</v>
      </c>
      <c r="CW235" s="1082">
        <f t="shared" si="171"/>
        <v>1.5099999999999998</v>
      </c>
      <c r="CX235" s="1082">
        <f t="shared" si="172"/>
        <v>3.016</v>
      </c>
    </row>
    <row r="236" spans="2:102" ht="18" customHeight="1">
      <c r="B236" s="721" t="s">
        <v>64</v>
      </c>
      <c r="C236" s="604"/>
      <c r="D236" s="604"/>
      <c r="E236" s="1053">
        <v>197779</v>
      </c>
      <c r="F236" s="721" t="s">
        <v>65</v>
      </c>
      <c r="G236" s="722">
        <v>92.785706000000005</v>
      </c>
      <c r="H236" s="722">
        <v>20.335864000000001</v>
      </c>
      <c r="I236" s="595" t="s">
        <v>33</v>
      </c>
      <c r="J236" s="595" t="s">
        <v>45</v>
      </c>
      <c r="K236" s="604" t="s">
        <v>508</v>
      </c>
      <c r="L236" s="585">
        <v>0</v>
      </c>
      <c r="M236" s="585">
        <v>0</v>
      </c>
      <c r="N236" s="723">
        <v>176</v>
      </c>
      <c r="O236" s="328" t="s">
        <v>983</v>
      </c>
      <c r="P236" s="1134" t="str">
        <f t="shared" si="132"/>
        <v>1. Small</v>
      </c>
      <c r="Q236" s="1135" t="s">
        <v>139</v>
      </c>
      <c r="R236" s="1137"/>
      <c r="S236" s="595" t="s">
        <v>139</v>
      </c>
      <c r="T236" s="323" t="str">
        <f t="shared" si="133"/>
        <v>Not Covered</v>
      </c>
      <c r="U236" s="592"/>
      <c r="V236" s="1142"/>
      <c r="W236" s="558" t="s">
        <v>152</v>
      </c>
      <c r="X236" s="597">
        <v>0</v>
      </c>
      <c r="Y236" s="580">
        <v>0</v>
      </c>
      <c r="Z236" s="590" t="s">
        <v>43</v>
      </c>
      <c r="AA236" s="579">
        <v>3</v>
      </c>
      <c r="AB236" s="580">
        <v>4</v>
      </c>
      <c r="AC236" s="580">
        <v>0</v>
      </c>
      <c r="AD236" s="580">
        <v>1</v>
      </c>
      <c r="AE236" s="590"/>
      <c r="AF236" s="573">
        <v>0</v>
      </c>
      <c r="AG236" s="1152">
        <v>1</v>
      </c>
      <c r="AH236" s="630">
        <f t="shared" si="134"/>
        <v>1</v>
      </c>
      <c r="AI236" s="577">
        <f t="shared" si="135"/>
        <v>176</v>
      </c>
      <c r="AJ236" s="605">
        <f t="shared" si="136"/>
        <v>1</v>
      </c>
      <c r="AK236" s="577">
        <f t="shared" si="137"/>
        <v>176</v>
      </c>
      <c r="AL236" s="631">
        <f t="shared" si="138"/>
        <v>1</v>
      </c>
      <c r="AM236" s="577">
        <f t="shared" si="139"/>
        <v>176</v>
      </c>
      <c r="AN236" s="633" t="str">
        <f t="shared" si="140"/>
        <v>80-100%</v>
      </c>
      <c r="AO236" s="631">
        <f t="shared" si="141"/>
        <v>0</v>
      </c>
      <c r="AP236" s="577">
        <f t="shared" si="142"/>
        <v>0</v>
      </c>
      <c r="AQ236" s="577" t="str">
        <f t="shared" si="143"/>
        <v>yes</v>
      </c>
      <c r="AR236" s="574">
        <f t="shared" si="144"/>
        <v>0</v>
      </c>
      <c r="AS236" s="574">
        <f t="shared" si="145"/>
        <v>176</v>
      </c>
      <c r="AT236" s="574">
        <f t="shared" si="146"/>
        <v>0</v>
      </c>
      <c r="AU236" s="1152">
        <v>1</v>
      </c>
      <c r="AV236" s="635">
        <f t="shared" si="147"/>
        <v>176</v>
      </c>
      <c r="AW236" s="584"/>
      <c r="AX236" s="1079">
        <v>0</v>
      </c>
      <c r="AY236" s="580">
        <v>30</v>
      </c>
      <c r="AZ236" s="428">
        <v>6</v>
      </c>
      <c r="BA236" s="428" t="s">
        <v>963</v>
      </c>
      <c r="BB236" s="548">
        <f t="shared" si="148"/>
        <v>1</v>
      </c>
      <c r="BC236" s="606">
        <f t="shared" si="149"/>
        <v>176</v>
      </c>
      <c r="BD236" s="548">
        <f t="shared" si="150"/>
        <v>1</v>
      </c>
      <c r="BE236" s="576">
        <f t="shared" si="151"/>
        <v>176</v>
      </c>
      <c r="BF236" s="646">
        <f t="shared" si="152"/>
        <v>0</v>
      </c>
      <c r="BG236" s="606">
        <f t="shared" si="153"/>
        <v>0</v>
      </c>
      <c r="BH236" s="593" t="s">
        <v>475</v>
      </c>
      <c r="BI236" s="586">
        <v>1</v>
      </c>
      <c r="BJ236" s="606">
        <f t="shared" si="176"/>
        <v>176</v>
      </c>
      <c r="BK236" s="596" t="str">
        <f t="shared" si="154"/>
        <v>n/a</v>
      </c>
      <c r="BL236" s="580" t="s">
        <v>475</v>
      </c>
      <c r="BM236" s="645" t="str">
        <f t="shared" si="155"/>
        <v>n/a</v>
      </c>
      <c r="BN236" s="606" t="str">
        <f t="shared" si="156"/>
        <v>n/a</v>
      </c>
      <c r="BO236" s="596" t="str">
        <f t="shared" si="157"/>
        <v>n/a</v>
      </c>
      <c r="BP236" s="647" t="s">
        <v>475</v>
      </c>
      <c r="BQ236" s="606" t="s">
        <v>475</v>
      </c>
      <c r="BR236" s="593" t="s">
        <v>475</v>
      </c>
      <c r="BS236" s="645" t="str">
        <f t="shared" si="158"/>
        <v>n/a</v>
      </c>
      <c r="BT236" s="648" t="str">
        <f t="shared" si="159"/>
        <v>n/a</v>
      </c>
      <c r="BU236" s="1161" t="s">
        <v>475</v>
      </c>
      <c r="BV236" s="650" t="str">
        <f t="shared" si="177"/>
        <v>n/a</v>
      </c>
      <c r="BW236" s="637"/>
      <c r="BX236" s="591" t="s">
        <v>475</v>
      </c>
      <c r="BY236" s="1193"/>
      <c r="BZ236" s="1193"/>
      <c r="CA236" s="659" t="str">
        <f t="shared" si="161"/>
        <v>n/a</v>
      </c>
      <c r="CB236" s="580"/>
      <c r="CC236" s="580"/>
      <c r="CD236" s="660" t="str">
        <f t="shared" si="162"/>
        <v>n/a</v>
      </c>
      <c r="CE236" s="661" t="str">
        <f t="shared" si="163"/>
        <v>n/a</v>
      </c>
      <c r="CF236" s="609" t="str">
        <f t="shared" si="164"/>
        <v>n/a</v>
      </c>
      <c r="CG236" s="662" t="str">
        <f t="shared" si="165"/>
        <v>n/a</v>
      </c>
      <c r="CH236" s="579"/>
      <c r="CI236" s="330"/>
      <c r="CJ236" s="664">
        <f t="shared" si="166"/>
        <v>0</v>
      </c>
      <c r="CK236" s="579"/>
      <c r="CL236" s="674" t="str">
        <f t="shared" si="178"/>
        <v>No coverage</v>
      </c>
      <c r="CM236" s="580"/>
      <c r="CN236" s="580"/>
      <c r="CO236" s="580"/>
      <c r="CP236" s="590"/>
      <c r="CQ236" s="1168"/>
      <c r="CS236" s="1069">
        <f t="shared" si="167"/>
        <v>1</v>
      </c>
      <c r="CT236" s="1069">
        <f t="shared" si="168"/>
        <v>1</v>
      </c>
      <c r="CU236" s="1066">
        <f t="shared" si="169"/>
        <v>1</v>
      </c>
      <c r="CV236" s="1066">
        <f t="shared" si="170"/>
        <v>1</v>
      </c>
      <c r="CW236" s="1082">
        <f t="shared" si="171"/>
        <v>0</v>
      </c>
      <c r="CX236" s="1082">
        <f t="shared" si="172"/>
        <v>0</v>
      </c>
    </row>
    <row r="237" spans="2:102" ht="18" customHeight="1">
      <c r="B237" s="721" t="s">
        <v>64</v>
      </c>
      <c r="C237" s="604"/>
      <c r="D237" s="604"/>
      <c r="E237" s="1054" t="s">
        <v>220</v>
      </c>
      <c r="F237" s="721" t="s">
        <v>65</v>
      </c>
      <c r="G237" s="722">
        <v>92.785706000000005</v>
      </c>
      <c r="H237" s="722">
        <v>20.335864000000001</v>
      </c>
      <c r="I237" s="595" t="s">
        <v>33</v>
      </c>
      <c r="J237" s="595" t="s">
        <v>34</v>
      </c>
      <c r="K237" s="604" t="s">
        <v>1157</v>
      </c>
      <c r="L237" s="585">
        <v>56</v>
      </c>
      <c r="M237" s="585">
        <v>352</v>
      </c>
      <c r="N237" s="723">
        <v>1702</v>
      </c>
      <c r="O237" s="328" t="s">
        <v>983</v>
      </c>
      <c r="P237" s="1134" t="str">
        <f t="shared" si="132"/>
        <v>3. Large</v>
      </c>
      <c r="Q237" s="1135" t="s">
        <v>283</v>
      </c>
      <c r="R237" s="1137" t="s">
        <v>301</v>
      </c>
      <c r="S237" s="595" t="s">
        <v>54</v>
      </c>
      <c r="T237" s="323" t="str">
        <f t="shared" si="133"/>
        <v>Covered</v>
      </c>
      <c r="U237" s="561">
        <v>42490</v>
      </c>
      <c r="V237" s="1142"/>
      <c r="W237" s="558" t="s">
        <v>152</v>
      </c>
      <c r="X237" s="597">
        <v>0</v>
      </c>
      <c r="Y237" s="585">
        <v>0</v>
      </c>
      <c r="Z237" s="598" t="s">
        <v>43</v>
      </c>
      <c r="AA237" s="597">
        <v>11</v>
      </c>
      <c r="AB237" s="585">
        <v>0</v>
      </c>
      <c r="AC237" s="585">
        <v>0</v>
      </c>
      <c r="AD237" s="585">
        <v>3</v>
      </c>
      <c r="AE237" s="598"/>
      <c r="AF237" s="583">
        <v>0</v>
      </c>
      <c r="AG237" s="1153">
        <v>1</v>
      </c>
      <c r="AH237" s="630">
        <f t="shared" si="134"/>
        <v>1</v>
      </c>
      <c r="AI237" s="577">
        <f t="shared" si="135"/>
        <v>1702</v>
      </c>
      <c r="AJ237" s="605">
        <f t="shared" si="136"/>
        <v>1</v>
      </c>
      <c r="AK237" s="577">
        <f t="shared" si="137"/>
        <v>1702</v>
      </c>
      <c r="AL237" s="631">
        <f t="shared" si="138"/>
        <v>1</v>
      </c>
      <c r="AM237" s="577">
        <f t="shared" si="139"/>
        <v>1702</v>
      </c>
      <c r="AN237" s="633" t="str">
        <f t="shared" si="140"/>
        <v>80-100%</v>
      </c>
      <c r="AO237" s="631">
        <f t="shared" si="141"/>
        <v>0</v>
      </c>
      <c r="AP237" s="577">
        <f t="shared" si="142"/>
        <v>0</v>
      </c>
      <c r="AQ237" s="577" t="str">
        <f t="shared" si="143"/>
        <v>yes</v>
      </c>
      <c r="AR237" s="574">
        <f t="shared" si="144"/>
        <v>0</v>
      </c>
      <c r="AS237" s="574">
        <f t="shared" si="145"/>
        <v>1702</v>
      </c>
      <c r="AT237" s="574">
        <f t="shared" si="146"/>
        <v>0</v>
      </c>
      <c r="AU237" s="1152">
        <v>1</v>
      </c>
      <c r="AV237" s="635">
        <f t="shared" si="147"/>
        <v>1702</v>
      </c>
      <c r="AW237" s="584"/>
      <c r="AX237" s="1079">
        <v>0</v>
      </c>
      <c r="AY237" s="580">
        <v>30</v>
      </c>
      <c r="AZ237" s="428">
        <v>6</v>
      </c>
      <c r="BA237" s="473" t="s">
        <v>963</v>
      </c>
      <c r="BB237" s="548">
        <f t="shared" si="148"/>
        <v>0.10575793184488837</v>
      </c>
      <c r="BC237" s="606">
        <f t="shared" si="149"/>
        <v>180</v>
      </c>
      <c r="BD237" s="548">
        <f t="shared" si="150"/>
        <v>0.10575793184488837</v>
      </c>
      <c r="BE237" s="576">
        <f t="shared" si="151"/>
        <v>180</v>
      </c>
      <c r="BF237" s="646">
        <f t="shared" si="152"/>
        <v>0</v>
      </c>
      <c r="BG237" s="606">
        <f t="shared" si="153"/>
        <v>0</v>
      </c>
      <c r="BH237" s="593" t="s">
        <v>475</v>
      </c>
      <c r="BI237" s="586">
        <v>1</v>
      </c>
      <c r="BJ237" s="606">
        <f t="shared" si="176"/>
        <v>1702</v>
      </c>
      <c r="BK237" s="596" t="str">
        <f t="shared" si="154"/>
        <v>n/a</v>
      </c>
      <c r="BL237" s="580" t="s">
        <v>475</v>
      </c>
      <c r="BM237" s="645" t="str">
        <f t="shared" si="155"/>
        <v>n/a</v>
      </c>
      <c r="BN237" s="606" t="str">
        <f t="shared" si="156"/>
        <v>n/a</v>
      </c>
      <c r="BO237" s="596" t="str">
        <f t="shared" si="157"/>
        <v>n/a</v>
      </c>
      <c r="BP237" s="647" t="s">
        <v>475</v>
      </c>
      <c r="BQ237" s="606" t="s">
        <v>475</v>
      </c>
      <c r="BR237" s="593" t="s">
        <v>475</v>
      </c>
      <c r="BS237" s="645" t="str">
        <f t="shared" si="158"/>
        <v>n/a</v>
      </c>
      <c r="BT237" s="648" t="str">
        <f t="shared" si="159"/>
        <v>n/a</v>
      </c>
      <c r="BU237" s="1161" t="s">
        <v>475</v>
      </c>
      <c r="BV237" s="650" t="str">
        <f t="shared" si="177"/>
        <v>n/a</v>
      </c>
      <c r="BW237" s="637"/>
      <c r="BX237" s="591">
        <v>41866</v>
      </c>
      <c r="BY237" s="1193"/>
      <c r="BZ237" s="1193"/>
      <c r="CA237" s="659" t="str">
        <f t="shared" si="161"/>
        <v>n/a</v>
      </c>
      <c r="CB237" s="580">
        <v>56</v>
      </c>
      <c r="CC237" s="580">
        <v>6</v>
      </c>
      <c r="CD237" s="660" t="str">
        <f t="shared" si="162"/>
        <v>n/a</v>
      </c>
      <c r="CE237" s="661" t="str">
        <f t="shared" si="163"/>
        <v>n/a</v>
      </c>
      <c r="CF237" s="609" t="str">
        <f t="shared" si="164"/>
        <v>n/a</v>
      </c>
      <c r="CG237" s="662" t="str">
        <f t="shared" si="165"/>
        <v>n/a</v>
      </c>
      <c r="CH237" s="579" t="s">
        <v>505</v>
      </c>
      <c r="CI237" s="330">
        <v>0.85</v>
      </c>
      <c r="CJ237" s="664">
        <f t="shared" si="166"/>
        <v>1446.7</v>
      </c>
      <c r="CK237" s="579">
        <v>2</v>
      </c>
      <c r="CL237" s="674" t="str">
        <f t="shared" si="178"/>
        <v>Average coverage</v>
      </c>
      <c r="CM237" s="580" t="s">
        <v>169</v>
      </c>
      <c r="CN237" s="580" t="s">
        <v>43</v>
      </c>
      <c r="CO237" s="580" t="s">
        <v>169</v>
      </c>
      <c r="CP237" s="590" t="s">
        <v>475</v>
      </c>
      <c r="CQ237" s="1168"/>
      <c r="CS237" s="1069">
        <f t="shared" si="167"/>
        <v>1</v>
      </c>
      <c r="CT237" s="1069">
        <f t="shared" si="168"/>
        <v>1</v>
      </c>
      <c r="CU237" s="1066">
        <f t="shared" si="169"/>
        <v>1</v>
      </c>
      <c r="CV237" s="1066">
        <f t="shared" si="170"/>
        <v>1</v>
      </c>
      <c r="CW237" s="1082">
        <f t="shared" si="171"/>
        <v>0</v>
      </c>
      <c r="CX237" s="1082">
        <f t="shared" si="172"/>
        <v>0</v>
      </c>
    </row>
    <row r="238" spans="2:102" ht="18" customHeight="1">
      <c r="B238" s="402" t="s">
        <v>64</v>
      </c>
      <c r="C238" s="603"/>
      <c r="D238" s="603"/>
      <c r="E238" s="1053">
        <v>197598</v>
      </c>
      <c r="F238" s="402" t="s">
        <v>485</v>
      </c>
      <c r="G238" s="556">
        <v>92.640900000000002</v>
      </c>
      <c r="H238" s="556">
        <v>20.5185</v>
      </c>
      <c r="I238" s="560" t="s">
        <v>33</v>
      </c>
      <c r="J238" s="560" t="s">
        <v>45</v>
      </c>
      <c r="K238" s="604" t="s">
        <v>455</v>
      </c>
      <c r="L238" s="428">
        <v>0</v>
      </c>
      <c r="M238" s="428">
        <v>0</v>
      </c>
      <c r="N238" s="570">
        <v>236</v>
      </c>
      <c r="O238" s="328" t="s">
        <v>983</v>
      </c>
      <c r="P238" s="720" t="str">
        <f t="shared" si="132"/>
        <v>1. Small</v>
      </c>
      <c r="Q238" s="968" t="s">
        <v>153</v>
      </c>
      <c r="R238" s="625"/>
      <c r="S238" s="560" t="s">
        <v>172</v>
      </c>
      <c r="T238" s="323" t="str">
        <f t="shared" si="133"/>
        <v>Covered</v>
      </c>
      <c r="U238" s="561">
        <v>42369</v>
      </c>
      <c r="V238" s="1144"/>
      <c r="W238" s="558" t="s">
        <v>152</v>
      </c>
      <c r="X238" s="328">
        <v>0</v>
      </c>
      <c r="Y238" s="428">
        <v>0</v>
      </c>
      <c r="Z238" s="570" t="s">
        <v>43</v>
      </c>
      <c r="AA238" s="328">
        <v>0</v>
      </c>
      <c r="AB238" s="428">
        <v>0</v>
      </c>
      <c r="AC238" s="428">
        <v>0</v>
      </c>
      <c r="AD238" s="428">
        <v>1</v>
      </c>
      <c r="AE238" s="570"/>
      <c r="AF238" s="329">
        <v>0</v>
      </c>
      <c r="AG238" s="1124">
        <v>0.82</v>
      </c>
      <c r="AH238" s="630">
        <f t="shared" si="134"/>
        <v>0</v>
      </c>
      <c r="AI238" s="574">
        <f t="shared" si="135"/>
        <v>0</v>
      </c>
      <c r="AJ238" s="605">
        <f t="shared" si="136"/>
        <v>0</v>
      </c>
      <c r="AK238" s="574">
        <f t="shared" si="137"/>
        <v>0</v>
      </c>
      <c r="AL238" s="605">
        <f t="shared" si="138"/>
        <v>0.82</v>
      </c>
      <c r="AM238" s="574">
        <f t="shared" si="139"/>
        <v>193.51999999999998</v>
      </c>
      <c r="AN238" s="605" t="str">
        <f t="shared" si="140"/>
        <v>0-10%</v>
      </c>
      <c r="AO238" s="605">
        <f t="shared" si="141"/>
        <v>0</v>
      </c>
      <c r="AP238" s="574">
        <f t="shared" si="142"/>
        <v>0</v>
      </c>
      <c r="AQ238" s="574" t="str">
        <f t="shared" si="143"/>
        <v>yes</v>
      </c>
      <c r="AR238" s="574">
        <f t="shared" si="144"/>
        <v>0.94399999999999995</v>
      </c>
      <c r="AS238" s="574">
        <f t="shared" si="145"/>
        <v>193.51999999999998</v>
      </c>
      <c r="AT238" s="574">
        <f t="shared" si="146"/>
        <v>0</v>
      </c>
      <c r="AU238" s="1152">
        <v>0.82</v>
      </c>
      <c r="AV238" s="635">
        <f t="shared" si="147"/>
        <v>193.51999999999998</v>
      </c>
      <c r="AW238" s="325" t="s">
        <v>942</v>
      </c>
      <c r="AX238" s="740">
        <v>0</v>
      </c>
      <c r="AY238" s="428">
        <v>22</v>
      </c>
      <c r="AZ238" s="428">
        <v>6</v>
      </c>
      <c r="BA238" s="473" t="s">
        <v>526</v>
      </c>
      <c r="BB238" s="548">
        <f t="shared" si="148"/>
        <v>0.55932203389830504</v>
      </c>
      <c r="BC238" s="606">
        <f t="shared" si="149"/>
        <v>132</v>
      </c>
      <c r="BD238" s="548">
        <f t="shared" si="150"/>
        <v>0.55932203389830504</v>
      </c>
      <c r="BE238" s="606">
        <f t="shared" si="151"/>
        <v>132</v>
      </c>
      <c r="BF238" s="549">
        <f t="shared" si="152"/>
        <v>0</v>
      </c>
      <c r="BG238" s="606">
        <f t="shared" si="153"/>
        <v>0</v>
      </c>
      <c r="BH238" s="519" t="s">
        <v>475</v>
      </c>
      <c r="BI238" s="429">
        <v>0.56000000000000005</v>
      </c>
      <c r="BJ238" s="606">
        <f t="shared" si="176"/>
        <v>132.16000000000003</v>
      </c>
      <c r="BK238" s="606" t="str">
        <f t="shared" si="154"/>
        <v>n/a</v>
      </c>
      <c r="BL238" s="428" t="s">
        <v>475</v>
      </c>
      <c r="BM238" s="548" t="str">
        <f t="shared" si="155"/>
        <v>n/a</v>
      </c>
      <c r="BN238" s="606" t="str">
        <f t="shared" si="156"/>
        <v>n/a</v>
      </c>
      <c r="BO238" s="606" t="str">
        <f t="shared" si="157"/>
        <v>n/a</v>
      </c>
      <c r="BP238" s="578" t="s">
        <v>475</v>
      </c>
      <c r="BQ238" s="606" t="s">
        <v>475</v>
      </c>
      <c r="BR238" s="519" t="s">
        <v>475</v>
      </c>
      <c r="BS238" s="548" t="str">
        <f t="shared" si="158"/>
        <v>n/a</v>
      </c>
      <c r="BT238" s="607" t="str">
        <f t="shared" si="159"/>
        <v>n/a</v>
      </c>
      <c r="BU238" s="1163">
        <v>0</v>
      </c>
      <c r="BV238" s="650" t="str">
        <f t="shared" si="177"/>
        <v>n/a</v>
      </c>
      <c r="BW238" s="636" t="s">
        <v>1141</v>
      </c>
      <c r="BX238" s="470" t="s">
        <v>475</v>
      </c>
      <c r="BY238" s="1192"/>
      <c r="BZ238" s="1192"/>
      <c r="CA238" s="608" t="str">
        <f t="shared" si="161"/>
        <v>n/a</v>
      </c>
      <c r="CB238" s="428"/>
      <c r="CC238" s="428"/>
      <c r="CD238" s="609" t="str">
        <f t="shared" si="162"/>
        <v>n/a</v>
      </c>
      <c r="CE238" s="610" t="str">
        <f t="shared" si="163"/>
        <v>n/a</v>
      </c>
      <c r="CF238" s="609" t="str">
        <f t="shared" si="164"/>
        <v>n/a</v>
      </c>
      <c r="CG238" s="658" t="str">
        <f t="shared" si="165"/>
        <v>n/a</v>
      </c>
      <c r="CH238" s="328"/>
      <c r="CI238" s="330">
        <v>0.94769999999999999</v>
      </c>
      <c r="CJ238" s="664">
        <f t="shared" si="166"/>
        <v>223.65719999999999</v>
      </c>
      <c r="CK238" s="328"/>
      <c r="CL238" s="611" t="str">
        <f t="shared" si="178"/>
        <v>No coverage</v>
      </c>
      <c r="CM238" s="428" t="s">
        <v>169</v>
      </c>
      <c r="CN238" s="428" t="s">
        <v>475</v>
      </c>
      <c r="CO238" s="428" t="s">
        <v>170</v>
      </c>
      <c r="CP238" s="570" t="s">
        <v>170</v>
      </c>
      <c r="CQ238" s="1170"/>
      <c r="CS238" s="1069">
        <f t="shared" si="167"/>
        <v>0</v>
      </c>
      <c r="CT238" s="1069">
        <f t="shared" si="168"/>
        <v>0</v>
      </c>
      <c r="CU238" s="1066">
        <f t="shared" si="169"/>
        <v>0</v>
      </c>
      <c r="CV238" s="1066">
        <f t="shared" si="170"/>
        <v>0</v>
      </c>
      <c r="CW238" s="1082">
        <f t="shared" si="171"/>
        <v>0.59</v>
      </c>
      <c r="CX238" s="1082">
        <f t="shared" si="172"/>
        <v>0.94399999999999995</v>
      </c>
    </row>
    <row r="239" spans="2:102" ht="18" customHeight="1">
      <c r="B239" s="402" t="s">
        <v>64</v>
      </c>
      <c r="C239" s="603"/>
      <c r="D239" s="603"/>
      <c r="E239" s="1053">
        <v>197591</v>
      </c>
      <c r="F239" s="402" t="s">
        <v>444</v>
      </c>
      <c r="G239" s="556">
        <v>92.643299999999996</v>
      </c>
      <c r="H239" s="556">
        <v>20.581499999999998</v>
      </c>
      <c r="I239" s="560" t="s">
        <v>33</v>
      </c>
      <c r="J239" s="560" t="s">
        <v>45</v>
      </c>
      <c r="K239" s="604" t="s">
        <v>455</v>
      </c>
      <c r="L239" s="428">
        <v>0</v>
      </c>
      <c r="M239" s="428">
        <v>0</v>
      </c>
      <c r="N239" s="570">
        <v>127</v>
      </c>
      <c r="O239" s="328" t="s">
        <v>984</v>
      </c>
      <c r="P239" s="720" t="str">
        <f t="shared" si="132"/>
        <v>1. Small</v>
      </c>
      <c r="Q239" s="968" t="s">
        <v>153</v>
      </c>
      <c r="R239" s="625"/>
      <c r="S239" s="560" t="s">
        <v>172</v>
      </c>
      <c r="T239" s="323" t="str">
        <f t="shared" si="133"/>
        <v>Covered</v>
      </c>
      <c r="U239" s="561">
        <v>42369</v>
      </c>
      <c r="V239" s="1144"/>
      <c r="W239" s="558" t="s">
        <v>152</v>
      </c>
      <c r="X239" s="328">
        <v>0</v>
      </c>
      <c r="Y239" s="428">
        <v>0</v>
      </c>
      <c r="Z239" s="570" t="s">
        <v>43</v>
      </c>
      <c r="AA239" s="328">
        <v>3</v>
      </c>
      <c r="AB239" s="428">
        <v>0</v>
      </c>
      <c r="AC239" s="428">
        <v>0</v>
      </c>
      <c r="AD239" s="428">
        <v>3</v>
      </c>
      <c r="AE239" s="570"/>
      <c r="AF239" s="329">
        <v>0</v>
      </c>
      <c r="AG239" s="1124">
        <v>0</v>
      </c>
      <c r="AH239" s="630">
        <f t="shared" si="134"/>
        <v>1</v>
      </c>
      <c r="AI239" s="574">
        <f t="shared" si="135"/>
        <v>127</v>
      </c>
      <c r="AJ239" s="605">
        <f t="shared" si="136"/>
        <v>1</v>
      </c>
      <c r="AK239" s="574">
        <f t="shared" si="137"/>
        <v>127</v>
      </c>
      <c r="AL239" s="605">
        <f t="shared" si="138"/>
        <v>1</v>
      </c>
      <c r="AM239" s="574">
        <f t="shared" si="139"/>
        <v>127</v>
      </c>
      <c r="AN239" s="605" t="str">
        <f t="shared" si="140"/>
        <v>80-100%</v>
      </c>
      <c r="AO239" s="605">
        <f t="shared" si="141"/>
        <v>0</v>
      </c>
      <c r="AP239" s="574">
        <f t="shared" si="142"/>
        <v>0</v>
      </c>
      <c r="AQ239" s="574" t="str">
        <f t="shared" si="143"/>
        <v>yes</v>
      </c>
      <c r="AR239" s="574">
        <f t="shared" si="144"/>
        <v>0</v>
      </c>
      <c r="AS239" s="574">
        <f t="shared" si="145"/>
        <v>0</v>
      </c>
      <c r="AT239" s="574">
        <f t="shared" si="146"/>
        <v>0</v>
      </c>
      <c r="AU239" s="1152">
        <v>1</v>
      </c>
      <c r="AV239" s="635">
        <f t="shared" si="147"/>
        <v>127</v>
      </c>
      <c r="AW239" s="325" t="s">
        <v>943</v>
      </c>
      <c r="AX239" s="740">
        <v>0</v>
      </c>
      <c r="AY239" s="428">
        <v>1</v>
      </c>
      <c r="AZ239" s="428">
        <v>6</v>
      </c>
      <c r="BA239" s="473" t="s">
        <v>526</v>
      </c>
      <c r="BB239" s="548">
        <f t="shared" si="148"/>
        <v>4.7244094488188976E-2</v>
      </c>
      <c r="BC239" s="606">
        <f t="shared" si="149"/>
        <v>6</v>
      </c>
      <c r="BD239" s="548">
        <f t="shared" si="150"/>
        <v>4.7244094488188976E-2</v>
      </c>
      <c r="BE239" s="606">
        <f t="shared" si="151"/>
        <v>6</v>
      </c>
      <c r="BF239" s="549">
        <f t="shared" si="152"/>
        <v>0</v>
      </c>
      <c r="BG239" s="606">
        <f t="shared" si="153"/>
        <v>0</v>
      </c>
      <c r="BH239" s="519" t="s">
        <v>475</v>
      </c>
      <c r="BI239" s="429">
        <v>0.05</v>
      </c>
      <c r="BJ239" s="606">
        <f t="shared" si="176"/>
        <v>6.3500000000000005</v>
      </c>
      <c r="BK239" s="606" t="str">
        <f t="shared" si="154"/>
        <v>n/a</v>
      </c>
      <c r="BL239" s="428" t="s">
        <v>475</v>
      </c>
      <c r="BM239" s="548" t="str">
        <f t="shared" si="155"/>
        <v>n/a</v>
      </c>
      <c r="BN239" s="606" t="str">
        <f t="shared" si="156"/>
        <v>n/a</v>
      </c>
      <c r="BO239" s="606" t="str">
        <f t="shared" si="157"/>
        <v>n/a</v>
      </c>
      <c r="BP239" s="578" t="s">
        <v>475</v>
      </c>
      <c r="BQ239" s="606" t="s">
        <v>475</v>
      </c>
      <c r="BR239" s="519" t="s">
        <v>475</v>
      </c>
      <c r="BS239" s="548" t="str">
        <f t="shared" si="158"/>
        <v>n/a</v>
      </c>
      <c r="BT239" s="607" t="str">
        <f t="shared" si="159"/>
        <v>n/a</v>
      </c>
      <c r="BU239" s="1163">
        <v>0</v>
      </c>
      <c r="BV239" s="650" t="str">
        <f t="shared" si="177"/>
        <v>n/a</v>
      </c>
      <c r="BW239" s="636" t="s">
        <v>1141</v>
      </c>
      <c r="BX239" s="470" t="s">
        <v>475</v>
      </c>
      <c r="BY239" s="1192"/>
      <c r="BZ239" s="1192"/>
      <c r="CA239" s="608" t="str">
        <f t="shared" si="161"/>
        <v>n/a</v>
      </c>
      <c r="CB239" s="428"/>
      <c r="CC239" s="428"/>
      <c r="CD239" s="609" t="str">
        <f t="shared" si="162"/>
        <v>n/a</v>
      </c>
      <c r="CE239" s="610" t="str">
        <f t="shared" si="163"/>
        <v>n/a</v>
      </c>
      <c r="CF239" s="609" t="str">
        <f t="shared" si="164"/>
        <v>n/a</v>
      </c>
      <c r="CG239" s="658" t="str">
        <f t="shared" si="165"/>
        <v>n/a</v>
      </c>
      <c r="CH239" s="328"/>
      <c r="CI239" s="330">
        <v>0.7117</v>
      </c>
      <c r="CJ239" s="664">
        <f t="shared" si="166"/>
        <v>90.385900000000007</v>
      </c>
      <c r="CK239" s="328"/>
      <c r="CL239" s="611" t="str">
        <f t="shared" si="178"/>
        <v>No coverage</v>
      </c>
      <c r="CM239" s="428" t="s">
        <v>169</v>
      </c>
      <c r="CN239" s="428" t="s">
        <v>475</v>
      </c>
      <c r="CO239" s="428" t="s">
        <v>170</v>
      </c>
      <c r="CP239" s="570" t="s">
        <v>170</v>
      </c>
      <c r="CQ239" s="1170"/>
      <c r="CS239" s="1069">
        <f t="shared" si="167"/>
        <v>1</v>
      </c>
      <c r="CT239" s="1069">
        <f t="shared" si="168"/>
        <v>1</v>
      </c>
      <c r="CU239" s="1066">
        <f t="shared" si="169"/>
        <v>1</v>
      </c>
      <c r="CV239" s="1066">
        <f t="shared" si="170"/>
        <v>1</v>
      </c>
      <c r="CW239" s="1082">
        <f t="shared" si="171"/>
        <v>0</v>
      </c>
      <c r="CX239" s="1082">
        <f t="shared" si="172"/>
        <v>0</v>
      </c>
    </row>
    <row r="240" spans="2:102" ht="18" customHeight="1">
      <c r="B240" s="402" t="s">
        <v>64</v>
      </c>
      <c r="C240" s="603"/>
      <c r="D240" s="603"/>
      <c r="E240" s="1052"/>
      <c r="F240" s="402" t="s">
        <v>948</v>
      </c>
      <c r="G240" s="556"/>
      <c r="H240" s="556"/>
      <c r="I240" s="560" t="s">
        <v>33</v>
      </c>
      <c r="J240" s="560" t="s">
        <v>45</v>
      </c>
      <c r="K240" s="604" t="s">
        <v>607</v>
      </c>
      <c r="L240" s="428">
        <v>0</v>
      </c>
      <c r="M240" s="428">
        <v>0</v>
      </c>
      <c r="N240" s="570">
        <v>679</v>
      </c>
      <c r="O240" s="328" t="s">
        <v>983</v>
      </c>
      <c r="P240" s="720" t="str">
        <f t="shared" si="132"/>
        <v>2. Medium</v>
      </c>
      <c r="Q240" s="968" t="s">
        <v>153</v>
      </c>
      <c r="R240" s="625"/>
      <c r="S240" s="560" t="s">
        <v>172</v>
      </c>
      <c r="T240" s="323" t="str">
        <f t="shared" si="133"/>
        <v>Covered</v>
      </c>
      <c r="U240" s="561">
        <v>42369</v>
      </c>
      <c r="V240" s="1144"/>
      <c r="W240" s="558" t="s">
        <v>152</v>
      </c>
      <c r="X240" s="328">
        <v>0</v>
      </c>
      <c r="Y240" s="428">
        <v>0</v>
      </c>
      <c r="Z240" s="570" t="s">
        <v>43</v>
      </c>
      <c r="AA240" s="328">
        <v>0</v>
      </c>
      <c r="AB240" s="428">
        <v>0</v>
      </c>
      <c r="AC240" s="428">
        <v>0</v>
      </c>
      <c r="AD240" s="428">
        <v>3</v>
      </c>
      <c r="AE240" s="570"/>
      <c r="AF240" s="329">
        <v>0</v>
      </c>
      <c r="AG240" s="1124">
        <v>0</v>
      </c>
      <c r="AH240" s="630">
        <f t="shared" si="134"/>
        <v>0</v>
      </c>
      <c r="AI240" s="574">
        <f t="shared" si="135"/>
        <v>0</v>
      </c>
      <c r="AJ240" s="605">
        <f t="shared" si="136"/>
        <v>0</v>
      </c>
      <c r="AK240" s="574">
        <f t="shared" si="137"/>
        <v>0</v>
      </c>
      <c r="AL240" s="605">
        <f t="shared" si="138"/>
        <v>0</v>
      </c>
      <c r="AM240" s="574">
        <f t="shared" si="139"/>
        <v>0</v>
      </c>
      <c r="AN240" s="605" t="str">
        <f t="shared" si="140"/>
        <v>0-10%</v>
      </c>
      <c r="AO240" s="605">
        <f t="shared" si="141"/>
        <v>0</v>
      </c>
      <c r="AP240" s="574">
        <f t="shared" si="142"/>
        <v>0</v>
      </c>
      <c r="AQ240" s="574" t="str">
        <f t="shared" si="143"/>
        <v>yes</v>
      </c>
      <c r="AR240" s="574">
        <f t="shared" si="144"/>
        <v>2.7160000000000002</v>
      </c>
      <c r="AS240" s="574">
        <f t="shared" si="145"/>
        <v>0</v>
      </c>
      <c r="AT240" s="574">
        <f t="shared" si="146"/>
        <v>0</v>
      </c>
      <c r="AU240" s="1152">
        <v>0.33</v>
      </c>
      <c r="AV240" s="635">
        <f t="shared" si="147"/>
        <v>224.07000000000002</v>
      </c>
      <c r="AW240" s="325" t="s">
        <v>982</v>
      </c>
      <c r="AX240" s="740">
        <v>0</v>
      </c>
      <c r="AY240" s="428">
        <v>4</v>
      </c>
      <c r="AZ240" s="428">
        <v>6</v>
      </c>
      <c r="BA240" s="473" t="s">
        <v>526</v>
      </c>
      <c r="BB240" s="548">
        <f t="shared" si="148"/>
        <v>3.5346097201767304E-2</v>
      </c>
      <c r="BC240" s="606">
        <f t="shared" si="149"/>
        <v>24</v>
      </c>
      <c r="BD240" s="548">
        <f t="shared" si="150"/>
        <v>3.5346097201767304E-2</v>
      </c>
      <c r="BE240" s="606">
        <f t="shared" si="151"/>
        <v>24</v>
      </c>
      <c r="BF240" s="549">
        <f t="shared" si="152"/>
        <v>0</v>
      </c>
      <c r="BG240" s="606">
        <f t="shared" si="153"/>
        <v>0</v>
      </c>
      <c r="BH240" s="519" t="s">
        <v>475</v>
      </c>
      <c r="BI240" s="429">
        <v>0.04</v>
      </c>
      <c r="BJ240" s="606">
        <f t="shared" si="176"/>
        <v>27.16</v>
      </c>
      <c r="BK240" s="606" t="str">
        <f t="shared" si="154"/>
        <v>n/a</v>
      </c>
      <c r="BL240" s="428" t="s">
        <v>475</v>
      </c>
      <c r="BM240" s="548" t="str">
        <f t="shared" si="155"/>
        <v>n/a</v>
      </c>
      <c r="BN240" s="606" t="str">
        <f t="shared" si="156"/>
        <v>n/a</v>
      </c>
      <c r="BO240" s="606" t="str">
        <f t="shared" si="157"/>
        <v>n/a</v>
      </c>
      <c r="BP240" s="578" t="s">
        <v>475</v>
      </c>
      <c r="BQ240" s="606" t="s">
        <v>475</v>
      </c>
      <c r="BR240" s="519" t="s">
        <v>475</v>
      </c>
      <c r="BS240" s="548" t="str">
        <f t="shared" si="158"/>
        <v>n/a</v>
      </c>
      <c r="BT240" s="607" t="str">
        <f t="shared" si="159"/>
        <v>n/a</v>
      </c>
      <c r="BU240" s="1163">
        <v>0</v>
      </c>
      <c r="BV240" s="650"/>
      <c r="BW240" s="636"/>
      <c r="BX240" s="470" t="s">
        <v>475</v>
      </c>
      <c r="BY240" s="1192"/>
      <c r="BZ240" s="1192"/>
      <c r="CA240" s="608" t="str">
        <f t="shared" si="161"/>
        <v>n/a</v>
      </c>
      <c r="CB240" s="428"/>
      <c r="CC240" s="428"/>
      <c r="CD240" s="609" t="str">
        <f t="shared" si="162"/>
        <v>n/a</v>
      </c>
      <c r="CE240" s="610" t="str">
        <f t="shared" si="163"/>
        <v>n/a</v>
      </c>
      <c r="CF240" s="609" t="str">
        <f t="shared" si="164"/>
        <v>n/a</v>
      </c>
      <c r="CG240" s="658" t="str">
        <f t="shared" si="165"/>
        <v>n/a</v>
      </c>
      <c r="CH240" s="328"/>
      <c r="CI240" s="330">
        <v>0.26169999999999999</v>
      </c>
      <c r="CJ240" s="664">
        <f t="shared" si="166"/>
        <v>177.6943</v>
      </c>
      <c r="CK240" s="328"/>
      <c r="CL240" s="611" t="str">
        <f t="shared" si="178"/>
        <v>No coverage</v>
      </c>
      <c r="CM240" s="428" t="s">
        <v>169</v>
      </c>
      <c r="CN240" s="428" t="s">
        <v>475</v>
      </c>
      <c r="CO240" s="428" t="s">
        <v>169</v>
      </c>
      <c r="CP240" s="570" t="s">
        <v>170</v>
      </c>
      <c r="CQ240" s="1170"/>
      <c r="CS240" s="1069">
        <f t="shared" si="167"/>
        <v>0</v>
      </c>
      <c r="CT240" s="1069">
        <f t="shared" si="168"/>
        <v>0</v>
      </c>
      <c r="CU240" s="1066">
        <f t="shared" si="169"/>
        <v>0</v>
      </c>
      <c r="CV240" s="1066">
        <f t="shared" si="170"/>
        <v>0</v>
      </c>
      <c r="CW240" s="1082">
        <f t="shared" si="171"/>
        <v>1.6975</v>
      </c>
      <c r="CX240" s="1082">
        <f t="shared" si="172"/>
        <v>2.7160000000000002</v>
      </c>
    </row>
    <row r="241" spans="2:102" ht="18" customHeight="1">
      <c r="B241" s="402" t="s">
        <v>64</v>
      </c>
      <c r="C241" s="603"/>
      <c r="D241" s="603"/>
      <c r="E241" s="1053">
        <v>197599</v>
      </c>
      <c r="F241" s="402" t="s">
        <v>445</v>
      </c>
      <c r="G241" s="556">
        <v>92.677000000000007</v>
      </c>
      <c r="H241" s="556">
        <v>20.543500000000002</v>
      </c>
      <c r="I241" s="560" t="s">
        <v>33</v>
      </c>
      <c r="J241" s="560" t="s">
        <v>45</v>
      </c>
      <c r="K241" s="604" t="s">
        <v>455</v>
      </c>
      <c r="L241" s="428">
        <v>0</v>
      </c>
      <c r="M241" s="428">
        <v>0</v>
      </c>
      <c r="N241" s="570">
        <v>177</v>
      </c>
      <c r="O241" s="328" t="s">
        <v>983</v>
      </c>
      <c r="P241" s="720" t="str">
        <f t="shared" si="132"/>
        <v>1. Small</v>
      </c>
      <c r="Q241" s="968" t="s">
        <v>153</v>
      </c>
      <c r="R241" s="625"/>
      <c r="S241" s="560" t="s">
        <v>172</v>
      </c>
      <c r="T241" s="323" t="str">
        <f t="shared" si="133"/>
        <v>Covered</v>
      </c>
      <c r="U241" s="561">
        <v>42369</v>
      </c>
      <c r="V241" s="1144"/>
      <c r="W241" s="558" t="s">
        <v>152</v>
      </c>
      <c r="X241" s="328">
        <v>0</v>
      </c>
      <c r="Y241" s="428">
        <v>0</v>
      </c>
      <c r="Z241" s="570" t="s">
        <v>43</v>
      </c>
      <c r="AA241" s="328">
        <v>0</v>
      </c>
      <c r="AB241" s="428">
        <v>0</v>
      </c>
      <c r="AC241" s="428">
        <v>0</v>
      </c>
      <c r="AD241" s="428">
        <v>2</v>
      </c>
      <c r="AE241" s="570"/>
      <c r="AF241" s="329">
        <v>0</v>
      </c>
      <c r="AG241" s="1124">
        <v>0</v>
      </c>
      <c r="AH241" s="630">
        <f t="shared" si="134"/>
        <v>0</v>
      </c>
      <c r="AI241" s="574">
        <f t="shared" si="135"/>
        <v>0</v>
      </c>
      <c r="AJ241" s="605">
        <f t="shared" si="136"/>
        <v>0</v>
      </c>
      <c r="AK241" s="574">
        <f t="shared" si="137"/>
        <v>0</v>
      </c>
      <c r="AL241" s="605">
        <f t="shared" si="138"/>
        <v>0</v>
      </c>
      <c r="AM241" s="574">
        <f t="shared" si="139"/>
        <v>0</v>
      </c>
      <c r="AN241" s="605" t="str">
        <f t="shared" si="140"/>
        <v>0-10%</v>
      </c>
      <c r="AO241" s="605">
        <f t="shared" si="141"/>
        <v>0</v>
      </c>
      <c r="AP241" s="574">
        <f t="shared" si="142"/>
        <v>0</v>
      </c>
      <c r="AQ241" s="574" t="str">
        <f t="shared" si="143"/>
        <v>yes</v>
      </c>
      <c r="AR241" s="574">
        <f t="shared" si="144"/>
        <v>0.70799999999999996</v>
      </c>
      <c r="AS241" s="574">
        <f t="shared" si="145"/>
        <v>0</v>
      </c>
      <c r="AT241" s="574">
        <f t="shared" si="146"/>
        <v>0</v>
      </c>
      <c r="AU241" s="1152">
        <v>0</v>
      </c>
      <c r="AV241" s="635">
        <f t="shared" si="147"/>
        <v>0</v>
      </c>
      <c r="AW241" s="325" t="s">
        <v>683</v>
      </c>
      <c r="AX241" s="740">
        <v>0</v>
      </c>
      <c r="AY241" s="428">
        <v>17</v>
      </c>
      <c r="AZ241" s="428">
        <v>6</v>
      </c>
      <c r="BA241" s="473" t="s">
        <v>526</v>
      </c>
      <c r="BB241" s="548">
        <f t="shared" si="148"/>
        <v>0.57627118644067798</v>
      </c>
      <c r="BC241" s="606">
        <f t="shared" si="149"/>
        <v>102</v>
      </c>
      <c r="BD241" s="548">
        <f t="shared" si="150"/>
        <v>0.57627118644067798</v>
      </c>
      <c r="BE241" s="606">
        <f t="shared" si="151"/>
        <v>102</v>
      </c>
      <c r="BF241" s="549">
        <f t="shared" si="152"/>
        <v>0</v>
      </c>
      <c r="BG241" s="606">
        <f t="shared" si="153"/>
        <v>0</v>
      </c>
      <c r="BH241" s="519" t="s">
        <v>475</v>
      </c>
      <c r="BI241" s="429">
        <v>0.57999999999999996</v>
      </c>
      <c r="BJ241" s="606">
        <f t="shared" si="176"/>
        <v>102.66</v>
      </c>
      <c r="BK241" s="606" t="str">
        <f t="shared" si="154"/>
        <v>n/a</v>
      </c>
      <c r="BL241" s="428" t="s">
        <v>475</v>
      </c>
      <c r="BM241" s="548" t="str">
        <f t="shared" si="155"/>
        <v>n/a</v>
      </c>
      <c r="BN241" s="606" t="str">
        <f t="shared" si="156"/>
        <v>n/a</v>
      </c>
      <c r="BO241" s="606" t="str">
        <f t="shared" si="157"/>
        <v>n/a</v>
      </c>
      <c r="BP241" s="578" t="s">
        <v>475</v>
      </c>
      <c r="BQ241" s="606" t="s">
        <v>475</v>
      </c>
      <c r="BR241" s="519" t="s">
        <v>475</v>
      </c>
      <c r="BS241" s="548" t="str">
        <f t="shared" si="158"/>
        <v>n/a</v>
      </c>
      <c r="BT241" s="607" t="str">
        <f t="shared" si="159"/>
        <v>n/a</v>
      </c>
      <c r="BU241" s="1163">
        <v>0</v>
      </c>
      <c r="BV241" s="650" t="str">
        <f t="shared" ref="BV241:BV272" si="179">IF(I241="Village","n/a",BU241*N241)</f>
        <v>n/a</v>
      </c>
      <c r="BW241" s="636" t="s">
        <v>1141</v>
      </c>
      <c r="BX241" s="470" t="s">
        <v>475</v>
      </c>
      <c r="BY241" s="1192"/>
      <c r="BZ241" s="1192"/>
      <c r="CA241" s="608" t="str">
        <f t="shared" si="161"/>
        <v>n/a</v>
      </c>
      <c r="CB241" s="428"/>
      <c r="CC241" s="428"/>
      <c r="CD241" s="609" t="str">
        <f t="shared" si="162"/>
        <v>n/a</v>
      </c>
      <c r="CE241" s="610" t="str">
        <f t="shared" si="163"/>
        <v>n/a</v>
      </c>
      <c r="CF241" s="609" t="str">
        <f t="shared" si="164"/>
        <v>n/a</v>
      </c>
      <c r="CG241" s="658" t="str">
        <f t="shared" si="165"/>
        <v>n/a</v>
      </c>
      <c r="CH241" s="328"/>
      <c r="CI241" s="330">
        <v>0.41060000000000002</v>
      </c>
      <c r="CJ241" s="664">
        <f t="shared" si="166"/>
        <v>72.676200000000009</v>
      </c>
      <c r="CK241" s="328"/>
      <c r="CL241" s="611" t="str">
        <f t="shared" si="178"/>
        <v>No coverage</v>
      </c>
      <c r="CM241" s="428" t="s">
        <v>169</v>
      </c>
      <c r="CN241" s="428" t="s">
        <v>475</v>
      </c>
      <c r="CO241" s="428" t="s">
        <v>170</v>
      </c>
      <c r="CP241" s="570" t="s">
        <v>170</v>
      </c>
      <c r="CQ241" s="1170"/>
      <c r="CS241" s="1069">
        <f t="shared" si="167"/>
        <v>0</v>
      </c>
      <c r="CT241" s="1069">
        <f t="shared" si="168"/>
        <v>0</v>
      </c>
      <c r="CU241" s="1066">
        <f t="shared" si="169"/>
        <v>0</v>
      </c>
      <c r="CV241" s="1066">
        <f t="shared" si="170"/>
        <v>0</v>
      </c>
      <c r="CW241" s="1082">
        <f t="shared" si="171"/>
        <v>0.4425</v>
      </c>
      <c r="CX241" s="1082">
        <f t="shared" si="172"/>
        <v>0.70799999999999996</v>
      </c>
    </row>
    <row r="242" spans="2:102" ht="18" customHeight="1">
      <c r="B242" s="402" t="s">
        <v>64</v>
      </c>
      <c r="C242" s="603"/>
      <c r="D242" s="603"/>
      <c r="E242" s="1053">
        <v>197594</v>
      </c>
      <c r="F242" s="402" t="s">
        <v>446</v>
      </c>
      <c r="G242" s="556">
        <v>92.634200000000007</v>
      </c>
      <c r="H242" s="556">
        <v>20.542899999999999</v>
      </c>
      <c r="I242" s="560" t="s">
        <v>33</v>
      </c>
      <c r="J242" s="560" t="s">
        <v>34</v>
      </c>
      <c r="K242" s="604" t="s">
        <v>455</v>
      </c>
      <c r="L242" s="428">
        <v>0</v>
      </c>
      <c r="M242" s="428">
        <v>0</v>
      </c>
      <c r="N242" s="570">
        <v>595</v>
      </c>
      <c r="O242" s="328" t="s">
        <v>983</v>
      </c>
      <c r="P242" s="720" t="str">
        <f t="shared" si="132"/>
        <v>2. Medium</v>
      </c>
      <c r="Q242" s="968" t="s">
        <v>153</v>
      </c>
      <c r="R242" s="625"/>
      <c r="S242" s="560" t="s">
        <v>172</v>
      </c>
      <c r="T242" s="323" t="str">
        <f t="shared" si="133"/>
        <v>Covered</v>
      </c>
      <c r="U242" s="561">
        <v>42369</v>
      </c>
      <c r="V242" s="1144"/>
      <c r="W242" s="558" t="s">
        <v>152</v>
      </c>
      <c r="X242" s="328">
        <v>0</v>
      </c>
      <c r="Y242" s="428">
        <v>0</v>
      </c>
      <c r="Z242" s="570" t="s">
        <v>43</v>
      </c>
      <c r="AA242" s="328">
        <v>0</v>
      </c>
      <c r="AB242" s="428">
        <v>1</v>
      </c>
      <c r="AC242" s="428">
        <v>0</v>
      </c>
      <c r="AD242" s="428">
        <v>3</v>
      </c>
      <c r="AE242" s="570"/>
      <c r="AF242" s="329">
        <v>0</v>
      </c>
      <c r="AG242" s="1124">
        <v>1</v>
      </c>
      <c r="AH242" s="630">
        <f t="shared" si="134"/>
        <v>0.42016806722689076</v>
      </c>
      <c r="AI242" s="574">
        <f t="shared" si="135"/>
        <v>250</v>
      </c>
      <c r="AJ242" s="605">
        <f t="shared" si="136"/>
        <v>0.42016806722689076</v>
      </c>
      <c r="AK242" s="574">
        <f t="shared" si="137"/>
        <v>250</v>
      </c>
      <c r="AL242" s="605">
        <f t="shared" si="138"/>
        <v>1</v>
      </c>
      <c r="AM242" s="574">
        <f t="shared" si="139"/>
        <v>595</v>
      </c>
      <c r="AN242" s="605" t="str">
        <f t="shared" si="140"/>
        <v>30-45%</v>
      </c>
      <c r="AO242" s="605">
        <f t="shared" si="141"/>
        <v>0</v>
      </c>
      <c r="AP242" s="574">
        <f t="shared" si="142"/>
        <v>0</v>
      </c>
      <c r="AQ242" s="574" t="str">
        <f t="shared" si="143"/>
        <v>yes</v>
      </c>
      <c r="AR242" s="574">
        <f t="shared" si="144"/>
        <v>1.38</v>
      </c>
      <c r="AS242" s="574">
        <f t="shared" si="145"/>
        <v>595</v>
      </c>
      <c r="AT242" s="574">
        <f t="shared" si="146"/>
        <v>0</v>
      </c>
      <c r="AU242" s="1152">
        <v>1</v>
      </c>
      <c r="AV242" s="635">
        <f t="shared" si="147"/>
        <v>595</v>
      </c>
      <c r="AW242" s="325" t="s">
        <v>944</v>
      </c>
      <c r="AX242" s="740">
        <v>0</v>
      </c>
      <c r="AY242" s="428">
        <v>35</v>
      </c>
      <c r="AZ242" s="428">
        <v>6</v>
      </c>
      <c r="BA242" s="473" t="s">
        <v>526</v>
      </c>
      <c r="BB242" s="548">
        <f t="shared" si="148"/>
        <v>0.35294117647058826</v>
      </c>
      <c r="BC242" s="606">
        <f t="shared" si="149"/>
        <v>210</v>
      </c>
      <c r="BD242" s="548">
        <f t="shared" si="150"/>
        <v>0.35294117647058826</v>
      </c>
      <c r="BE242" s="606">
        <f t="shared" si="151"/>
        <v>210</v>
      </c>
      <c r="BF242" s="549">
        <f t="shared" si="152"/>
        <v>0</v>
      </c>
      <c r="BG242" s="606">
        <f t="shared" si="153"/>
        <v>0</v>
      </c>
      <c r="BH242" s="519" t="s">
        <v>475</v>
      </c>
      <c r="BI242" s="429">
        <v>0.35</v>
      </c>
      <c r="BJ242" s="606">
        <f t="shared" si="176"/>
        <v>208.25</v>
      </c>
      <c r="BK242" s="606" t="str">
        <f t="shared" si="154"/>
        <v>n/a</v>
      </c>
      <c r="BL242" s="428" t="s">
        <v>475</v>
      </c>
      <c r="BM242" s="548" t="str">
        <f t="shared" si="155"/>
        <v>n/a</v>
      </c>
      <c r="BN242" s="606" t="str">
        <f t="shared" si="156"/>
        <v>n/a</v>
      </c>
      <c r="BO242" s="606" t="str">
        <f t="shared" si="157"/>
        <v>n/a</v>
      </c>
      <c r="BP242" s="578" t="s">
        <v>475</v>
      </c>
      <c r="BQ242" s="606" t="s">
        <v>475</v>
      </c>
      <c r="BR242" s="519" t="s">
        <v>475</v>
      </c>
      <c r="BS242" s="548" t="str">
        <f t="shared" si="158"/>
        <v>n/a</v>
      </c>
      <c r="BT242" s="607" t="str">
        <f t="shared" si="159"/>
        <v>n/a</v>
      </c>
      <c r="BU242" s="1163">
        <v>0</v>
      </c>
      <c r="BV242" s="650" t="str">
        <f t="shared" si="179"/>
        <v>n/a</v>
      </c>
      <c r="BW242" s="636" t="s">
        <v>1141</v>
      </c>
      <c r="BX242" s="470" t="s">
        <v>475</v>
      </c>
      <c r="BY242" s="1192"/>
      <c r="BZ242" s="1192"/>
      <c r="CA242" s="608" t="str">
        <f t="shared" si="161"/>
        <v>n/a</v>
      </c>
      <c r="CB242" s="428"/>
      <c r="CC242" s="428"/>
      <c r="CD242" s="609" t="str">
        <f t="shared" si="162"/>
        <v>n/a</v>
      </c>
      <c r="CE242" s="610" t="str">
        <f t="shared" si="163"/>
        <v>n/a</v>
      </c>
      <c r="CF242" s="609" t="str">
        <f t="shared" si="164"/>
        <v>n/a</v>
      </c>
      <c r="CG242" s="658" t="str">
        <f t="shared" si="165"/>
        <v>n/a</v>
      </c>
      <c r="CH242" s="328"/>
      <c r="CI242" s="330">
        <v>0.82889999999999997</v>
      </c>
      <c r="CJ242" s="664">
        <f t="shared" si="166"/>
        <v>493.19549999999998</v>
      </c>
      <c r="CK242" s="328">
        <v>2</v>
      </c>
      <c r="CL242" s="611" t="str">
        <f t="shared" si="178"/>
        <v>Excellent coverage</v>
      </c>
      <c r="CM242" s="428" t="s">
        <v>169</v>
      </c>
      <c r="CN242" s="428" t="s">
        <v>475</v>
      </c>
      <c r="CO242" s="428" t="s">
        <v>170</v>
      </c>
      <c r="CP242" s="570" t="s">
        <v>170</v>
      </c>
      <c r="CQ242" s="1171"/>
      <c r="CS242" s="1069">
        <f t="shared" si="167"/>
        <v>0.84033613445378152</v>
      </c>
      <c r="CT242" s="1069">
        <f t="shared" si="168"/>
        <v>0.42016806722689076</v>
      </c>
      <c r="CU242" s="1066">
        <f t="shared" si="169"/>
        <v>0.84033613445378152</v>
      </c>
      <c r="CV242" s="1066">
        <f t="shared" si="170"/>
        <v>0.42016806722689076</v>
      </c>
      <c r="CW242" s="1082">
        <f t="shared" si="171"/>
        <v>0.48750000000000004</v>
      </c>
      <c r="CX242" s="1082">
        <f t="shared" si="172"/>
        <v>1.38</v>
      </c>
    </row>
    <row r="243" spans="2:102" ht="18" customHeight="1">
      <c r="B243" s="402" t="s">
        <v>64</v>
      </c>
      <c r="C243" s="603"/>
      <c r="D243" s="603"/>
      <c r="E243" s="1052">
        <v>197586</v>
      </c>
      <c r="F243" s="402" t="s">
        <v>596</v>
      </c>
      <c r="G243" s="556">
        <v>92.691761</v>
      </c>
      <c r="H243" s="556">
        <v>20.589969</v>
      </c>
      <c r="I243" s="560" t="s">
        <v>33</v>
      </c>
      <c r="J243" s="560" t="s">
        <v>45</v>
      </c>
      <c r="K243" s="604" t="s">
        <v>607</v>
      </c>
      <c r="L243" s="428">
        <v>0</v>
      </c>
      <c r="M243" s="428">
        <v>0</v>
      </c>
      <c r="N243" s="570">
        <v>92</v>
      </c>
      <c r="O243" s="328" t="s">
        <v>984</v>
      </c>
      <c r="P243" s="720" t="str">
        <f t="shared" si="132"/>
        <v>1. Small</v>
      </c>
      <c r="Q243" s="968" t="s">
        <v>153</v>
      </c>
      <c r="R243" s="625"/>
      <c r="S243" s="560" t="s">
        <v>172</v>
      </c>
      <c r="T243" s="323" t="str">
        <f t="shared" si="133"/>
        <v>Covered</v>
      </c>
      <c r="U243" s="561">
        <v>42369</v>
      </c>
      <c r="V243" s="1144"/>
      <c r="W243" s="558" t="s">
        <v>152</v>
      </c>
      <c r="X243" s="328">
        <v>0</v>
      </c>
      <c r="Y243" s="428">
        <v>0</v>
      </c>
      <c r="Z243" s="570" t="s">
        <v>43</v>
      </c>
      <c r="AA243" s="328">
        <v>0</v>
      </c>
      <c r="AB243" s="428">
        <v>0</v>
      </c>
      <c r="AC243" s="428">
        <v>0</v>
      </c>
      <c r="AD243" s="428">
        <v>2</v>
      </c>
      <c r="AE243" s="570"/>
      <c r="AF243" s="329">
        <v>0</v>
      </c>
      <c r="AG243" s="1124">
        <v>1</v>
      </c>
      <c r="AH243" s="630">
        <f t="shared" si="134"/>
        <v>0</v>
      </c>
      <c r="AI243" s="574">
        <f t="shared" si="135"/>
        <v>0</v>
      </c>
      <c r="AJ243" s="605">
        <f t="shared" si="136"/>
        <v>0</v>
      </c>
      <c r="AK243" s="574">
        <f t="shared" si="137"/>
        <v>0</v>
      </c>
      <c r="AL243" s="605">
        <f t="shared" si="138"/>
        <v>1</v>
      </c>
      <c r="AM243" s="574">
        <f t="shared" si="139"/>
        <v>92</v>
      </c>
      <c r="AN243" s="605" t="str">
        <f t="shared" si="140"/>
        <v>0-10%</v>
      </c>
      <c r="AO243" s="605">
        <f t="shared" si="141"/>
        <v>0</v>
      </c>
      <c r="AP243" s="574">
        <f t="shared" si="142"/>
        <v>0</v>
      </c>
      <c r="AQ243" s="574" t="str">
        <f t="shared" si="143"/>
        <v>yes</v>
      </c>
      <c r="AR243" s="574">
        <f t="shared" si="144"/>
        <v>0.36799999999999999</v>
      </c>
      <c r="AS243" s="574">
        <f t="shared" si="145"/>
        <v>92</v>
      </c>
      <c r="AT243" s="574">
        <f t="shared" si="146"/>
        <v>0</v>
      </c>
      <c r="AU243" s="1152">
        <v>1</v>
      </c>
      <c r="AV243" s="635">
        <f t="shared" si="147"/>
        <v>92</v>
      </c>
      <c r="AW243" s="325" t="s">
        <v>945</v>
      </c>
      <c r="AX243" s="740">
        <v>0</v>
      </c>
      <c r="AY243" s="428">
        <v>1</v>
      </c>
      <c r="AZ243" s="428">
        <v>6</v>
      </c>
      <c r="BA243" s="473" t="s">
        <v>526</v>
      </c>
      <c r="BB243" s="548">
        <f t="shared" si="148"/>
        <v>6.5217391304347824E-2</v>
      </c>
      <c r="BC243" s="606">
        <f t="shared" si="149"/>
        <v>6</v>
      </c>
      <c r="BD243" s="548">
        <f t="shared" si="150"/>
        <v>6.5217391304347824E-2</v>
      </c>
      <c r="BE243" s="606">
        <f t="shared" si="151"/>
        <v>6</v>
      </c>
      <c r="BF243" s="549">
        <f t="shared" si="152"/>
        <v>0</v>
      </c>
      <c r="BG243" s="606">
        <f t="shared" si="153"/>
        <v>0</v>
      </c>
      <c r="BH243" s="519" t="s">
        <v>475</v>
      </c>
      <c r="BI243" s="429">
        <v>7.0000000000000007E-2</v>
      </c>
      <c r="BJ243" s="606">
        <f t="shared" si="176"/>
        <v>6.44</v>
      </c>
      <c r="BK243" s="606" t="str">
        <f t="shared" si="154"/>
        <v>n/a</v>
      </c>
      <c r="BL243" s="428" t="s">
        <v>475</v>
      </c>
      <c r="BM243" s="548" t="str">
        <f t="shared" si="155"/>
        <v>n/a</v>
      </c>
      <c r="BN243" s="606" t="str">
        <f t="shared" si="156"/>
        <v>n/a</v>
      </c>
      <c r="BO243" s="606" t="str">
        <f t="shared" si="157"/>
        <v>n/a</v>
      </c>
      <c r="BP243" s="578" t="s">
        <v>475</v>
      </c>
      <c r="BQ243" s="606" t="s">
        <v>475</v>
      </c>
      <c r="BR243" s="519" t="s">
        <v>475</v>
      </c>
      <c r="BS243" s="548" t="str">
        <f t="shared" si="158"/>
        <v>n/a</v>
      </c>
      <c r="BT243" s="607" t="str">
        <f t="shared" si="159"/>
        <v>n/a</v>
      </c>
      <c r="BU243" s="1163">
        <v>0</v>
      </c>
      <c r="BV243" s="650" t="str">
        <f t="shared" si="179"/>
        <v>n/a</v>
      </c>
      <c r="BW243" s="636" t="s">
        <v>1142</v>
      </c>
      <c r="BX243" s="470" t="s">
        <v>475</v>
      </c>
      <c r="BY243" s="1192"/>
      <c r="BZ243" s="1192"/>
      <c r="CA243" s="608" t="str">
        <f t="shared" si="161"/>
        <v>n/a</v>
      </c>
      <c r="CB243" s="428"/>
      <c r="CC243" s="428"/>
      <c r="CD243" s="609" t="str">
        <f t="shared" si="162"/>
        <v>n/a</v>
      </c>
      <c r="CE243" s="610" t="str">
        <f t="shared" si="163"/>
        <v>n/a</v>
      </c>
      <c r="CF243" s="609" t="str">
        <f t="shared" si="164"/>
        <v>n/a</v>
      </c>
      <c r="CG243" s="658" t="str">
        <f t="shared" si="165"/>
        <v>n/a</v>
      </c>
      <c r="CH243" s="328"/>
      <c r="CI243" s="330">
        <v>1.3519000000000001</v>
      </c>
      <c r="CJ243" s="664">
        <f t="shared" si="166"/>
        <v>124.37480000000001</v>
      </c>
      <c r="CK243" s="328"/>
      <c r="CL243" s="611" t="s">
        <v>606</v>
      </c>
      <c r="CM243" s="428" t="s">
        <v>169</v>
      </c>
      <c r="CN243" s="428" t="s">
        <v>475</v>
      </c>
      <c r="CO243" s="428" t="s">
        <v>41</v>
      </c>
      <c r="CP243" s="570" t="s">
        <v>170</v>
      </c>
      <c r="CQ243" s="1171"/>
      <c r="CS243" s="1069">
        <f t="shared" si="167"/>
        <v>0</v>
      </c>
      <c r="CT243" s="1069">
        <f t="shared" si="168"/>
        <v>0</v>
      </c>
      <c r="CU243" s="1066">
        <f t="shared" si="169"/>
        <v>0</v>
      </c>
      <c r="CV243" s="1066">
        <f t="shared" si="170"/>
        <v>0</v>
      </c>
      <c r="CW243" s="1082">
        <f t="shared" si="171"/>
        <v>0.23</v>
      </c>
      <c r="CX243" s="1082">
        <f t="shared" si="172"/>
        <v>0.36799999999999999</v>
      </c>
    </row>
    <row r="244" spans="2:102" ht="18" customHeight="1">
      <c r="B244" s="402" t="s">
        <v>64</v>
      </c>
      <c r="C244" s="603"/>
      <c r="D244" s="603"/>
      <c r="E244" s="1053">
        <v>197586</v>
      </c>
      <c r="F244" s="402" t="s">
        <v>597</v>
      </c>
      <c r="G244" s="556">
        <v>92.691800000000001</v>
      </c>
      <c r="H244" s="556">
        <v>20.59</v>
      </c>
      <c r="I244" s="560" t="s">
        <v>33</v>
      </c>
      <c r="J244" s="560" t="s">
        <v>45</v>
      </c>
      <c r="K244" s="604" t="s">
        <v>455</v>
      </c>
      <c r="L244" s="428">
        <v>0</v>
      </c>
      <c r="M244" s="428">
        <v>0</v>
      </c>
      <c r="N244" s="570">
        <v>384</v>
      </c>
      <c r="O244" s="328" t="s">
        <v>983</v>
      </c>
      <c r="P244" s="720" t="str">
        <f t="shared" si="132"/>
        <v>1. Small</v>
      </c>
      <c r="Q244" s="968" t="s">
        <v>153</v>
      </c>
      <c r="R244" s="625"/>
      <c r="S244" s="560" t="s">
        <v>172</v>
      </c>
      <c r="T244" s="323" t="str">
        <f t="shared" si="133"/>
        <v>Covered</v>
      </c>
      <c r="U244" s="561">
        <v>42369</v>
      </c>
      <c r="V244" s="1144"/>
      <c r="W244" s="558" t="s">
        <v>152</v>
      </c>
      <c r="X244" s="328">
        <v>0</v>
      </c>
      <c r="Y244" s="428">
        <v>0</v>
      </c>
      <c r="Z244" s="570" t="s">
        <v>43</v>
      </c>
      <c r="AA244" s="328">
        <v>0</v>
      </c>
      <c r="AB244" s="428">
        <v>0</v>
      </c>
      <c r="AC244" s="428">
        <v>0</v>
      </c>
      <c r="AD244" s="428">
        <v>2</v>
      </c>
      <c r="AE244" s="570"/>
      <c r="AF244" s="329">
        <v>0</v>
      </c>
      <c r="AG244" s="1124">
        <v>1</v>
      </c>
      <c r="AH244" s="630">
        <f t="shared" si="134"/>
        <v>0</v>
      </c>
      <c r="AI244" s="574">
        <f t="shared" si="135"/>
        <v>0</v>
      </c>
      <c r="AJ244" s="605">
        <f t="shared" si="136"/>
        <v>0</v>
      </c>
      <c r="AK244" s="574">
        <f t="shared" si="137"/>
        <v>0</v>
      </c>
      <c r="AL244" s="605">
        <f t="shared" si="138"/>
        <v>1</v>
      </c>
      <c r="AM244" s="574">
        <f t="shared" si="139"/>
        <v>384</v>
      </c>
      <c r="AN244" s="605" t="str">
        <f t="shared" si="140"/>
        <v>0-10%</v>
      </c>
      <c r="AO244" s="605">
        <f t="shared" si="141"/>
        <v>0</v>
      </c>
      <c r="AP244" s="574">
        <f t="shared" si="142"/>
        <v>0</v>
      </c>
      <c r="AQ244" s="574" t="str">
        <f t="shared" si="143"/>
        <v>yes</v>
      </c>
      <c r="AR244" s="574">
        <f t="shared" si="144"/>
        <v>1.536</v>
      </c>
      <c r="AS244" s="574">
        <f t="shared" si="145"/>
        <v>384</v>
      </c>
      <c r="AT244" s="574">
        <f t="shared" si="146"/>
        <v>0</v>
      </c>
      <c r="AU244" s="1152">
        <v>0</v>
      </c>
      <c r="AV244" s="635">
        <f t="shared" si="147"/>
        <v>0</v>
      </c>
      <c r="AW244" s="325" t="s">
        <v>684</v>
      </c>
      <c r="AX244" s="740">
        <v>0</v>
      </c>
      <c r="AY244" s="428">
        <v>0</v>
      </c>
      <c r="AZ244" s="428">
        <v>6</v>
      </c>
      <c r="BA244" s="473" t="s">
        <v>526</v>
      </c>
      <c r="BB244" s="548">
        <f t="shared" si="148"/>
        <v>0</v>
      </c>
      <c r="BC244" s="606">
        <f t="shared" si="149"/>
        <v>0</v>
      </c>
      <c r="BD244" s="548">
        <f t="shared" si="150"/>
        <v>0</v>
      </c>
      <c r="BE244" s="606">
        <f t="shared" si="151"/>
        <v>0</v>
      </c>
      <c r="BF244" s="549">
        <f t="shared" si="152"/>
        <v>0</v>
      </c>
      <c r="BG244" s="606">
        <f t="shared" si="153"/>
        <v>0</v>
      </c>
      <c r="BH244" s="519" t="s">
        <v>475</v>
      </c>
      <c r="BI244" s="429">
        <v>0</v>
      </c>
      <c r="BJ244" s="606">
        <f t="shared" si="176"/>
        <v>0</v>
      </c>
      <c r="BK244" s="606" t="str">
        <f t="shared" si="154"/>
        <v>n/a</v>
      </c>
      <c r="BL244" s="428" t="s">
        <v>475</v>
      </c>
      <c r="BM244" s="548" t="str">
        <f t="shared" si="155"/>
        <v>n/a</v>
      </c>
      <c r="BN244" s="606" t="str">
        <f t="shared" si="156"/>
        <v>n/a</v>
      </c>
      <c r="BO244" s="606" t="str">
        <f t="shared" si="157"/>
        <v>n/a</v>
      </c>
      <c r="BP244" s="578" t="s">
        <v>475</v>
      </c>
      <c r="BQ244" s="606" t="s">
        <v>475</v>
      </c>
      <c r="BR244" s="519" t="s">
        <v>475</v>
      </c>
      <c r="BS244" s="548" t="str">
        <f t="shared" si="158"/>
        <v>n/a</v>
      </c>
      <c r="BT244" s="607" t="str">
        <f t="shared" si="159"/>
        <v>n/a</v>
      </c>
      <c r="BU244" s="1163">
        <v>0</v>
      </c>
      <c r="BV244" s="650" t="str">
        <f t="shared" si="179"/>
        <v>n/a</v>
      </c>
      <c r="BW244" s="636" t="s">
        <v>1141</v>
      </c>
      <c r="BX244" s="470" t="s">
        <v>475</v>
      </c>
      <c r="BY244" s="1192"/>
      <c r="BZ244" s="1192"/>
      <c r="CA244" s="608" t="str">
        <f t="shared" si="161"/>
        <v>n/a</v>
      </c>
      <c r="CB244" s="428"/>
      <c r="CC244" s="428"/>
      <c r="CD244" s="609" t="str">
        <f t="shared" si="162"/>
        <v>n/a</v>
      </c>
      <c r="CE244" s="610" t="str">
        <f t="shared" si="163"/>
        <v>n/a</v>
      </c>
      <c r="CF244" s="609" t="str">
        <f t="shared" si="164"/>
        <v>n/a</v>
      </c>
      <c r="CG244" s="658" t="str">
        <f t="shared" si="165"/>
        <v>n/a</v>
      </c>
      <c r="CH244" s="328"/>
      <c r="CI244" s="330">
        <v>0.21190000000000001</v>
      </c>
      <c r="CJ244" s="664">
        <f t="shared" si="166"/>
        <v>81.369600000000005</v>
      </c>
      <c r="CK244" s="328"/>
      <c r="CL244" s="611" t="str">
        <f t="shared" ref="CL244:CL249" si="180">IF(CK244=0,"No coverage",IF(N244/CK244&gt;1000,"Low coverage",IF(N244/CK244&gt;750,"Average coverage",IF(N244/CK244&gt;500,"Good coverage","Excellent coverage"))))</f>
        <v>No coverage</v>
      </c>
      <c r="CM244" s="428" t="s">
        <v>169</v>
      </c>
      <c r="CN244" s="428" t="s">
        <v>475</v>
      </c>
      <c r="CO244" s="428" t="s">
        <v>170</v>
      </c>
      <c r="CP244" s="570" t="s">
        <v>170</v>
      </c>
      <c r="CQ244" s="1170"/>
      <c r="CS244" s="1069">
        <f t="shared" si="167"/>
        <v>0</v>
      </c>
      <c r="CT244" s="1069">
        <f t="shared" si="168"/>
        <v>0</v>
      </c>
      <c r="CU244" s="1066">
        <f t="shared" si="169"/>
        <v>0</v>
      </c>
      <c r="CV244" s="1066">
        <f t="shared" si="170"/>
        <v>0</v>
      </c>
      <c r="CW244" s="1082">
        <f t="shared" si="171"/>
        <v>0.96</v>
      </c>
      <c r="CX244" s="1082">
        <f t="shared" si="172"/>
        <v>1.536</v>
      </c>
    </row>
    <row r="245" spans="2:102" ht="18" customHeight="1">
      <c r="B245" s="721" t="s">
        <v>64</v>
      </c>
      <c r="C245" s="604"/>
      <c r="D245" s="604"/>
      <c r="E245" s="1053">
        <v>197765</v>
      </c>
      <c r="F245" s="721" t="s">
        <v>142</v>
      </c>
      <c r="G245" s="722">
        <v>92.770899999999997</v>
      </c>
      <c r="H245" s="722">
        <v>20.3917</v>
      </c>
      <c r="I245" s="595" t="s">
        <v>33</v>
      </c>
      <c r="J245" s="595" t="s">
        <v>45</v>
      </c>
      <c r="K245" s="604" t="s">
        <v>508</v>
      </c>
      <c r="L245" s="585">
        <v>0</v>
      </c>
      <c r="M245" s="585">
        <v>0</v>
      </c>
      <c r="N245" s="723">
        <v>1297</v>
      </c>
      <c r="O245" s="328" t="s">
        <v>983</v>
      </c>
      <c r="P245" s="1134" t="str">
        <f t="shared" si="132"/>
        <v>3. Large</v>
      </c>
      <c r="Q245" s="1135" t="s">
        <v>139</v>
      </c>
      <c r="R245" s="1137"/>
      <c r="S245" s="595" t="s">
        <v>139</v>
      </c>
      <c r="T245" s="323" t="str">
        <f t="shared" si="133"/>
        <v>Not Covered</v>
      </c>
      <c r="U245" s="592"/>
      <c r="V245" s="1142"/>
      <c r="W245" s="558" t="s">
        <v>152</v>
      </c>
      <c r="X245" s="597">
        <v>0</v>
      </c>
      <c r="Y245" s="580">
        <v>0</v>
      </c>
      <c r="Z245" s="590" t="s">
        <v>43</v>
      </c>
      <c r="AA245" s="579">
        <v>4</v>
      </c>
      <c r="AB245" s="580">
        <v>3</v>
      </c>
      <c r="AC245" s="580">
        <v>0</v>
      </c>
      <c r="AD245" s="580">
        <v>1</v>
      </c>
      <c r="AE245" s="590"/>
      <c r="AF245" s="573">
        <v>0</v>
      </c>
      <c r="AG245" s="1152">
        <v>1</v>
      </c>
      <c r="AH245" s="630">
        <f t="shared" si="134"/>
        <v>1</v>
      </c>
      <c r="AI245" s="577">
        <f t="shared" si="135"/>
        <v>1297</v>
      </c>
      <c r="AJ245" s="605">
        <f t="shared" si="136"/>
        <v>1</v>
      </c>
      <c r="AK245" s="577">
        <f t="shared" si="137"/>
        <v>1297</v>
      </c>
      <c r="AL245" s="631">
        <f t="shared" si="138"/>
        <v>1</v>
      </c>
      <c r="AM245" s="577">
        <f t="shared" si="139"/>
        <v>1297</v>
      </c>
      <c r="AN245" s="633" t="str">
        <f t="shared" si="140"/>
        <v>80-100%</v>
      </c>
      <c r="AO245" s="631">
        <f t="shared" si="141"/>
        <v>0</v>
      </c>
      <c r="AP245" s="577">
        <f t="shared" si="142"/>
        <v>0</v>
      </c>
      <c r="AQ245" s="577" t="str">
        <f t="shared" si="143"/>
        <v>yes</v>
      </c>
      <c r="AR245" s="574">
        <f t="shared" si="144"/>
        <v>0</v>
      </c>
      <c r="AS245" s="574">
        <f t="shared" si="145"/>
        <v>1297</v>
      </c>
      <c r="AT245" s="574">
        <f t="shared" si="146"/>
        <v>0</v>
      </c>
      <c r="AU245" s="1152">
        <v>1</v>
      </c>
      <c r="AV245" s="635">
        <f t="shared" si="147"/>
        <v>1297</v>
      </c>
      <c r="AW245" s="584" t="s">
        <v>1159</v>
      </c>
      <c r="AX245" s="1079">
        <v>0</v>
      </c>
      <c r="AY245" s="580">
        <v>0</v>
      </c>
      <c r="AZ245" s="428">
        <v>0</v>
      </c>
      <c r="BA245" s="428"/>
      <c r="BB245" s="548">
        <f t="shared" si="148"/>
        <v>0</v>
      </c>
      <c r="BC245" s="606">
        <f t="shared" si="149"/>
        <v>0</v>
      </c>
      <c r="BD245" s="548">
        <f t="shared" si="150"/>
        <v>0</v>
      </c>
      <c r="BE245" s="576">
        <f t="shared" si="151"/>
        <v>0</v>
      </c>
      <c r="BF245" s="646">
        <f t="shared" si="152"/>
        <v>0</v>
      </c>
      <c r="BG245" s="606">
        <f t="shared" si="153"/>
        <v>0</v>
      </c>
      <c r="BH245" s="593" t="s">
        <v>475</v>
      </c>
      <c r="BI245" s="586">
        <v>0</v>
      </c>
      <c r="BJ245" s="606">
        <f t="shared" si="176"/>
        <v>0</v>
      </c>
      <c r="BK245" s="596" t="str">
        <f t="shared" si="154"/>
        <v>n/a</v>
      </c>
      <c r="BL245" s="580" t="s">
        <v>475</v>
      </c>
      <c r="BM245" s="645" t="str">
        <f t="shared" si="155"/>
        <v>n/a</v>
      </c>
      <c r="BN245" s="606" t="str">
        <f t="shared" si="156"/>
        <v>n/a</v>
      </c>
      <c r="BO245" s="596" t="str">
        <f t="shared" si="157"/>
        <v>n/a</v>
      </c>
      <c r="BP245" s="647" t="s">
        <v>475</v>
      </c>
      <c r="BQ245" s="606" t="s">
        <v>475</v>
      </c>
      <c r="BR245" s="593" t="s">
        <v>475</v>
      </c>
      <c r="BS245" s="645" t="str">
        <f t="shared" si="158"/>
        <v>n/a</v>
      </c>
      <c r="BT245" s="648" t="str">
        <f t="shared" si="159"/>
        <v>n/a</v>
      </c>
      <c r="BU245" s="1161" t="s">
        <v>475</v>
      </c>
      <c r="BV245" s="650" t="str">
        <f t="shared" si="179"/>
        <v>n/a</v>
      </c>
      <c r="BW245" s="637"/>
      <c r="BX245" s="591" t="s">
        <v>475</v>
      </c>
      <c r="BY245" s="1193"/>
      <c r="BZ245" s="1193"/>
      <c r="CA245" s="659" t="str">
        <f t="shared" si="161"/>
        <v>n/a</v>
      </c>
      <c r="CB245" s="580"/>
      <c r="CC245" s="580"/>
      <c r="CD245" s="660" t="str">
        <f t="shared" si="162"/>
        <v>n/a</v>
      </c>
      <c r="CE245" s="661" t="str">
        <f t="shared" si="163"/>
        <v>n/a</v>
      </c>
      <c r="CF245" s="609" t="str">
        <f t="shared" si="164"/>
        <v>n/a</v>
      </c>
      <c r="CG245" s="662" t="str">
        <f t="shared" si="165"/>
        <v>n/a</v>
      </c>
      <c r="CH245" s="579"/>
      <c r="CI245" s="330"/>
      <c r="CJ245" s="664">
        <f t="shared" si="166"/>
        <v>0</v>
      </c>
      <c r="CK245" s="579"/>
      <c r="CL245" s="674" t="str">
        <f t="shared" si="180"/>
        <v>No coverage</v>
      </c>
      <c r="CM245" s="580"/>
      <c r="CN245" s="580"/>
      <c r="CO245" s="580"/>
      <c r="CP245" s="590"/>
      <c r="CQ245" s="1168"/>
      <c r="CS245" s="1069">
        <f t="shared" si="167"/>
        <v>1</v>
      </c>
      <c r="CT245" s="1069">
        <f t="shared" si="168"/>
        <v>1</v>
      </c>
      <c r="CU245" s="1066">
        <f t="shared" si="169"/>
        <v>1</v>
      </c>
      <c r="CV245" s="1066">
        <f t="shared" si="170"/>
        <v>1</v>
      </c>
      <c r="CW245" s="1082">
        <f t="shared" si="171"/>
        <v>0</v>
      </c>
      <c r="CX245" s="1082">
        <f t="shared" si="172"/>
        <v>0</v>
      </c>
    </row>
    <row r="246" spans="2:102" ht="18" customHeight="1">
      <c r="B246" s="402" t="s">
        <v>64</v>
      </c>
      <c r="C246" s="603"/>
      <c r="D246" s="603"/>
      <c r="E246" s="1053">
        <v>197595</v>
      </c>
      <c r="F246" s="402" t="s">
        <v>486</v>
      </c>
      <c r="G246" s="556">
        <v>92.638000000000005</v>
      </c>
      <c r="H246" s="556">
        <v>20.523099999999999</v>
      </c>
      <c r="I246" s="560" t="s">
        <v>33</v>
      </c>
      <c r="J246" s="560" t="s">
        <v>45</v>
      </c>
      <c r="K246" s="604" t="s">
        <v>455</v>
      </c>
      <c r="L246" s="428">
        <v>0</v>
      </c>
      <c r="M246" s="428">
        <v>0</v>
      </c>
      <c r="N246" s="570">
        <v>162</v>
      </c>
      <c r="O246" s="328" t="s">
        <v>983</v>
      </c>
      <c r="P246" s="720" t="str">
        <f t="shared" si="132"/>
        <v>1. Small</v>
      </c>
      <c r="Q246" s="968" t="s">
        <v>153</v>
      </c>
      <c r="R246" s="625"/>
      <c r="S246" s="560" t="s">
        <v>172</v>
      </c>
      <c r="T246" s="323" t="str">
        <f t="shared" si="133"/>
        <v>Covered</v>
      </c>
      <c r="U246" s="561">
        <v>42369</v>
      </c>
      <c r="V246" s="1144"/>
      <c r="W246" s="558" t="s">
        <v>152</v>
      </c>
      <c r="X246" s="328">
        <v>0</v>
      </c>
      <c r="Y246" s="428">
        <v>0</v>
      </c>
      <c r="Z246" s="570" t="s">
        <v>43</v>
      </c>
      <c r="AA246" s="328">
        <v>0</v>
      </c>
      <c r="AB246" s="428">
        <v>0</v>
      </c>
      <c r="AC246" s="428">
        <v>0</v>
      </c>
      <c r="AD246" s="428">
        <v>1</v>
      </c>
      <c r="AE246" s="570"/>
      <c r="AF246" s="329">
        <v>0</v>
      </c>
      <c r="AG246" s="1124">
        <v>0.94</v>
      </c>
      <c r="AH246" s="630">
        <f t="shared" si="134"/>
        <v>0</v>
      </c>
      <c r="AI246" s="574">
        <f t="shared" si="135"/>
        <v>0</v>
      </c>
      <c r="AJ246" s="605">
        <f t="shared" si="136"/>
        <v>0</v>
      </c>
      <c r="AK246" s="574">
        <f t="shared" si="137"/>
        <v>0</v>
      </c>
      <c r="AL246" s="605">
        <f t="shared" si="138"/>
        <v>0.94</v>
      </c>
      <c r="AM246" s="574">
        <f t="shared" si="139"/>
        <v>152.28</v>
      </c>
      <c r="AN246" s="605" t="str">
        <f t="shared" si="140"/>
        <v>0-10%</v>
      </c>
      <c r="AO246" s="605">
        <f t="shared" si="141"/>
        <v>0</v>
      </c>
      <c r="AP246" s="574">
        <f t="shared" si="142"/>
        <v>0</v>
      </c>
      <c r="AQ246" s="574" t="str">
        <f t="shared" si="143"/>
        <v>yes</v>
      </c>
      <c r="AR246" s="574">
        <f t="shared" si="144"/>
        <v>0.64800000000000002</v>
      </c>
      <c r="AS246" s="574">
        <f t="shared" si="145"/>
        <v>152.28</v>
      </c>
      <c r="AT246" s="574">
        <f t="shared" si="146"/>
        <v>0</v>
      </c>
      <c r="AU246" s="1152">
        <v>0.94</v>
      </c>
      <c r="AV246" s="635">
        <f t="shared" si="147"/>
        <v>152.28</v>
      </c>
      <c r="AW246" s="325" t="s">
        <v>979</v>
      </c>
      <c r="AX246" s="740">
        <v>0</v>
      </c>
      <c r="AY246" s="428">
        <v>2</v>
      </c>
      <c r="AZ246" s="428">
        <v>6</v>
      </c>
      <c r="BA246" s="473" t="s">
        <v>526</v>
      </c>
      <c r="BB246" s="548">
        <f t="shared" si="148"/>
        <v>7.407407407407407E-2</v>
      </c>
      <c r="BC246" s="606">
        <f t="shared" si="149"/>
        <v>12</v>
      </c>
      <c r="BD246" s="548">
        <f t="shared" si="150"/>
        <v>7.407407407407407E-2</v>
      </c>
      <c r="BE246" s="606">
        <f t="shared" si="151"/>
        <v>12</v>
      </c>
      <c r="BF246" s="549">
        <f t="shared" si="152"/>
        <v>0</v>
      </c>
      <c r="BG246" s="606">
        <f t="shared" si="153"/>
        <v>0</v>
      </c>
      <c r="BH246" s="519" t="s">
        <v>475</v>
      </c>
      <c r="BI246" s="429">
        <v>7.0000000000000007E-2</v>
      </c>
      <c r="BJ246" s="606">
        <f t="shared" si="176"/>
        <v>11.340000000000002</v>
      </c>
      <c r="BK246" s="606" t="str">
        <f t="shared" si="154"/>
        <v>n/a</v>
      </c>
      <c r="BL246" s="428" t="s">
        <v>475</v>
      </c>
      <c r="BM246" s="548" t="str">
        <f t="shared" si="155"/>
        <v>n/a</v>
      </c>
      <c r="BN246" s="606" t="str">
        <f t="shared" si="156"/>
        <v>n/a</v>
      </c>
      <c r="BO246" s="606" t="str">
        <f t="shared" si="157"/>
        <v>n/a</v>
      </c>
      <c r="BP246" s="578" t="s">
        <v>475</v>
      </c>
      <c r="BQ246" s="606" t="s">
        <v>475</v>
      </c>
      <c r="BR246" s="519" t="s">
        <v>475</v>
      </c>
      <c r="BS246" s="548" t="str">
        <f t="shared" si="158"/>
        <v>n/a</v>
      </c>
      <c r="BT246" s="607" t="str">
        <f t="shared" si="159"/>
        <v>n/a</v>
      </c>
      <c r="BU246" s="1163">
        <v>0</v>
      </c>
      <c r="BV246" s="650" t="str">
        <f t="shared" si="179"/>
        <v>n/a</v>
      </c>
      <c r="BW246" s="636" t="s">
        <v>1141</v>
      </c>
      <c r="BX246" s="470" t="s">
        <v>475</v>
      </c>
      <c r="BY246" s="1192"/>
      <c r="BZ246" s="1192"/>
      <c r="CA246" s="608" t="str">
        <f t="shared" si="161"/>
        <v>n/a</v>
      </c>
      <c r="CB246" s="428"/>
      <c r="CC246" s="428"/>
      <c r="CD246" s="609" t="str">
        <f t="shared" si="162"/>
        <v>n/a</v>
      </c>
      <c r="CE246" s="610" t="str">
        <f t="shared" si="163"/>
        <v>n/a</v>
      </c>
      <c r="CF246" s="609" t="str">
        <f t="shared" si="164"/>
        <v>n/a</v>
      </c>
      <c r="CG246" s="658" t="str">
        <f t="shared" si="165"/>
        <v>n/a</v>
      </c>
      <c r="CH246" s="328"/>
      <c r="CI246" s="330">
        <v>0.90100000000000002</v>
      </c>
      <c r="CJ246" s="664">
        <f t="shared" si="166"/>
        <v>145.96200000000002</v>
      </c>
      <c r="CK246" s="328"/>
      <c r="CL246" s="611" t="str">
        <f t="shared" si="180"/>
        <v>No coverage</v>
      </c>
      <c r="CM246" s="428" t="s">
        <v>169</v>
      </c>
      <c r="CN246" s="428" t="s">
        <v>475</v>
      </c>
      <c r="CO246" s="428" t="s">
        <v>170</v>
      </c>
      <c r="CP246" s="570" t="s">
        <v>170</v>
      </c>
      <c r="CQ246" s="1170"/>
      <c r="CS246" s="1069">
        <f t="shared" si="167"/>
        <v>0</v>
      </c>
      <c r="CT246" s="1069">
        <f t="shared" si="168"/>
        <v>0</v>
      </c>
      <c r="CU246" s="1066">
        <f t="shared" si="169"/>
        <v>0</v>
      </c>
      <c r="CV246" s="1066">
        <f t="shared" si="170"/>
        <v>0</v>
      </c>
      <c r="CW246" s="1082">
        <f t="shared" si="171"/>
        <v>0.40500000000000003</v>
      </c>
      <c r="CX246" s="1082">
        <f t="shared" si="172"/>
        <v>0.64800000000000002</v>
      </c>
    </row>
    <row r="247" spans="2:102" ht="18" customHeight="1">
      <c r="B247" s="402" t="s">
        <v>64</v>
      </c>
      <c r="C247" s="603"/>
      <c r="D247" s="603"/>
      <c r="E247" s="1053">
        <v>197600</v>
      </c>
      <c r="F247" s="402" t="s">
        <v>447</v>
      </c>
      <c r="G247" s="556">
        <v>92.656700000000001</v>
      </c>
      <c r="H247" s="556">
        <v>20.5501</v>
      </c>
      <c r="I247" s="560" t="s">
        <v>33</v>
      </c>
      <c r="J247" s="560" t="s">
        <v>34</v>
      </c>
      <c r="K247" s="604" t="s">
        <v>455</v>
      </c>
      <c r="L247" s="428">
        <v>0</v>
      </c>
      <c r="M247" s="428">
        <v>0</v>
      </c>
      <c r="N247" s="570">
        <v>276</v>
      </c>
      <c r="O247" s="328" t="s">
        <v>983</v>
      </c>
      <c r="P247" s="720" t="str">
        <f t="shared" si="132"/>
        <v>1. Small</v>
      </c>
      <c r="Q247" s="968" t="s">
        <v>153</v>
      </c>
      <c r="R247" s="625"/>
      <c r="S247" s="560" t="s">
        <v>172</v>
      </c>
      <c r="T247" s="323" t="str">
        <f t="shared" si="133"/>
        <v>Covered</v>
      </c>
      <c r="U247" s="561">
        <v>42369</v>
      </c>
      <c r="V247" s="1144"/>
      <c r="W247" s="558" t="s">
        <v>152</v>
      </c>
      <c r="X247" s="328">
        <v>0</v>
      </c>
      <c r="Y247" s="428">
        <v>0</v>
      </c>
      <c r="Z247" s="570" t="s">
        <v>43</v>
      </c>
      <c r="AA247" s="328">
        <v>0</v>
      </c>
      <c r="AB247" s="428">
        <v>0</v>
      </c>
      <c r="AC247" s="428">
        <v>0</v>
      </c>
      <c r="AD247" s="428">
        <v>1</v>
      </c>
      <c r="AE247" s="570"/>
      <c r="AF247" s="329">
        <v>0</v>
      </c>
      <c r="AG247" s="1124">
        <v>0</v>
      </c>
      <c r="AH247" s="630">
        <f t="shared" si="134"/>
        <v>0</v>
      </c>
      <c r="AI247" s="574">
        <f t="shared" si="135"/>
        <v>0</v>
      </c>
      <c r="AJ247" s="605">
        <f t="shared" si="136"/>
        <v>0</v>
      </c>
      <c r="AK247" s="574">
        <f t="shared" si="137"/>
        <v>0</v>
      </c>
      <c r="AL247" s="605">
        <f t="shared" si="138"/>
        <v>0</v>
      </c>
      <c r="AM247" s="574">
        <f t="shared" si="139"/>
        <v>0</v>
      </c>
      <c r="AN247" s="605" t="str">
        <f t="shared" si="140"/>
        <v>0-10%</v>
      </c>
      <c r="AO247" s="605">
        <f t="shared" si="141"/>
        <v>0</v>
      </c>
      <c r="AP247" s="574">
        <f t="shared" si="142"/>
        <v>0</v>
      </c>
      <c r="AQ247" s="574" t="str">
        <f t="shared" si="143"/>
        <v>yes</v>
      </c>
      <c r="AR247" s="574">
        <f t="shared" si="144"/>
        <v>1.1040000000000001</v>
      </c>
      <c r="AS247" s="574">
        <f t="shared" si="145"/>
        <v>0</v>
      </c>
      <c r="AT247" s="574">
        <f t="shared" si="146"/>
        <v>0</v>
      </c>
      <c r="AU247" s="1152">
        <v>0</v>
      </c>
      <c r="AV247" s="635">
        <f t="shared" si="147"/>
        <v>0</v>
      </c>
      <c r="AW247" s="325"/>
      <c r="AX247" s="740">
        <v>0</v>
      </c>
      <c r="AY247" s="428">
        <v>7</v>
      </c>
      <c r="AZ247" s="428">
        <v>6</v>
      </c>
      <c r="BA247" s="473" t="s">
        <v>526</v>
      </c>
      <c r="BB247" s="548">
        <f t="shared" si="148"/>
        <v>0.15217391304347827</v>
      </c>
      <c r="BC247" s="606">
        <f t="shared" si="149"/>
        <v>42</v>
      </c>
      <c r="BD247" s="548">
        <f t="shared" si="150"/>
        <v>0.15217391304347827</v>
      </c>
      <c r="BE247" s="606">
        <f t="shared" si="151"/>
        <v>42</v>
      </c>
      <c r="BF247" s="549">
        <f t="shared" si="152"/>
        <v>0</v>
      </c>
      <c r="BG247" s="606">
        <f t="shared" si="153"/>
        <v>0</v>
      </c>
      <c r="BH247" s="519" t="s">
        <v>475</v>
      </c>
      <c r="BI247" s="429">
        <v>0.15</v>
      </c>
      <c r="BJ247" s="606">
        <f t="shared" si="176"/>
        <v>41.4</v>
      </c>
      <c r="BK247" s="606" t="str">
        <f t="shared" si="154"/>
        <v>n/a</v>
      </c>
      <c r="BL247" s="428" t="s">
        <v>475</v>
      </c>
      <c r="BM247" s="548" t="str">
        <f t="shared" si="155"/>
        <v>n/a</v>
      </c>
      <c r="BN247" s="606" t="str">
        <f t="shared" si="156"/>
        <v>n/a</v>
      </c>
      <c r="BO247" s="606" t="str">
        <f t="shared" si="157"/>
        <v>n/a</v>
      </c>
      <c r="BP247" s="578" t="s">
        <v>475</v>
      </c>
      <c r="BQ247" s="606" t="s">
        <v>475</v>
      </c>
      <c r="BR247" s="519" t="s">
        <v>475</v>
      </c>
      <c r="BS247" s="548" t="str">
        <f t="shared" si="158"/>
        <v>n/a</v>
      </c>
      <c r="BT247" s="607" t="str">
        <f t="shared" si="159"/>
        <v>n/a</v>
      </c>
      <c r="BU247" s="1163">
        <v>0</v>
      </c>
      <c r="BV247" s="650" t="str">
        <f t="shared" si="179"/>
        <v>n/a</v>
      </c>
      <c r="BW247" s="636" t="s">
        <v>1141</v>
      </c>
      <c r="BX247" s="470" t="s">
        <v>475</v>
      </c>
      <c r="BY247" s="1192"/>
      <c r="BZ247" s="1192"/>
      <c r="CA247" s="608" t="str">
        <f t="shared" si="161"/>
        <v>n/a</v>
      </c>
      <c r="CB247" s="428"/>
      <c r="CC247" s="428"/>
      <c r="CD247" s="609" t="str">
        <f t="shared" si="162"/>
        <v>n/a</v>
      </c>
      <c r="CE247" s="610" t="str">
        <f t="shared" si="163"/>
        <v>n/a</v>
      </c>
      <c r="CF247" s="609" t="str">
        <f t="shared" si="164"/>
        <v>n/a</v>
      </c>
      <c r="CG247" s="658" t="str">
        <f t="shared" si="165"/>
        <v>n/a</v>
      </c>
      <c r="CH247" s="328"/>
      <c r="CI247" s="330">
        <v>0.74729999999999996</v>
      </c>
      <c r="CJ247" s="664">
        <f t="shared" si="166"/>
        <v>206.25479999999999</v>
      </c>
      <c r="CK247" s="328"/>
      <c r="CL247" s="611" t="str">
        <f t="shared" si="180"/>
        <v>No coverage</v>
      </c>
      <c r="CM247" s="428" t="s">
        <v>169</v>
      </c>
      <c r="CN247" s="428" t="s">
        <v>475</v>
      </c>
      <c r="CO247" s="428" t="s">
        <v>170</v>
      </c>
      <c r="CP247" s="570" t="s">
        <v>170</v>
      </c>
      <c r="CQ247" s="1170"/>
      <c r="CS247" s="1069">
        <f t="shared" si="167"/>
        <v>0</v>
      </c>
      <c r="CT247" s="1069">
        <f t="shared" si="168"/>
        <v>0</v>
      </c>
      <c r="CU247" s="1066">
        <f t="shared" si="169"/>
        <v>0</v>
      </c>
      <c r="CV247" s="1066">
        <f t="shared" si="170"/>
        <v>0</v>
      </c>
      <c r="CW247" s="1082">
        <f t="shared" si="171"/>
        <v>0.69</v>
      </c>
      <c r="CX247" s="1082">
        <f t="shared" si="172"/>
        <v>1.1040000000000001</v>
      </c>
    </row>
    <row r="248" spans="2:102" ht="18" customHeight="1">
      <c r="B248" s="402" t="s">
        <v>75</v>
      </c>
      <c r="C248" s="603"/>
      <c r="D248" s="603"/>
      <c r="E248" s="1052">
        <v>196143</v>
      </c>
      <c r="F248" s="402" t="s">
        <v>483</v>
      </c>
      <c r="G248" s="556">
        <v>92.805000000000007</v>
      </c>
      <c r="H248" s="556">
        <v>20.235199999999999</v>
      </c>
      <c r="I248" s="560" t="s">
        <v>33</v>
      </c>
      <c r="J248" s="560" t="s">
        <v>34</v>
      </c>
      <c r="K248" s="604" t="s">
        <v>455</v>
      </c>
      <c r="L248" s="428">
        <v>0</v>
      </c>
      <c r="M248" s="428">
        <v>0</v>
      </c>
      <c r="N248" s="570">
        <v>1286</v>
      </c>
      <c r="O248" s="328" t="s">
        <v>983</v>
      </c>
      <c r="P248" s="720" t="str">
        <f t="shared" si="132"/>
        <v>3. Large</v>
      </c>
      <c r="Q248" s="968" t="s">
        <v>323</v>
      </c>
      <c r="R248" s="625"/>
      <c r="S248" s="560" t="s">
        <v>143</v>
      </c>
      <c r="T248" s="323" t="str">
        <f t="shared" si="133"/>
        <v>Covered</v>
      </c>
      <c r="U248" s="561">
        <v>42460</v>
      </c>
      <c r="V248" s="1144"/>
      <c r="W248" s="558" t="s">
        <v>152</v>
      </c>
      <c r="X248" s="328">
        <v>0</v>
      </c>
      <c r="Y248" s="428">
        <v>0</v>
      </c>
      <c r="Z248" s="570" t="s">
        <v>43</v>
      </c>
      <c r="AA248" s="328">
        <v>10</v>
      </c>
      <c r="AB248" s="428">
        <v>6</v>
      </c>
      <c r="AC248" s="428">
        <v>0</v>
      </c>
      <c r="AD248" s="428">
        <v>1</v>
      </c>
      <c r="AE248" s="570"/>
      <c r="AF248" s="329">
        <v>0</v>
      </c>
      <c r="AG248" s="1124">
        <v>1</v>
      </c>
      <c r="AH248" s="630">
        <f t="shared" si="134"/>
        <v>1</v>
      </c>
      <c r="AI248" s="574">
        <f t="shared" si="135"/>
        <v>1286</v>
      </c>
      <c r="AJ248" s="605">
        <f t="shared" si="136"/>
        <v>1</v>
      </c>
      <c r="AK248" s="574">
        <f t="shared" si="137"/>
        <v>1286</v>
      </c>
      <c r="AL248" s="605">
        <f t="shared" si="138"/>
        <v>1</v>
      </c>
      <c r="AM248" s="574">
        <f t="shared" si="139"/>
        <v>1286</v>
      </c>
      <c r="AN248" s="605" t="str">
        <f t="shared" si="140"/>
        <v>80-100%</v>
      </c>
      <c r="AO248" s="605">
        <f t="shared" si="141"/>
        <v>0</v>
      </c>
      <c r="AP248" s="574">
        <f t="shared" si="142"/>
        <v>0</v>
      </c>
      <c r="AQ248" s="574" t="str">
        <f t="shared" si="143"/>
        <v>yes</v>
      </c>
      <c r="AR248" s="574">
        <f t="shared" si="144"/>
        <v>0</v>
      </c>
      <c r="AS248" s="574">
        <f t="shared" si="145"/>
        <v>1286</v>
      </c>
      <c r="AT248" s="574">
        <f t="shared" si="146"/>
        <v>0</v>
      </c>
      <c r="AU248" s="1152">
        <v>1</v>
      </c>
      <c r="AV248" s="635">
        <f t="shared" si="147"/>
        <v>1286</v>
      </c>
      <c r="AW248" s="325" t="s">
        <v>583</v>
      </c>
      <c r="AX248" s="740">
        <v>0</v>
      </c>
      <c r="AY248" s="428">
        <v>62</v>
      </c>
      <c r="AZ248" s="428">
        <v>6</v>
      </c>
      <c r="BA248" s="473" t="s">
        <v>526</v>
      </c>
      <c r="BB248" s="548">
        <f t="shared" si="148"/>
        <v>0.28926905132192848</v>
      </c>
      <c r="BC248" s="606">
        <f t="shared" si="149"/>
        <v>372.00000000000006</v>
      </c>
      <c r="BD248" s="548">
        <f t="shared" si="150"/>
        <v>0.28926905132192848</v>
      </c>
      <c r="BE248" s="606">
        <f t="shared" si="151"/>
        <v>372.00000000000006</v>
      </c>
      <c r="BF248" s="549">
        <f t="shared" si="152"/>
        <v>0</v>
      </c>
      <c r="BG248" s="606">
        <f t="shared" si="153"/>
        <v>0</v>
      </c>
      <c r="BH248" s="519" t="s">
        <v>475</v>
      </c>
      <c r="BI248" s="429">
        <v>0.3</v>
      </c>
      <c r="BJ248" s="606">
        <f t="shared" si="176"/>
        <v>385.8</v>
      </c>
      <c r="BK248" s="606" t="str">
        <f t="shared" si="154"/>
        <v>n/a</v>
      </c>
      <c r="BL248" s="428">
        <v>52</v>
      </c>
      <c r="BM248" s="548" t="str">
        <f t="shared" si="155"/>
        <v>n/a</v>
      </c>
      <c r="BN248" s="606" t="str">
        <f t="shared" si="156"/>
        <v>n/a</v>
      </c>
      <c r="BO248" s="606" t="str">
        <f t="shared" si="157"/>
        <v>n/a</v>
      </c>
      <c r="BP248" s="578" t="s">
        <v>475</v>
      </c>
      <c r="BQ248" s="606" t="s">
        <v>475</v>
      </c>
      <c r="BR248" s="519" t="s">
        <v>475</v>
      </c>
      <c r="BS248" s="548" t="str">
        <f t="shared" si="158"/>
        <v>n/a</v>
      </c>
      <c r="BT248" s="607" t="str">
        <f t="shared" si="159"/>
        <v>n/a</v>
      </c>
      <c r="BU248" s="1163" t="s">
        <v>475</v>
      </c>
      <c r="BV248" s="650" t="str">
        <f t="shared" si="179"/>
        <v>n/a</v>
      </c>
      <c r="BW248" s="636"/>
      <c r="BX248" s="470" t="s">
        <v>475</v>
      </c>
      <c r="BY248" s="1192"/>
      <c r="BZ248" s="1192"/>
      <c r="CA248" s="608" t="str">
        <f t="shared" si="161"/>
        <v>n/a</v>
      </c>
      <c r="CB248" s="428"/>
      <c r="CC248" s="428"/>
      <c r="CD248" s="609" t="str">
        <f t="shared" si="162"/>
        <v>n/a</v>
      </c>
      <c r="CE248" s="610" t="str">
        <f t="shared" si="163"/>
        <v>n/a</v>
      </c>
      <c r="CF248" s="609" t="str">
        <f t="shared" si="164"/>
        <v>n/a</v>
      </c>
      <c r="CG248" s="658" t="str">
        <f t="shared" si="165"/>
        <v>n/a</v>
      </c>
      <c r="CH248" s="328"/>
      <c r="CI248" s="330">
        <v>0.25</v>
      </c>
      <c r="CJ248" s="664">
        <f t="shared" si="166"/>
        <v>321.5</v>
      </c>
      <c r="CK248" s="328">
        <v>6</v>
      </c>
      <c r="CL248" s="611" t="str">
        <f t="shared" si="180"/>
        <v>Excellent coverage</v>
      </c>
      <c r="CM248" s="428" t="s">
        <v>38</v>
      </c>
      <c r="CN248" s="428" t="s">
        <v>475</v>
      </c>
      <c r="CO248" s="428" t="s">
        <v>38</v>
      </c>
      <c r="CP248" s="570" t="s">
        <v>38</v>
      </c>
      <c r="CQ248" s="1170"/>
      <c r="CS248" s="1069">
        <f t="shared" si="167"/>
        <v>1</v>
      </c>
      <c r="CT248" s="1069">
        <f t="shared" si="168"/>
        <v>1</v>
      </c>
      <c r="CU248" s="1066">
        <f t="shared" si="169"/>
        <v>1</v>
      </c>
      <c r="CV248" s="1066">
        <f t="shared" si="170"/>
        <v>1</v>
      </c>
      <c r="CW248" s="1082">
        <f t="shared" si="171"/>
        <v>0</v>
      </c>
      <c r="CX248" s="1082">
        <f t="shared" si="172"/>
        <v>0</v>
      </c>
    </row>
    <row r="249" spans="2:102" ht="18" customHeight="1">
      <c r="B249" s="402" t="s">
        <v>75</v>
      </c>
      <c r="C249" s="603"/>
      <c r="D249" s="603"/>
      <c r="E249" s="1052">
        <v>196138</v>
      </c>
      <c r="F249" s="402" t="s">
        <v>370</v>
      </c>
      <c r="G249" s="556">
        <v>92.790199999999999</v>
      </c>
      <c r="H249" s="556">
        <v>20.235199999999999</v>
      </c>
      <c r="I249" s="560" t="s">
        <v>33</v>
      </c>
      <c r="J249" s="560" t="s">
        <v>45</v>
      </c>
      <c r="K249" s="604" t="s">
        <v>455</v>
      </c>
      <c r="L249" s="428">
        <v>0</v>
      </c>
      <c r="M249" s="428">
        <v>0</v>
      </c>
      <c r="N249" s="570">
        <v>1867</v>
      </c>
      <c r="O249" s="328" t="s">
        <v>983</v>
      </c>
      <c r="P249" s="720" t="str">
        <f t="shared" si="132"/>
        <v>3. Large</v>
      </c>
      <c r="Q249" s="968" t="s">
        <v>323</v>
      </c>
      <c r="R249" s="625"/>
      <c r="S249" s="560" t="s">
        <v>143</v>
      </c>
      <c r="T249" s="323" t="str">
        <f t="shared" si="133"/>
        <v>Covered</v>
      </c>
      <c r="U249" s="561">
        <v>42460</v>
      </c>
      <c r="V249" s="1144"/>
      <c r="W249" s="558" t="s">
        <v>152</v>
      </c>
      <c r="X249" s="328">
        <v>0</v>
      </c>
      <c r="Y249" s="428">
        <v>0</v>
      </c>
      <c r="Z249" s="570" t="s">
        <v>43</v>
      </c>
      <c r="AA249" s="328">
        <v>14</v>
      </c>
      <c r="AB249" s="428">
        <v>22</v>
      </c>
      <c r="AC249" s="428">
        <v>0</v>
      </c>
      <c r="AD249" s="428">
        <v>0</v>
      </c>
      <c r="AE249" s="570"/>
      <c r="AF249" s="329">
        <v>0</v>
      </c>
      <c r="AG249" s="1124">
        <v>1</v>
      </c>
      <c r="AH249" s="630">
        <f t="shared" si="134"/>
        <v>1</v>
      </c>
      <c r="AI249" s="574">
        <f t="shared" si="135"/>
        <v>1867</v>
      </c>
      <c r="AJ249" s="605">
        <f t="shared" si="136"/>
        <v>1</v>
      </c>
      <c r="AK249" s="574">
        <f t="shared" si="137"/>
        <v>1867</v>
      </c>
      <c r="AL249" s="605">
        <f t="shared" si="138"/>
        <v>1</v>
      </c>
      <c r="AM249" s="574">
        <f t="shared" si="139"/>
        <v>1867</v>
      </c>
      <c r="AN249" s="605" t="str">
        <f t="shared" si="140"/>
        <v>80-100%</v>
      </c>
      <c r="AO249" s="605">
        <f t="shared" si="141"/>
        <v>0</v>
      </c>
      <c r="AP249" s="574">
        <f t="shared" si="142"/>
        <v>0</v>
      </c>
      <c r="AQ249" s="574" t="str">
        <f t="shared" si="143"/>
        <v>no</v>
      </c>
      <c r="AR249" s="574">
        <f t="shared" si="144"/>
        <v>0</v>
      </c>
      <c r="AS249" s="574">
        <f t="shared" si="145"/>
        <v>1867</v>
      </c>
      <c r="AT249" s="574">
        <f t="shared" si="146"/>
        <v>0</v>
      </c>
      <c r="AU249" s="1152">
        <v>1</v>
      </c>
      <c r="AV249" s="635">
        <f t="shared" si="147"/>
        <v>1867</v>
      </c>
      <c r="AW249" s="325" t="s">
        <v>584</v>
      </c>
      <c r="AX249" s="740">
        <v>0</v>
      </c>
      <c r="AY249" s="428">
        <v>87</v>
      </c>
      <c r="AZ249" s="428">
        <v>6</v>
      </c>
      <c r="BA249" s="473" t="s">
        <v>526</v>
      </c>
      <c r="BB249" s="548">
        <f t="shared" si="148"/>
        <v>0.27959292983395823</v>
      </c>
      <c r="BC249" s="606">
        <f t="shared" si="149"/>
        <v>522</v>
      </c>
      <c r="BD249" s="548">
        <f t="shared" si="150"/>
        <v>0.27959292983395823</v>
      </c>
      <c r="BE249" s="606">
        <f t="shared" si="151"/>
        <v>522</v>
      </c>
      <c r="BF249" s="549">
        <f t="shared" si="152"/>
        <v>0</v>
      </c>
      <c r="BG249" s="606">
        <f t="shared" si="153"/>
        <v>0</v>
      </c>
      <c r="BH249" s="519" t="s">
        <v>475</v>
      </c>
      <c r="BI249" s="429">
        <v>0.3</v>
      </c>
      <c r="BJ249" s="606">
        <f t="shared" si="176"/>
        <v>560.1</v>
      </c>
      <c r="BK249" s="606" t="str">
        <f t="shared" si="154"/>
        <v>n/a</v>
      </c>
      <c r="BL249" s="428">
        <v>70</v>
      </c>
      <c r="BM249" s="548" t="str">
        <f t="shared" si="155"/>
        <v>n/a</v>
      </c>
      <c r="BN249" s="606" t="str">
        <f t="shared" si="156"/>
        <v>n/a</v>
      </c>
      <c r="BO249" s="606" t="str">
        <f t="shared" si="157"/>
        <v>n/a</v>
      </c>
      <c r="BP249" s="578" t="s">
        <v>475</v>
      </c>
      <c r="BQ249" s="606" t="s">
        <v>475</v>
      </c>
      <c r="BR249" s="519" t="s">
        <v>475</v>
      </c>
      <c r="BS249" s="548" t="str">
        <f t="shared" si="158"/>
        <v>n/a</v>
      </c>
      <c r="BT249" s="607" t="str">
        <f t="shared" si="159"/>
        <v>n/a</v>
      </c>
      <c r="BU249" s="1163" t="s">
        <v>475</v>
      </c>
      <c r="BV249" s="650" t="str">
        <f t="shared" si="179"/>
        <v>n/a</v>
      </c>
      <c r="BW249" s="636"/>
      <c r="BX249" s="470" t="s">
        <v>475</v>
      </c>
      <c r="BY249" s="1192"/>
      <c r="BZ249" s="1192"/>
      <c r="CA249" s="608" t="str">
        <f t="shared" si="161"/>
        <v>n/a</v>
      </c>
      <c r="CB249" s="428"/>
      <c r="CC249" s="428"/>
      <c r="CD249" s="609" t="str">
        <f t="shared" si="162"/>
        <v>n/a</v>
      </c>
      <c r="CE249" s="610" t="str">
        <f t="shared" si="163"/>
        <v>n/a</v>
      </c>
      <c r="CF249" s="609" t="str">
        <f t="shared" si="164"/>
        <v>n/a</v>
      </c>
      <c r="CG249" s="658" t="str">
        <f t="shared" si="165"/>
        <v>n/a</v>
      </c>
      <c r="CH249" s="328"/>
      <c r="CI249" s="330">
        <v>0.25</v>
      </c>
      <c r="CJ249" s="664">
        <f t="shared" si="166"/>
        <v>466.75</v>
      </c>
      <c r="CK249" s="328">
        <v>6</v>
      </c>
      <c r="CL249" s="611" t="str">
        <f t="shared" si="180"/>
        <v>Excellent coverage</v>
      </c>
      <c r="CM249" s="428" t="s">
        <v>38</v>
      </c>
      <c r="CN249" s="428" t="s">
        <v>475</v>
      </c>
      <c r="CO249" s="428" t="s">
        <v>38</v>
      </c>
      <c r="CP249" s="570" t="s">
        <v>38</v>
      </c>
      <c r="CQ249" s="1170"/>
      <c r="CS249" s="1069">
        <f t="shared" si="167"/>
        <v>1</v>
      </c>
      <c r="CT249" s="1069">
        <f t="shared" si="168"/>
        <v>1</v>
      </c>
      <c r="CU249" s="1066">
        <f t="shared" si="169"/>
        <v>1</v>
      </c>
      <c r="CV249" s="1066">
        <f t="shared" si="170"/>
        <v>1</v>
      </c>
      <c r="CW249" s="1082">
        <f t="shared" si="171"/>
        <v>0</v>
      </c>
      <c r="CX249" s="1082">
        <f t="shared" si="172"/>
        <v>0</v>
      </c>
    </row>
    <row r="250" spans="2:102" ht="18" customHeight="1">
      <c r="B250" s="402" t="s">
        <v>75</v>
      </c>
      <c r="C250" s="603"/>
      <c r="D250" s="603"/>
      <c r="E250" s="1052">
        <v>196208</v>
      </c>
      <c r="F250" s="402" t="s">
        <v>731</v>
      </c>
      <c r="G250" s="556">
        <v>92.875450000000001</v>
      </c>
      <c r="H250" s="556">
        <v>20.127127999999999</v>
      </c>
      <c r="I250" s="560" t="s">
        <v>33</v>
      </c>
      <c r="J250" s="560" t="s">
        <v>34</v>
      </c>
      <c r="K250" s="603" t="s">
        <v>508</v>
      </c>
      <c r="L250" s="428">
        <v>0</v>
      </c>
      <c r="M250" s="428">
        <v>0</v>
      </c>
      <c r="N250" s="570">
        <v>627</v>
      </c>
      <c r="O250" s="328" t="s">
        <v>983</v>
      </c>
      <c r="P250" s="720" t="str">
        <f t="shared" si="132"/>
        <v>2. Medium</v>
      </c>
      <c r="Q250" s="968" t="s">
        <v>323</v>
      </c>
      <c r="R250" s="625"/>
      <c r="S250" s="560" t="s">
        <v>52</v>
      </c>
      <c r="T250" s="323" t="str">
        <f t="shared" si="133"/>
        <v>Covered</v>
      </c>
      <c r="U250" s="561">
        <v>42460</v>
      </c>
      <c r="V250" s="1144"/>
      <c r="W250" s="558" t="s">
        <v>152</v>
      </c>
      <c r="X250" s="328">
        <v>0</v>
      </c>
      <c r="Y250" s="428">
        <v>0</v>
      </c>
      <c r="Z250" s="570" t="s">
        <v>43</v>
      </c>
      <c r="AA250" s="328">
        <v>1</v>
      </c>
      <c r="AB250" s="428">
        <v>5</v>
      </c>
      <c r="AC250" s="428">
        <v>0</v>
      </c>
      <c r="AD250" s="428">
        <v>0</v>
      </c>
      <c r="AE250" s="570"/>
      <c r="AF250" s="329">
        <v>0</v>
      </c>
      <c r="AG250" s="1124">
        <v>1</v>
      </c>
      <c r="AH250" s="630">
        <f t="shared" si="134"/>
        <v>1</v>
      </c>
      <c r="AI250" s="574">
        <f t="shared" si="135"/>
        <v>627</v>
      </c>
      <c r="AJ250" s="605">
        <f t="shared" si="136"/>
        <v>1</v>
      </c>
      <c r="AK250" s="574">
        <f t="shared" si="137"/>
        <v>627</v>
      </c>
      <c r="AL250" s="605">
        <f t="shared" si="138"/>
        <v>1</v>
      </c>
      <c r="AM250" s="574">
        <f t="shared" si="139"/>
        <v>627</v>
      </c>
      <c r="AN250" s="605" t="str">
        <f t="shared" si="140"/>
        <v>80-100%</v>
      </c>
      <c r="AO250" s="605">
        <f t="shared" si="141"/>
        <v>0</v>
      </c>
      <c r="AP250" s="574">
        <f t="shared" si="142"/>
        <v>0</v>
      </c>
      <c r="AQ250" s="574" t="str">
        <f t="shared" si="143"/>
        <v>no</v>
      </c>
      <c r="AR250" s="574">
        <f t="shared" si="144"/>
        <v>0</v>
      </c>
      <c r="AS250" s="574">
        <f t="shared" si="145"/>
        <v>627</v>
      </c>
      <c r="AT250" s="574">
        <f t="shared" si="146"/>
        <v>0</v>
      </c>
      <c r="AU250" s="1152">
        <v>1</v>
      </c>
      <c r="AV250" s="635">
        <f t="shared" si="147"/>
        <v>627</v>
      </c>
      <c r="AW250" s="325"/>
      <c r="AX250" s="740">
        <v>0</v>
      </c>
      <c r="AY250" s="428">
        <v>140</v>
      </c>
      <c r="AZ250" s="428">
        <v>8.5571428571428569</v>
      </c>
      <c r="BA250" s="473" t="s">
        <v>963</v>
      </c>
      <c r="BB250" s="548">
        <f t="shared" si="148"/>
        <v>1</v>
      </c>
      <c r="BC250" s="606">
        <f t="shared" si="149"/>
        <v>627</v>
      </c>
      <c r="BD250" s="548">
        <f t="shared" si="150"/>
        <v>1</v>
      </c>
      <c r="BE250" s="606">
        <f t="shared" si="151"/>
        <v>627</v>
      </c>
      <c r="BF250" s="549">
        <f t="shared" si="152"/>
        <v>0</v>
      </c>
      <c r="BG250" s="606">
        <f t="shared" si="153"/>
        <v>0</v>
      </c>
      <c r="BH250" s="428" t="s">
        <v>494</v>
      </c>
      <c r="BI250" s="429">
        <v>1</v>
      </c>
      <c r="BJ250" s="606">
        <f t="shared" si="176"/>
        <v>627</v>
      </c>
      <c r="BK250" s="606" t="str">
        <f t="shared" si="154"/>
        <v>n/a</v>
      </c>
      <c r="BL250" s="428" t="s">
        <v>475</v>
      </c>
      <c r="BM250" s="548" t="str">
        <f t="shared" si="155"/>
        <v>n/a</v>
      </c>
      <c r="BN250" s="606" t="str">
        <f t="shared" si="156"/>
        <v>n/a</v>
      </c>
      <c r="BO250" s="606" t="str">
        <f t="shared" si="157"/>
        <v>n/a</v>
      </c>
      <c r="BP250" s="578" t="s">
        <v>475</v>
      </c>
      <c r="BQ250" s="606" t="s">
        <v>475</v>
      </c>
      <c r="BR250" s="519" t="s">
        <v>475</v>
      </c>
      <c r="BS250" s="548" t="str">
        <f t="shared" si="158"/>
        <v>n/a</v>
      </c>
      <c r="BT250" s="607" t="str">
        <f t="shared" si="159"/>
        <v>n/a</v>
      </c>
      <c r="BU250" s="1163" t="s">
        <v>475</v>
      </c>
      <c r="BV250" s="650" t="str">
        <f t="shared" si="179"/>
        <v>n/a</v>
      </c>
      <c r="BW250" s="636"/>
      <c r="BX250" s="430">
        <v>41993</v>
      </c>
      <c r="BY250" s="1190"/>
      <c r="BZ250" s="1190"/>
      <c r="CA250" s="608" t="str">
        <f t="shared" si="161"/>
        <v>n/a</v>
      </c>
      <c r="CB250" s="428"/>
      <c r="CC250" s="428"/>
      <c r="CD250" s="609" t="str">
        <f t="shared" si="162"/>
        <v>n/a</v>
      </c>
      <c r="CE250" s="610" t="str">
        <f t="shared" si="163"/>
        <v>n/a</v>
      </c>
      <c r="CF250" s="609" t="str">
        <f t="shared" si="164"/>
        <v>n/a</v>
      </c>
      <c r="CG250" s="658" t="str">
        <f t="shared" si="165"/>
        <v>n/a</v>
      </c>
      <c r="CH250" s="328" t="s">
        <v>239</v>
      </c>
      <c r="CI250" s="330">
        <v>1</v>
      </c>
      <c r="CJ250" s="664">
        <f t="shared" si="166"/>
        <v>627</v>
      </c>
      <c r="CK250" s="328" t="s">
        <v>475</v>
      </c>
      <c r="CL250" s="611" t="s">
        <v>670</v>
      </c>
      <c r="CM250" s="428" t="s">
        <v>475</v>
      </c>
      <c r="CN250" s="428" t="s">
        <v>475</v>
      </c>
      <c r="CO250" s="428" t="s">
        <v>170</v>
      </c>
      <c r="CP250" s="570" t="s">
        <v>38</v>
      </c>
      <c r="CQ250" s="1171"/>
      <c r="CR250" s="70"/>
      <c r="CS250" s="1069">
        <f t="shared" si="167"/>
        <v>1</v>
      </c>
      <c r="CT250" s="1069">
        <f t="shared" si="168"/>
        <v>1</v>
      </c>
      <c r="CU250" s="1066">
        <f t="shared" si="169"/>
        <v>1</v>
      </c>
      <c r="CV250" s="1066">
        <f t="shared" si="170"/>
        <v>1</v>
      </c>
      <c r="CW250" s="1082">
        <f t="shared" si="171"/>
        <v>0</v>
      </c>
      <c r="CX250" s="1082">
        <f t="shared" si="172"/>
        <v>0</v>
      </c>
    </row>
    <row r="251" spans="2:102" ht="18" customHeight="1">
      <c r="B251" s="402" t="s">
        <v>75</v>
      </c>
      <c r="C251" s="603"/>
      <c r="D251" s="603"/>
      <c r="E251" s="1052" t="s">
        <v>228</v>
      </c>
      <c r="F251" s="402" t="s">
        <v>421</v>
      </c>
      <c r="G251" s="556">
        <v>92.875814000000005</v>
      </c>
      <c r="H251" s="556">
        <v>20.128488999999998</v>
      </c>
      <c r="I251" s="560" t="s">
        <v>44</v>
      </c>
      <c r="J251" s="560" t="s">
        <v>34</v>
      </c>
      <c r="K251" s="604" t="s">
        <v>640</v>
      </c>
      <c r="L251" s="428">
        <v>397</v>
      </c>
      <c r="M251" s="428">
        <v>2049</v>
      </c>
      <c r="N251" s="570">
        <v>2049</v>
      </c>
      <c r="O251" s="328" t="s">
        <v>983</v>
      </c>
      <c r="P251" s="720" t="str">
        <f t="shared" si="132"/>
        <v>3. Large</v>
      </c>
      <c r="Q251" s="968" t="s">
        <v>323</v>
      </c>
      <c r="R251" s="625" t="s">
        <v>83</v>
      </c>
      <c r="S251" s="560" t="s">
        <v>52</v>
      </c>
      <c r="T251" s="323" t="str">
        <f t="shared" si="133"/>
        <v>Covered</v>
      </c>
      <c r="U251" s="561">
        <v>42460</v>
      </c>
      <c r="V251" s="1144"/>
      <c r="W251" s="558" t="s">
        <v>152</v>
      </c>
      <c r="X251" s="328">
        <v>0</v>
      </c>
      <c r="Y251" s="428">
        <v>0</v>
      </c>
      <c r="Z251" s="570" t="s">
        <v>43</v>
      </c>
      <c r="AA251" s="328">
        <v>0</v>
      </c>
      <c r="AB251" s="428">
        <v>21</v>
      </c>
      <c r="AC251" s="428">
        <v>0</v>
      </c>
      <c r="AD251" s="428">
        <v>0</v>
      </c>
      <c r="AE251" s="570"/>
      <c r="AF251" s="329">
        <v>0</v>
      </c>
      <c r="AG251" s="1124">
        <v>1</v>
      </c>
      <c r="AH251" s="630">
        <f t="shared" si="134"/>
        <v>1</v>
      </c>
      <c r="AI251" s="574">
        <f t="shared" si="135"/>
        <v>2049</v>
      </c>
      <c r="AJ251" s="605">
        <f t="shared" si="136"/>
        <v>1</v>
      </c>
      <c r="AK251" s="574">
        <f t="shared" si="137"/>
        <v>2049</v>
      </c>
      <c r="AL251" s="605">
        <f t="shared" si="138"/>
        <v>1</v>
      </c>
      <c r="AM251" s="574">
        <f t="shared" si="139"/>
        <v>2049</v>
      </c>
      <c r="AN251" s="605" t="str">
        <f t="shared" si="140"/>
        <v>80-100%</v>
      </c>
      <c r="AO251" s="605">
        <f t="shared" si="141"/>
        <v>0</v>
      </c>
      <c r="AP251" s="574">
        <f t="shared" si="142"/>
        <v>0</v>
      </c>
      <c r="AQ251" s="574" t="str">
        <f t="shared" si="143"/>
        <v>no</v>
      </c>
      <c r="AR251" s="574">
        <f t="shared" si="144"/>
        <v>0</v>
      </c>
      <c r="AS251" s="574">
        <f t="shared" si="145"/>
        <v>2049</v>
      </c>
      <c r="AT251" s="574">
        <f t="shared" si="146"/>
        <v>0</v>
      </c>
      <c r="AU251" s="1152">
        <v>1</v>
      </c>
      <c r="AV251" s="635">
        <f t="shared" si="147"/>
        <v>2049</v>
      </c>
      <c r="AW251" s="325"/>
      <c r="AX251" s="740">
        <v>0</v>
      </c>
      <c r="AY251" s="428">
        <v>109</v>
      </c>
      <c r="AZ251" s="428">
        <v>18.412844036697248</v>
      </c>
      <c r="BA251" s="473" t="s">
        <v>960</v>
      </c>
      <c r="BB251" s="548">
        <f t="shared" si="148"/>
        <v>1</v>
      </c>
      <c r="BC251" s="606">
        <f t="shared" si="149"/>
        <v>2049</v>
      </c>
      <c r="BD251" s="548">
        <f t="shared" si="150"/>
        <v>1</v>
      </c>
      <c r="BE251" s="606">
        <f t="shared" si="151"/>
        <v>2049</v>
      </c>
      <c r="BF251" s="549">
        <f t="shared" si="152"/>
        <v>0</v>
      </c>
      <c r="BG251" s="606">
        <f t="shared" si="153"/>
        <v>0</v>
      </c>
      <c r="BH251" s="519" t="s">
        <v>494</v>
      </c>
      <c r="BI251" s="429">
        <v>1</v>
      </c>
      <c r="BJ251" s="606">
        <f t="shared" si="176"/>
        <v>2049</v>
      </c>
      <c r="BK251" s="606">
        <f t="shared" si="154"/>
        <v>0</v>
      </c>
      <c r="BL251" s="428">
        <v>397</v>
      </c>
      <c r="BM251" s="548">
        <f t="shared" si="155"/>
        <v>1</v>
      </c>
      <c r="BN251" s="606">
        <f t="shared" si="156"/>
        <v>2049</v>
      </c>
      <c r="BO251" s="606">
        <f t="shared" si="157"/>
        <v>0</v>
      </c>
      <c r="BP251" s="578">
        <v>1</v>
      </c>
      <c r="BQ251" s="606">
        <v>1980</v>
      </c>
      <c r="BR251" s="519">
        <v>25</v>
      </c>
      <c r="BS251" s="548">
        <f t="shared" si="158"/>
        <v>1</v>
      </c>
      <c r="BT251" s="607">
        <f t="shared" si="159"/>
        <v>0</v>
      </c>
      <c r="BU251" s="1163">
        <v>1</v>
      </c>
      <c r="BV251" s="650">
        <f t="shared" si="179"/>
        <v>2049</v>
      </c>
      <c r="BW251" s="636" t="s">
        <v>946</v>
      </c>
      <c r="BX251" s="430">
        <v>41992</v>
      </c>
      <c r="BY251" s="1190"/>
      <c r="BZ251" s="1190"/>
      <c r="CA251" s="608">
        <f t="shared" si="161"/>
        <v>42357</v>
      </c>
      <c r="CB251" s="428">
        <v>397</v>
      </c>
      <c r="CC251" s="428">
        <v>4</v>
      </c>
      <c r="CD251" s="609">
        <f t="shared" si="162"/>
        <v>0</v>
      </c>
      <c r="CE251" s="610">
        <f t="shared" si="163"/>
        <v>1</v>
      </c>
      <c r="CF251" s="609">
        <f t="shared" si="164"/>
        <v>2049</v>
      </c>
      <c r="CG251" s="658">
        <f t="shared" si="165"/>
        <v>6</v>
      </c>
      <c r="CH251" s="328" t="s">
        <v>610</v>
      </c>
      <c r="CI251" s="330">
        <v>0.75</v>
      </c>
      <c r="CJ251" s="664">
        <f t="shared" si="166"/>
        <v>1536.75</v>
      </c>
      <c r="CK251" s="328">
        <v>13</v>
      </c>
      <c r="CL251" s="611" t="s">
        <v>670</v>
      </c>
      <c r="CM251" s="428" t="s">
        <v>41</v>
      </c>
      <c r="CN251" s="428" t="s">
        <v>35</v>
      </c>
      <c r="CO251" s="428" t="s">
        <v>41</v>
      </c>
      <c r="CP251" s="570" t="s">
        <v>41</v>
      </c>
      <c r="CQ251" s="1171"/>
      <c r="CS251" s="1069">
        <f t="shared" si="167"/>
        <v>1</v>
      </c>
      <c r="CT251" s="1069">
        <f t="shared" si="168"/>
        <v>1</v>
      </c>
      <c r="CU251" s="1066">
        <f t="shared" si="169"/>
        <v>1</v>
      </c>
      <c r="CV251" s="1066">
        <f t="shared" si="170"/>
        <v>1</v>
      </c>
      <c r="CW251" s="1082">
        <f t="shared" si="171"/>
        <v>0</v>
      </c>
      <c r="CX251" s="1082">
        <f t="shared" si="172"/>
        <v>0</v>
      </c>
    </row>
    <row r="252" spans="2:102" ht="18" customHeight="1">
      <c r="B252" s="402" t="s">
        <v>75</v>
      </c>
      <c r="C252" s="603"/>
      <c r="D252" s="603"/>
      <c r="E252" s="1052" t="s">
        <v>231</v>
      </c>
      <c r="F252" s="402" t="s">
        <v>78</v>
      </c>
      <c r="G252" s="556">
        <v>92.807418999999996</v>
      </c>
      <c r="H252" s="556">
        <v>20.181238</v>
      </c>
      <c r="I252" s="560" t="s">
        <v>44</v>
      </c>
      <c r="J252" s="560" t="s">
        <v>34</v>
      </c>
      <c r="K252" s="604" t="s">
        <v>640</v>
      </c>
      <c r="L252" s="428">
        <v>2135</v>
      </c>
      <c r="M252" s="428">
        <v>10827</v>
      </c>
      <c r="N252" s="570">
        <v>10827</v>
      </c>
      <c r="O252" s="328" t="s">
        <v>983</v>
      </c>
      <c r="P252" s="720" t="str">
        <f t="shared" si="132"/>
        <v>5. Massive</v>
      </c>
      <c r="Q252" s="968" t="s">
        <v>323</v>
      </c>
      <c r="R252" s="625" t="s">
        <v>56</v>
      </c>
      <c r="S252" s="560" t="s">
        <v>54</v>
      </c>
      <c r="T252" s="323" t="str">
        <f t="shared" si="133"/>
        <v>Covered</v>
      </c>
      <c r="U252" s="561">
        <v>42460</v>
      </c>
      <c r="V252" s="1144"/>
      <c r="W252" s="558" t="s">
        <v>152</v>
      </c>
      <c r="X252" s="328">
        <v>0</v>
      </c>
      <c r="Y252" s="428">
        <v>0</v>
      </c>
      <c r="Z252" s="570" t="s">
        <v>43</v>
      </c>
      <c r="AA252" s="328">
        <v>0</v>
      </c>
      <c r="AB252" s="428">
        <v>138</v>
      </c>
      <c r="AC252" s="571">
        <v>0</v>
      </c>
      <c r="AD252" s="571">
        <v>0</v>
      </c>
      <c r="AE252" s="1076"/>
      <c r="AF252" s="329">
        <v>0</v>
      </c>
      <c r="AG252" s="1124">
        <v>1</v>
      </c>
      <c r="AH252" s="630">
        <f t="shared" si="134"/>
        <v>1</v>
      </c>
      <c r="AI252" s="574">
        <f t="shared" si="135"/>
        <v>10827</v>
      </c>
      <c r="AJ252" s="605">
        <f t="shared" si="136"/>
        <v>1</v>
      </c>
      <c r="AK252" s="574">
        <f t="shared" si="137"/>
        <v>10827</v>
      </c>
      <c r="AL252" s="605">
        <f t="shared" si="138"/>
        <v>1</v>
      </c>
      <c r="AM252" s="574">
        <f t="shared" si="139"/>
        <v>10827</v>
      </c>
      <c r="AN252" s="605" t="str">
        <f t="shared" si="140"/>
        <v>80-100%</v>
      </c>
      <c r="AO252" s="605">
        <f t="shared" si="141"/>
        <v>0</v>
      </c>
      <c r="AP252" s="574">
        <f t="shared" si="142"/>
        <v>0</v>
      </c>
      <c r="AQ252" s="574" t="str">
        <f t="shared" si="143"/>
        <v>no</v>
      </c>
      <c r="AR252" s="574">
        <f t="shared" si="144"/>
        <v>0</v>
      </c>
      <c r="AS252" s="574">
        <f t="shared" si="145"/>
        <v>10827</v>
      </c>
      <c r="AT252" s="574">
        <f t="shared" si="146"/>
        <v>0</v>
      </c>
      <c r="AU252" s="1152">
        <v>1</v>
      </c>
      <c r="AV252" s="635">
        <f t="shared" si="147"/>
        <v>10827</v>
      </c>
      <c r="AW252" s="325"/>
      <c r="AX252" s="740">
        <v>0</v>
      </c>
      <c r="AY252" s="428">
        <v>346</v>
      </c>
      <c r="AZ252" s="428">
        <v>20</v>
      </c>
      <c r="BA252" s="473" t="s">
        <v>960</v>
      </c>
      <c r="BB252" s="548">
        <f t="shared" si="148"/>
        <v>0.63914288353191095</v>
      </c>
      <c r="BC252" s="606">
        <f t="shared" si="149"/>
        <v>6920</v>
      </c>
      <c r="BD252" s="548">
        <f t="shared" si="150"/>
        <v>0.63914288353191095</v>
      </c>
      <c r="BE252" s="606">
        <f t="shared" si="151"/>
        <v>6920</v>
      </c>
      <c r="BF252" s="549">
        <f t="shared" si="152"/>
        <v>0</v>
      </c>
      <c r="BG252" s="606">
        <f t="shared" si="153"/>
        <v>0</v>
      </c>
      <c r="BH252" s="519" t="s">
        <v>491</v>
      </c>
      <c r="BI252" s="429">
        <v>0.9</v>
      </c>
      <c r="BJ252" s="606">
        <f t="shared" si="176"/>
        <v>9744.3000000000011</v>
      </c>
      <c r="BK252" s="606">
        <f t="shared" si="154"/>
        <v>195.35000000000002</v>
      </c>
      <c r="BL252" s="428">
        <v>50</v>
      </c>
      <c r="BM252" s="548">
        <f t="shared" si="155"/>
        <v>2.5861272744065762E-2</v>
      </c>
      <c r="BN252" s="606">
        <f t="shared" si="156"/>
        <v>280</v>
      </c>
      <c r="BO252" s="606">
        <f t="shared" si="157"/>
        <v>1883.3928571428573</v>
      </c>
      <c r="BP252" s="578">
        <v>0.23</v>
      </c>
      <c r="BQ252" s="606">
        <v>2490.21</v>
      </c>
      <c r="BR252" s="519">
        <v>43</v>
      </c>
      <c r="BS252" s="548">
        <f t="shared" si="158"/>
        <v>0.39715525999815277</v>
      </c>
      <c r="BT252" s="607">
        <f t="shared" si="159"/>
        <v>65.27</v>
      </c>
      <c r="BU252" s="1163">
        <v>1</v>
      </c>
      <c r="BV252" s="650">
        <f t="shared" si="179"/>
        <v>10827</v>
      </c>
      <c r="BW252" s="636"/>
      <c r="BX252" s="470">
        <v>41596</v>
      </c>
      <c r="BY252" s="1192"/>
      <c r="BZ252" s="1192"/>
      <c r="CA252" s="608" t="str">
        <f t="shared" si="161"/>
        <v>To be done</v>
      </c>
      <c r="CB252" s="428">
        <v>2293</v>
      </c>
      <c r="CC252" s="428">
        <v>1</v>
      </c>
      <c r="CD252" s="609">
        <f t="shared" si="162"/>
        <v>2135</v>
      </c>
      <c r="CE252" s="610">
        <f t="shared" si="163"/>
        <v>0</v>
      </c>
      <c r="CF252" s="609">
        <f t="shared" si="164"/>
        <v>0</v>
      </c>
      <c r="CG252" s="658">
        <f t="shared" si="165"/>
        <v>22</v>
      </c>
      <c r="CH252" s="328"/>
      <c r="CI252" s="330">
        <v>0.95</v>
      </c>
      <c r="CJ252" s="664">
        <f t="shared" si="166"/>
        <v>10285.65</v>
      </c>
      <c r="CK252" s="328" t="s">
        <v>668</v>
      </c>
      <c r="CL252" s="611" t="s">
        <v>668</v>
      </c>
      <c r="CM252" s="428" t="s">
        <v>35</v>
      </c>
      <c r="CN252" s="428" t="s">
        <v>38</v>
      </c>
      <c r="CO252" s="428" t="s">
        <v>38</v>
      </c>
      <c r="CP252" s="570"/>
      <c r="CQ252" s="1171"/>
      <c r="CS252" s="1069">
        <f t="shared" si="167"/>
        <v>1</v>
      </c>
      <c r="CT252" s="1069">
        <f t="shared" si="168"/>
        <v>1</v>
      </c>
      <c r="CU252" s="1066">
        <f t="shared" si="169"/>
        <v>1</v>
      </c>
      <c r="CV252" s="1066">
        <f t="shared" si="170"/>
        <v>1</v>
      </c>
      <c r="CW252" s="1082">
        <f t="shared" si="171"/>
        <v>0</v>
      </c>
      <c r="CX252" s="1082">
        <f t="shared" si="172"/>
        <v>0</v>
      </c>
    </row>
    <row r="253" spans="2:102" ht="18" customHeight="1">
      <c r="B253" s="402" t="s">
        <v>75</v>
      </c>
      <c r="C253" s="603"/>
      <c r="D253" s="603"/>
      <c r="E253" s="1052" t="s">
        <v>232</v>
      </c>
      <c r="F253" s="402" t="s">
        <v>243</v>
      </c>
      <c r="G253" s="556">
        <v>92.804803000000007</v>
      </c>
      <c r="H253" s="556">
        <v>20.182987000000001</v>
      </c>
      <c r="I253" s="560" t="s">
        <v>33</v>
      </c>
      <c r="J253" s="560" t="s">
        <v>34</v>
      </c>
      <c r="K253" s="604" t="s">
        <v>641</v>
      </c>
      <c r="L253" s="428">
        <v>41</v>
      </c>
      <c r="M253" s="428">
        <v>226</v>
      </c>
      <c r="N253" s="570">
        <v>377</v>
      </c>
      <c r="O253" s="328" t="s">
        <v>983</v>
      </c>
      <c r="P253" s="720" t="str">
        <f t="shared" si="132"/>
        <v>1. Small</v>
      </c>
      <c r="Q253" s="968" t="s">
        <v>323</v>
      </c>
      <c r="R253" s="625"/>
      <c r="S253" s="560" t="s">
        <v>54</v>
      </c>
      <c r="T253" s="323" t="str">
        <f t="shared" si="133"/>
        <v>Covered</v>
      </c>
      <c r="U253" s="561">
        <v>42460</v>
      </c>
      <c r="V253" s="1144" t="s">
        <v>52</v>
      </c>
      <c r="W253" s="558" t="s">
        <v>152</v>
      </c>
      <c r="X253" s="328">
        <v>0</v>
      </c>
      <c r="Y253" s="428">
        <v>0</v>
      </c>
      <c r="Z253" s="570" t="s">
        <v>43</v>
      </c>
      <c r="AA253" s="328">
        <v>69</v>
      </c>
      <c r="AB253" s="428">
        <v>19</v>
      </c>
      <c r="AC253" s="571">
        <v>0</v>
      </c>
      <c r="AD253" s="571">
        <v>0</v>
      </c>
      <c r="AE253" s="1076"/>
      <c r="AF253" s="329">
        <v>0</v>
      </c>
      <c r="AG253" s="1124">
        <v>1</v>
      </c>
      <c r="AH253" s="630">
        <f t="shared" si="134"/>
        <v>1</v>
      </c>
      <c r="AI253" s="574">
        <f t="shared" si="135"/>
        <v>377</v>
      </c>
      <c r="AJ253" s="605">
        <f t="shared" si="136"/>
        <v>1</v>
      </c>
      <c r="AK253" s="574">
        <f t="shared" si="137"/>
        <v>377</v>
      </c>
      <c r="AL253" s="605">
        <f t="shared" si="138"/>
        <v>1</v>
      </c>
      <c r="AM253" s="574">
        <f t="shared" si="139"/>
        <v>377</v>
      </c>
      <c r="AN253" s="605" t="str">
        <f t="shared" si="140"/>
        <v>80-100%</v>
      </c>
      <c r="AO253" s="605">
        <f t="shared" si="141"/>
        <v>0</v>
      </c>
      <c r="AP253" s="574">
        <f t="shared" si="142"/>
        <v>0</v>
      </c>
      <c r="AQ253" s="574" t="str">
        <f t="shared" si="143"/>
        <v>no</v>
      </c>
      <c r="AR253" s="574">
        <f t="shared" si="144"/>
        <v>0</v>
      </c>
      <c r="AS253" s="574">
        <f t="shared" si="145"/>
        <v>377</v>
      </c>
      <c r="AT253" s="574">
        <f t="shared" si="146"/>
        <v>0</v>
      </c>
      <c r="AU253" s="1152">
        <v>1</v>
      </c>
      <c r="AV253" s="635">
        <f t="shared" si="147"/>
        <v>377</v>
      </c>
      <c r="AW253" s="325"/>
      <c r="AX253" s="740">
        <v>0</v>
      </c>
      <c r="AY253" s="428">
        <v>46</v>
      </c>
      <c r="AZ253" s="428">
        <v>6</v>
      </c>
      <c r="BA253" s="473" t="s">
        <v>963</v>
      </c>
      <c r="BB253" s="548">
        <f t="shared" si="148"/>
        <v>0.73209549071618041</v>
      </c>
      <c r="BC253" s="606">
        <f t="shared" si="149"/>
        <v>276</v>
      </c>
      <c r="BD253" s="548">
        <f t="shared" si="150"/>
        <v>0.73209549071618041</v>
      </c>
      <c r="BE253" s="606">
        <f t="shared" si="151"/>
        <v>276</v>
      </c>
      <c r="BF253" s="549">
        <f t="shared" si="152"/>
        <v>0</v>
      </c>
      <c r="BG253" s="606">
        <f t="shared" si="153"/>
        <v>0</v>
      </c>
      <c r="BH253" s="519" t="s">
        <v>475</v>
      </c>
      <c r="BI253" s="429">
        <v>1</v>
      </c>
      <c r="BJ253" s="606">
        <f t="shared" si="176"/>
        <v>377</v>
      </c>
      <c r="BK253" s="606" t="str">
        <f t="shared" si="154"/>
        <v>n/a</v>
      </c>
      <c r="BL253" s="428" t="s">
        <v>475</v>
      </c>
      <c r="BM253" s="548" t="str">
        <f t="shared" si="155"/>
        <v>n/a</v>
      </c>
      <c r="BN253" s="606" t="str">
        <f t="shared" si="156"/>
        <v>n/a</v>
      </c>
      <c r="BO253" s="606" t="str">
        <f t="shared" si="157"/>
        <v>n/a</v>
      </c>
      <c r="BP253" s="578" t="s">
        <v>475</v>
      </c>
      <c r="BQ253" s="606" t="s">
        <v>475</v>
      </c>
      <c r="BR253" s="519" t="s">
        <v>475</v>
      </c>
      <c r="BS253" s="548" t="str">
        <f t="shared" si="158"/>
        <v>n/a</v>
      </c>
      <c r="BT253" s="607" t="str">
        <f t="shared" si="159"/>
        <v>n/a</v>
      </c>
      <c r="BU253" s="1163" t="s">
        <v>475</v>
      </c>
      <c r="BV253" s="650" t="str">
        <f t="shared" si="179"/>
        <v>n/a</v>
      </c>
      <c r="BW253" s="636"/>
      <c r="BX253" s="470">
        <v>41596</v>
      </c>
      <c r="BY253" s="1192"/>
      <c r="BZ253" s="1192"/>
      <c r="CA253" s="608" t="str">
        <f t="shared" si="161"/>
        <v>n/a</v>
      </c>
      <c r="CB253" s="428">
        <v>41</v>
      </c>
      <c r="CC253" s="428">
        <v>1</v>
      </c>
      <c r="CD253" s="609" t="str">
        <f t="shared" si="162"/>
        <v>n/a</v>
      </c>
      <c r="CE253" s="610" t="str">
        <f t="shared" si="163"/>
        <v>n/a</v>
      </c>
      <c r="CF253" s="609" t="str">
        <f t="shared" si="164"/>
        <v>n/a</v>
      </c>
      <c r="CG253" s="658" t="str">
        <f t="shared" si="165"/>
        <v>n/a</v>
      </c>
      <c r="CH253" s="328"/>
      <c r="CI253" s="330">
        <v>0.25</v>
      </c>
      <c r="CJ253" s="664">
        <f t="shared" si="166"/>
        <v>94.25</v>
      </c>
      <c r="CK253" s="328" t="s">
        <v>606</v>
      </c>
      <c r="CL253" s="611" t="s">
        <v>606</v>
      </c>
      <c r="CM253" s="428" t="s">
        <v>475</v>
      </c>
      <c r="CN253" s="428" t="s">
        <v>475</v>
      </c>
      <c r="CO253" s="428" t="s">
        <v>38</v>
      </c>
      <c r="CP253" s="570"/>
      <c r="CQ253" s="1171"/>
      <c r="CS253" s="1069">
        <f t="shared" si="167"/>
        <v>1</v>
      </c>
      <c r="CT253" s="1069">
        <f t="shared" si="168"/>
        <v>1</v>
      </c>
      <c r="CU253" s="1066">
        <f t="shared" si="169"/>
        <v>1</v>
      </c>
      <c r="CV253" s="1066">
        <f t="shared" si="170"/>
        <v>1</v>
      </c>
      <c r="CW253" s="1082">
        <f t="shared" si="171"/>
        <v>0</v>
      </c>
      <c r="CX253" s="1082">
        <f t="shared" si="172"/>
        <v>0</v>
      </c>
    </row>
    <row r="254" spans="2:102" ht="18" customHeight="1">
      <c r="B254" s="402" t="s">
        <v>75</v>
      </c>
      <c r="C254" s="603"/>
      <c r="D254" s="603"/>
      <c r="E254" s="1052" t="s">
        <v>229</v>
      </c>
      <c r="F254" s="402" t="s">
        <v>77</v>
      </c>
      <c r="G254" s="556">
        <v>92.827427</v>
      </c>
      <c r="H254" s="556">
        <v>20.16846</v>
      </c>
      <c r="I254" s="560" t="s">
        <v>44</v>
      </c>
      <c r="J254" s="560" t="s">
        <v>34</v>
      </c>
      <c r="K254" s="604" t="s">
        <v>640</v>
      </c>
      <c r="L254" s="428">
        <v>1397</v>
      </c>
      <c r="M254" s="428">
        <v>8189</v>
      </c>
      <c r="N254" s="570">
        <v>8189</v>
      </c>
      <c r="O254" s="328" t="s">
        <v>983</v>
      </c>
      <c r="P254" s="720" t="str">
        <f t="shared" si="132"/>
        <v>5. Massive</v>
      </c>
      <c r="Q254" s="968" t="s">
        <v>323</v>
      </c>
      <c r="R254" s="625" t="s">
        <v>56</v>
      </c>
      <c r="S254" s="560" t="s">
        <v>54</v>
      </c>
      <c r="T254" s="323" t="str">
        <f t="shared" si="133"/>
        <v>Covered</v>
      </c>
      <c r="U254" s="561">
        <v>42460</v>
      </c>
      <c r="V254" s="1144" t="s">
        <v>52</v>
      </c>
      <c r="W254" s="558" t="s">
        <v>152</v>
      </c>
      <c r="X254" s="328">
        <v>0</v>
      </c>
      <c r="Y254" s="428">
        <v>0</v>
      </c>
      <c r="Z254" s="570" t="s">
        <v>43</v>
      </c>
      <c r="AA254" s="328">
        <v>0</v>
      </c>
      <c r="AB254" s="428">
        <v>74</v>
      </c>
      <c r="AC254" s="571">
        <v>0</v>
      </c>
      <c r="AD254" s="571">
        <v>0</v>
      </c>
      <c r="AE254" s="1076"/>
      <c r="AF254" s="329">
        <v>0</v>
      </c>
      <c r="AG254" s="1124">
        <v>1</v>
      </c>
      <c r="AH254" s="630">
        <f t="shared" si="134"/>
        <v>1</v>
      </c>
      <c r="AI254" s="574">
        <f t="shared" si="135"/>
        <v>8189</v>
      </c>
      <c r="AJ254" s="605">
        <f t="shared" si="136"/>
        <v>1</v>
      </c>
      <c r="AK254" s="574">
        <f t="shared" si="137"/>
        <v>8189</v>
      </c>
      <c r="AL254" s="605">
        <f t="shared" si="138"/>
        <v>1</v>
      </c>
      <c r="AM254" s="574">
        <f t="shared" si="139"/>
        <v>8189</v>
      </c>
      <c r="AN254" s="605" t="str">
        <f t="shared" si="140"/>
        <v>80-100%</v>
      </c>
      <c r="AO254" s="605">
        <f t="shared" si="141"/>
        <v>0</v>
      </c>
      <c r="AP254" s="574">
        <f t="shared" si="142"/>
        <v>0</v>
      </c>
      <c r="AQ254" s="574" t="str">
        <f t="shared" si="143"/>
        <v>no</v>
      </c>
      <c r="AR254" s="574">
        <f t="shared" si="144"/>
        <v>0</v>
      </c>
      <c r="AS254" s="574">
        <f t="shared" si="145"/>
        <v>8189</v>
      </c>
      <c r="AT254" s="574">
        <f t="shared" si="146"/>
        <v>0</v>
      </c>
      <c r="AU254" s="1152">
        <v>1</v>
      </c>
      <c r="AV254" s="635">
        <f t="shared" si="147"/>
        <v>8189</v>
      </c>
      <c r="AW254" s="325"/>
      <c r="AX254" s="740">
        <v>0</v>
      </c>
      <c r="AY254" s="428">
        <v>275</v>
      </c>
      <c r="AZ254" s="428">
        <v>20</v>
      </c>
      <c r="BA254" s="473" t="s">
        <v>960</v>
      </c>
      <c r="BB254" s="548">
        <f t="shared" si="148"/>
        <v>0.67163267798265969</v>
      </c>
      <c r="BC254" s="606">
        <f t="shared" si="149"/>
        <v>5500</v>
      </c>
      <c r="BD254" s="548">
        <f t="shared" si="150"/>
        <v>0.67163267798265969</v>
      </c>
      <c r="BE254" s="606">
        <f t="shared" si="151"/>
        <v>5500</v>
      </c>
      <c r="BF254" s="549">
        <f t="shared" si="152"/>
        <v>0</v>
      </c>
      <c r="BG254" s="606">
        <f t="shared" si="153"/>
        <v>0</v>
      </c>
      <c r="BH254" s="519" t="s">
        <v>494</v>
      </c>
      <c r="BI254" s="429">
        <v>0.9</v>
      </c>
      <c r="BJ254" s="606">
        <f t="shared" si="176"/>
        <v>7370.1</v>
      </c>
      <c r="BK254" s="606">
        <f t="shared" si="154"/>
        <v>134.44999999999999</v>
      </c>
      <c r="BL254" s="428">
        <v>88</v>
      </c>
      <c r="BM254" s="548">
        <f t="shared" si="155"/>
        <v>6.0178287947246299E-2</v>
      </c>
      <c r="BN254" s="606">
        <f t="shared" si="156"/>
        <v>492.79999999999995</v>
      </c>
      <c r="BO254" s="606">
        <f t="shared" si="157"/>
        <v>1374.3214285714287</v>
      </c>
      <c r="BP254" s="578">
        <v>0.41</v>
      </c>
      <c r="BQ254" s="606">
        <v>4371.83</v>
      </c>
      <c r="BR254" s="519">
        <v>26</v>
      </c>
      <c r="BS254" s="548">
        <f t="shared" si="158"/>
        <v>0.3174990841372573</v>
      </c>
      <c r="BT254" s="607">
        <f t="shared" si="159"/>
        <v>55.89</v>
      </c>
      <c r="BU254" s="1163">
        <v>1</v>
      </c>
      <c r="BV254" s="650">
        <f t="shared" si="179"/>
        <v>8189</v>
      </c>
      <c r="BW254" s="636"/>
      <c r="BX254" s="470">
        <v>41576</v>
      </c>
      <c r="BY254" s="1192"/>
      <c r="BZ254" s="1192"/>
      <c r="CA254" s="608" t="str">
        <f t="shared" si="161"/>
        <v>To be done</v>
      </c>
      <c r="CB254" s="428">
        <v>1798</v>
      </c>
      <c r="CC254" s="428">
        <v>1</v>
      </c>
      <c r="CD254" s="609">
        <f t="shared" si="162"/>
        <v>1397</v>
      </c>
      <c r="CE254" s="610">
        <f t="shared" si="163"/>
        <v>0</v>
      </c>
      <c r="CF254" s="609">
        <f t="shared" si="164"/>
        <v>0</v>
      </c>
      <c r="CG254" s="658">
        <f t="shared" si="165"/>
        <v>22</v>
      </c>
      <c r="CH254" s="328"/>
      <c r="CI254" s="330">
        <v>0.95</v>
      </c>
      <c r="CJ254" s="664">
        <f t="shared" si="166"/>
        <v>7779.5499999999993</v>
      </c>
      <c r="CK254" s="328" t="s">
        <v>669</v>
      </c>
      <c r="CL254" s="611" t="s">
        <v>669</v>
      </c>
      <c r="CM254" s="428" t="s">
        <v>43</v>
      </c>
      <c r="CN254" s="428" t="s">
        <v>38</v>
      </c>
      <c r="CO254" s="428" t="s">
        <v>38</v>
      </c>
      <c r="CP254" s="570"/>
      <c r="CQ254" s="1171"/>
      <c r="CS254" s="1069">
        <f t="shared" si="167"/>
        <v>1</v>
      </c>
      <c r="CT254" s="1069">
        <f t="shared" si="168"/>
        <v>1</v>
      </c>
      <c r="CU254" s="1066">
        <f t="shared" si="169"/>
        <v>1</v>
      </c>
      <c r="CV254" s="1066">
        <f t="shared" si="170"/>
        <v>1</v>
      </c>
      <c r="CW254" s="1082">
        <f t="shared" si="171"/>
        <v>0</v>
      </c>
      <c r="CX254" s="1082">
        <f t="shared" si="172"/>
        <v>0</v>
      </c>
    </row>
    <row r="255" spans="2:102" ht="18" customHeight="1">
      <c r="B255" s="402" t="s">
        <v>75</v>
      </c>
      <c r="C255" s="603"/>
      <c r="D255" s="603"/>
      <c r="E255" s="1052" t="s">
        <v>230</v>
      </c>
      <c r="F255" s="402" t="s">
        <v>242</v>
      </c>
      <c r="G255" s="556">
        <v>92.830074999999994</v>
      </c>
      <c r="H255" s="556">
        <v>20.167421999999998</v>
      </c>
      <c r="I255" s="560" t="s">
        <v>33</v>
      </c>
      <c r="J255" s="560" t="s">
        <v>34</v>
      </c>
      <c r="K255" s="604" t="s">
        <v>641</v>
      </c>
      <c r="L255" s="428">
        <v>518</v>
      </c>
      <c r="M255" s="428">
        <v>2951</v>
      </c>
      <c r="N255" s="570">
        <v>10703</v>
      </c>
      <c r="O255" s="328" t="s">
        <v>983</v>
      </c>
      <c r="P255" s="720" t="str">
        <f t="shared" si="132"/>
        <v>3. Large</v>
      </c>
      <c r="Q255" s="968" t="s">
        <v>323</v>
      </c>
      <c r="R255" s="625"/>
      <c r="S255" s="560" t="s">
        <v>54</v>
      </c>
      <c r="T255" s="323" t="str">
        <f t="shared" si="133"/>
        <v>Covered</v>
      </c>
      <c r="U255" s="561">
        <v>42460</v>
      </c>
      <c r="V255" s="1144"/>
      <c r="W255" s="558" t="s">
        <v>152</v>
      </c>
      <c r="X255" s="328">
        <v>0</v>
      </c>
      <c r="Y255" s="428">
        <v>0</v>
      </c>
      <c r="Z255" s="570" t="s">
        <v>43</v>
      </c>
      <c r="AA255" s="328">
        <v>0</v>
      </c>
      <c r="AB255" s="428">
        <v>82</v>
      </c>
      <c r="AC255" s="428">
        <v>0</v>
      </c>
      <c r="AD255" s="428">
        <v>0</v>
      </c>
      <c r="AE255" s="570"/>
      <c r="AF255" s="329">
        <v>0</v>
      </c>
      <c r="AG255" s="1124">
        <v>0.78</v>
      </c>
      <c r="AH255" s="630">
        <f t="shared" si="134"/>
        <v>1</v>
      </c>
      <c r="AI255" s="574">
        <f t="shared" si="135"/>
        <v>10703</v>
      </c>
      <c r="AJ255" s="605">
        <f t="shared" si="136"/>
        <v>1</v>
      </c>
      <c r="AK255" s="574">
        <f t="shared" si="137"/>
        <v>10703</v>
      </c>
      <c r="AL255" s="605">
        <f t="shared" si="138"/>
        <v>1</v>
      </c>
      <c r="AM255" s="574">
        <f t="shared" si="139"/>
        <v>10703</v>
      </c>
      <c r="AN255" s="605" t="str">
        <f t="shared" si="140"/>
        <v>80-100%</v>
      </c>
      <c r="AO255" s="605">
        <f t="shared" si="141"/>
        <v>0</v>
      </c>
      <c r="AP255" s="574">
        <f t="shared" si="142"/>
        <v>0</v>
      </c>
      <c r="AQ255" s="574" t="str">
        <f t="shared" si="143"/>
        <v>no</v>
      </c>
      <c r="AR255" s="574">
        <f t="shared" si="144"/>
        <v>0</v>
      </c>
      <c r="AS255" s="574">
        <f t="shared" si="145"/>
        <v>8348.34</v>
      </c>
      <c r="AT255" s="574">
        <f t="shared" si="146"/>
        <v>0</v>
      </c>
      <c r="AU255" s="1152">
        <v>1</v>
      </c>
      <c r="AV255" s="635">
        <f t="shared" si="147"/>
        <v>10703</v>
      </c>
      <c r="AW255" s="325"/>
      <c r="AX255" s="740">
        <v>10</v>
      </c>
      <c r="AY255" s="428">
        <v>132</v>
      </c>
      <c r="AZ255" s="428">
        <v>6</v>
      </c>
      <c r="BA255" s="473" t="s">
        <v>963</v>
      </c>
      <c r="BB255" s="548">
        <f t="shared" si="148"/>
        <v>7.3997944501541624E-2</v>
      </c>
      <c r="BC255" s="606">
        <f t="shared" si="149"/>
        <v>792</v>
      </c>
      <c r="BD255" s="548">
        <f t="shared" si="150"/>
        <v>7.3997944501541624E-2</v>
      </c>
      <c r="BE255" s="606">
        <f t="shared" si="151"/>
        <v>792</v>
      </c>
      <c r="BF255" s="549">
        <f t="shared" si="152"/>
        <v>0</v>
      </c>
      <c r="BG255" s="606">
        <f t="shared" si="153"/>
        <v>0</v>
      </c>
      <c r="BH255" s="519" t="s">
        <v>475</v>
      </c>
      <c r="BI255" s="429">
        <v>0.5</v>
      </c>
      <c r="BJ255" s="606">
        <f t="shared" si="176"/>
        <v>5351.5</v>
      </c>
      <c r="BK255" s="606" t="str">
        <f t="shared" si="154"/>
        <v>n/a</v>
      </c>
      <c r="BL255" s="428" t="s">
        <v>475</v>
      </c>
      <c r="BM255" s="548" t="str">
        <f t="shared" si="155"/>
        <v>n/a</v>
      </c>
      <c r="BN255" s="606" t="str">
        <f t="shared" si="156"/>
        <v>n/a</v>
      </c>
      <c r="BO255" s="606" t="str">
        <f t="shared" si="157"/>
        <v>n/a</v>
      </c>
      <c r="BP255" s="578" t="s">
        <v>475</v>
      </c>
      <c r="BQ255" s="606" t="s">
        <v>475</v>
      </c>
      <c r="BR255" s="519" t="s">
        <v>475</v>
      </c>
      <c r="BS255" s="548" t="str">
        <f t="shared" si="158"/>
        <v>n/a</v>
      </c>
      <c r="BT255" s="607" t="str">
        <f t="shared" si="159"/>
        <v>n/a</v>
      </c>
      <c r="BU255" s="1163" t="s">
        <v>475</v>
      </c>
      <c r="BV255" s="650" t="str">
        <f t="shared" si="179"/>
        <v>n/a</v>
      </c>
      <c r="BW255" s="636"/>
      <c r="BX255" s="470">
        <v>41618</v>
      </c>
      <c r="BY255" s="1192"/>
      <c r="BZ255" s="1192"/>
      <c r="CA255" s="608" t="str">
        <f t="shared" si="161"/>
        <v>n/a</v>
      </c>
      <c r="CB255" s="428">
        <v>916</v>
      </c>
      <c r="CC255" s="428">
        <v>1</v>
      </c>
      <c r="CD255" s="609" t="str">
        <f t="shared" si="162"/>
        <v>n/a</v>
      </c>
      <c r="CE255" s="610" t="str">
        <f t="shared" si="163"/>
        <v>n/a</v>
      </c>
      <c r="CF255" s="609" t="str">
        <f t="shared" si="164"/>
        <v>n/a</v>
      </c>
      <c r="CG255" s="658" t="str">
        <f t="shared" si="165"/>
        <v>n/a</v>
      </c>
      <c r="CH255" s="328"/>
      <c r="CI255" s="330">
        <v>0.25</v>
      </c>
      <c r="CJ255" s="664">
        <f t="shared" si="166"/>
        <v>2675.75</v>
      </c>
      <c r="CK255" s="328" t="s">
        <v>671</v>
      </c>
      <c r="CL255" s="611" t="s">
        <v>671</v>
      </c>
      <c r="CM255" s="428" t="s">
        <v>475</v>
      </c>
      <c r="CN255" s="428" t="s">
        <v>475</v>
      </c>
      <c r="CO255" s="428" t="s">
        <v>38</v>
      </c>
      <c r="CP255" s="570"/>
      <c r="CQ255" s="1171"/>
      <c r="CS255" s="1069">
        <f t="shared" si="167"/>
        <v>1</v>
      </c>
      <c r="CT255" s="1069">
        <f t="shared" si="168"/>
        <v>1</v>
      </c>
      <c r="CU255" s="1066">
        <f t="shared" si="169"/>
        <v>1</v>
      </c>
      <c r="CV255" s="1066">
        <f t="shared" si="170"/>
        <v>1</v>
      </c>
      <c r="CW255" s="1082">
        <f t="shared" si="171"/>
        <v>0</v>
      </c>
      <c r="CX255" s="1082">
        <f t="shared" si="172"/>
        <v>0</v>
      </c>
    </row>
    <row r="256" spans="2:102" ht="18" customHeight="1">
      <c r="B256" s="402" t="s">
        <v>75</v>
      </c>
      <c r="C256" s="603"/>
      <c r="D256" s="603"/>
      <c r="E256" s="1052">
        <v>196140</v>
      </c>
      <c r="F256" s="402" t="s">
        <v>372</v>
      </c>
      <c r="G256" s="556">
        <v>92.805999999999997</v>
      </c>
      <c r="H256" s="556">
        <v>20.218299999999999</v>
      </c>
      <c r="I256" s="560" t="s">
        <v>33</v>
      </c>
      <c r="J256" s="560" t="s">
        <v>45</v>
      </c>
      <c r="K256" s="604" t="s">
        <v>455</v>
      </c>
      <c r="L256" s="428">
        <v>0</v>
      </c>
      <c r="M256" s="428">
        <v>0</v>
      </c>
      <c r="N256" s="570">
        <v>91</v>
      </c>
      <c r="O256" s="328" t="s">
        <v>983</v>
      </c>
      <c r="P256" s="720" t="str">
        <f t="shared" si="132"/>
        <v>1. Small</v>
      </c>
      <c r="Q256" s="968" t="s">
        <v>323</v>
      </c>
      <c r="R256" s="625"/>
      <c r="S256" s="560" t="s">
        <v>143</v>
      </c>
      <c r="T256" s="323" t="str">
        <f t="shared" si="133"/>
        <v>Covered</v>
      </c>
      <c r="U256" s="561">
        <v>42460</v>
      </c>
      <c r="V256" s="1144"/>
      <c r="W256" s="558" t="s">
        <v>152</v>
      </c>
      <c r="X256" s="328">
        <v>0</v>
      </c>
      <c r="Y256" s="428">
        <v>0</v>
      </c>
      <c r="Z256" s="570" t="s">
        <v>43</v>
      </c>
      <c r="AA256" s="328">
        <v>2</v>
      </c>
      <c r="AB256" s="428">
        <v>2</v>
      </c>
      <c r="AC256" s="428">
        <v>0</v>
      </c>
      <c r="AD256" s="428">
        <v>0</v>
      </c>
      <c r="AE256" s="570"/>
      <c r="AF256" s="329">
        <v>0</v>
      </c>
      <c r="AG256" s="1124">
        <v>1</v>
      </c>
      <c r="AH256" s="630">
        <f t="shared" si="134"/>
        <v>1</v>
      </c>
      <c r="AI256" s="574">
        <f t="shared" si="135"/>
        <v>91</v>
      </c>
      <c r="AJ256" s="605">
        <f t="shared" si="136"/>
        <v>1</v>
      </c>
      <c r="AK256" s="574">
        <f t="shared" si="137"/>
        <v>91</v>
      </c>
      <c r="AL256" s="605">
        <f t="shared" si="138"/>
        <v>1</v>
      </c>
      <c r="AM256" s="574">
        <f t="shared" si="139"/>
        <v>91</v>
      </c>
      <c r="AN256" s="605" t="str">
        <f t="shared" si="140"/>
        <v>80-100%</v>
      </c>
      <c r="AO256" s="605">
        <f t="shared" si="141"/>
        <v>0</v>
      </c>
      <c r="AP256" s="574">
        <f t="shared" si="142"/>
        <v>0</v>
      </c>
      <c r="AQ256" s="574" t="str">
        <f t="shared" si="143"/>
        <v>no</v>
      </c>
      <c r="AR256" s="574">
        <f t="shared" si="144"/>
        <v>0</v>
      </c>
      <c r="AS256" s="574">
        <f t="shared" si="145"/>
        <v>91</v>
      </c>
      <c r="AT256" s="574">
        <f t="shared" si="146"/>
        <v>0</v>
      </c>
      <c r="AU256" s="1152">
        <v>1</v>
      </c>
      <c r="AV256" s="635">
        <f t="shared" si="147"/>
        <v>91</v>
      </c>
      <c r="AW256" s="325" t="s">
        <v>585</v>
      </c>
      <c r="AX256" s="740">
        <v>0</v>
      </c>
      <c r="AY256" s="428">
        <v>20</v>
      </c>
      <c r="AZ256" s="428">
        <v>6</v>
      </c>
      <c r="BA256" s="473" t="s">
        <v>526</v>
      </c>
      <c r="BB256" s="548">
        <f t="shared" si="148"/>
        <v>1</v>
      </c>
      <c r="BC256" s="606">
        <f t="shared" si="149"/>
        <v>91</v>
      </c>
      <c r="BD256" s="548">
        <f t="shared" si="150"/>
        <v>1</v>
      </c>
      <c r="BE256" s="606">
        <f t="shared" si="151"/>
        <v>91</v>
      </c>
      <c r="BF256" s="549">
        <f t="shared" si="152"/>
        <v>0</v>
      </c>
      <c r="BG256" s="606">
        <f t="shared" si="153"/>
        <v>0</v>
      </c>
      <c r="BH256" s="519" t="s">
        <v>475</v>
      </c>
      <c r="BI256" s="429">
        <v>1</v>
      </c>
      <c r="BJ256" s="606">
        <f t="shared" si="176"/>
        <v>91</v>
      </c>
      <c r="BK256" s="606" t="str">
        <f t="shared" si="154"/>
        <v>n/a</v>
      </c>
      <c r="BL256" s="428">
        <v>4</v>
      </c>
      <c r="BM256" s="548" t="str">
        <f t="shared" si="155"/>
        <v>n/a</v>
      </c>
      <c r="BN256" s="606" t="str">
        <f t="shared" si="156"/>
        <v>n/a</v>
      </c>
      <c r="BO256" s="606" t="str">
        <f t="shared" si="157"/>
        <v>n/a</v>
      </c>
      <c r="BP256" s="578" t="s">
        <v>475</v>
      </c>
      <c r="BQ256" s="606" t="s">
        <v>475</v>
      </c>
      <c r="BR256" s="519" t="s">
        <v>475</v>
      </c>
      <c r="BS256" s="548" t="str">
        <f t="shared" si="158"/>
        <v>n/a</v>
      </c>
      <c r="BT256" s="607" t="str">
        <f t="shared" si="159"/>
        <v>n/a</v>
      </c>
      <c r="BU256" s="1163" t="s">
        <v>475</v>
      </c>
      <c r="BV256" s="650" t="str">
        <f t="shared" si="179"/>
        <v>n/a</v>
      </c>
      <c r="BW256" s="636"/>
      <c r="BX256" s="470" t="s">
        <v>475</v>
      </c>
      <c r="BY256" s="1192"/>
      <c r="BZ256" s="1192"/>
      <c r="CA256" s="608" t="str">
        <f t="shared" si="161"/>
        <v>n/a</v>
      </c>
      <c r="CB256" s="428"/>
      <c r="CC256" s="428"/>
      <c r="CD256" s="609" t="str">
        <f t="shared" si="162"/>
        <v>n/a</v>
      </c>
      <c r="CE256" s="610" t="str">
        <f t="shared" si="163"/>
        <v>n/a</v>
      </c>
      <c r="CF256" s="609" t="str">
        <f t="shared" si="164"/>
        <v>n/a</v>
      </c>
      <c r="CG256" s="658" t="str">
        <f t="shared" si="165"/>
        <v>n/a</v>
      </c>
      <c r="CH256" s="328"/>
      <c r="CI256" s="330">
        <v>0.25</v>
      </c>
      <c r="CJ256" s="664">
        <f t="shared" si="166"/>
        <v>22.75</v>
      </c>
      <c r="CK256" s="328">
        <v>2</v>
      </c>
      <c r="CL256" s="611" t="str">
        <f>IF(CK256=0,"No coverage",IF(N256/CK256&gt;1000,"Low coverage",IF(N256/CK256&gt;750,"Average coverage",IF(N256/CK256&gt;500,"Good coverage","Excellent coverage"))))</f>
        <v>Excellent coverage</v>
      </c>
      <c r="CM256" s="428" t="s">
        <v>38</v>
      </c>
      <c r="CN256" s="428" t="s">
        <v>475</v>
      </c>
      <c r="CO256" s="428" t="s">
        <v>38</v>
      </c>
      <c r="CP256" s="570" t="s">
        <v>38</v>
      </c>
      <c r="CQ256" s="1170"/>
      <c r="CS256" s="1069">
        <f t="shared" si="167"/>
        <v>1</v>
      </c>
      <c r="CT256" s="1069">
        <f t="shared" si="168"/>
        <v>1</v>
      </c>
      <c r="CU256" s="1066">
        <f t="shared" si="169"/>
        <v>1</v>
      </c>
      <c r="CV256" s="1066">
        <f t="shared" si="170"/>
        <v>1</v>
      </c>
      <c r="CW256" s="1082">
        <f t="shared" si="171"/>
        <v>0</v>
      </c>
      <c r="CX256" s="1082">
        <f t="shared" si="172"/>
        <v>0</v>
      </c>
    </row>
    <row r="257" spans="1:102" ht="18" customHeight="1">
      <c r="B257" s="402" t="s">
        <v>75</v>
      </c>
      <c r="C257" s="603"/>
      <c r="D257" s="603"/>
      <c r="E257" s="1052" t="s">
        <v>402</v>
      </c>
      <c r="F257" s="402" t="s">
        <v>732</v>
      </c>
      <c r="G257" s="556">
        <v>92.839166000000006</v>
      </c>
      <c r="H257" s="556">
        <v>20.157311</v>
      </c>
      <c r="I257" s="560" t="s">
        <v>44</v>
      </c>
      <c r="J257" s="560" t="s">
        <v>34</v>
      </c>
      <c r="K257" s="604" t="s">
        <v>640</v>
      </c>
      <c r="L257" s="428">
        <v>398</v>
      </c>
      <c r="M257" s="428">
        <v>2022</v>
      </c>
      <c r="N257" s="570">
        <v>2022</v>
      </c>
      <c r="O257" s="328" t="s">
        <v>983</v>
      </c>
      <c r="P257" s="720" t="str">
        <f t="shared" si="132"/>
        <v>3. Large</v>
      </c>
      <c r="Q257" s="968" t="s">
        <v>323</v>
      </c>
      <c r="R257" s="625" t="s">
        <v>83</v>
      </c>
      <c r="S257" s="560" t="s">
        <v>54</v>
      </c>
      <c r="T257" s="323" t="str">
        <f t="shared" si="133"/>
        <v>Covered</v>
      </c>
      <c r="U257" s="561">
        <v>42460</v>
      </c>
      <c r="V257" s="1144" t="s">
        <v>52</v>
      </c>
      <c r="W257" s="558" t="s">
        <v>152</v>
      </c>
      <c r="X257" s="328">
        <v>0</v>
      </c>
      <c r="Y257" s="428">
        <v>0</v>
      </c>
      <c r="Z257" s="570" t="s">
        <v>43</v>
      </c>
      <c r="AA257" s="328">
        <v>0</v>
      </c>
      <c r="AB257" s="428">
        <v>20</v>
      </c>
      <c r="AC257" s="571">
        <v>0</v>
      </c>
      <c r="AD257" s="571">
        <v>0</v>
      </c>
      <c r="AE257" s="1076"/>
      <c r="AF257" s="329">
        <v>0</v>
      </c>
      <c r="AG257" s="1124">
        <v>1</v>
      </c>
      <c r="AH257" s="630">
        <f t="shared" si="134"/>
        <v>1</v>
      </c>
      <c r="AI257" s="574">
        <f t="shared" si="135"/>
        <v>2022</v>
      </c>
      <c r="AJ257" s="605">
        <f t="shared" si="136"/>
        <v>1</v>
      </c>
      <c r="AK257" s="574">
        <f t="shared" si="137"/>
        <v>2022</v>
      </c>
      <c r="AL257" s="605">
        <f t="shared" si="138"/>
        <v>1</v>
      </c>
      <c r="AM257" s="574">
        <f t="shared" si="139"/>
        <v>2022</v>
      </c>
      <c r="AN257" s="605" t="str">
        <f t="shared" si="140"/>
        <v>80-100%</v>
      </c>
      <c r="AO257" s="605">
        <f t="shared" si="141"/>
        <v>0</v>
      </c>
      <c r="AP257" s="574">
        <f t="shared" si="142"/>
        <v>0</v>
      </c>
      <c r="AQ257" s="574" t="str">
        <f t="shared" si="143"/>
        <v>no</v>
      </c>
      <c r="AR257" s="574">
        <f t="shared" si="144"/>
        <v>0</v>
      </c>
      <c r="AS257" s="574">
        <f t="shared" si="145"/>
        <v>2022</v>
      </c>
      <c r="AT257" s="574">
        <f t="shared" si="146"/>
        <v>0</v>
      </c>
      <c r="AU257" s="1152">
        <v>1</v>
      </c>
      <c r="AV257" s="635">
        <f t="shared" si="147"/>
        <v>2022</v>
      </c>
      <c r="AW257" s="325"/>
      <c r="AX257" s="740">
        <v>0</v>
      </c>
      <c r="AY257" s="428">
        <v>108</v>
      </c>
      <c r="AZ257" s="428">
        <v>20</v>
      </c>
      <c r="BA257" s="473" t="s">
        <v>960</v>
      </c>
      <c r="BB257" s="548">
        <f t="shared" si="148"/>
        <v>1</v>
      </c>
      <c r="BC257" s="606">
        <f t="shared" si="149"/>
        <v>2022</v>
      </c>
      <c r="BD257" s="548">
        <f t="shared" si="150"/>
        <v>1</v>
      </c>
      <c r="BE257" s="606">
        <f t="shared" si="151"/>
        <v>2022</v>
      </c>
      <c r="BF257" s="549">
        <f t="shared" si="152"/>
        <v>0</v>
      </c>
      <c r="BG257" s="606">
        <f t="shared" si="153"/>
        <v>0</v>
      </c>
      <c r="BH257" s="519" t="s">
        <v>494</v>
      </c>
      <c r="BI257" s="429">
        <v>1</v>
      </c>
      <c r="BJ257" s="606">
        <f t="shared" si="176"/>
        <v>2022</v>
      </c>
      <c r="BK257" s="606">
        <f t="shared" si="154"/>
        <v>0</v>
      </c>
      <c r="BL257" s="428">
        <v>0</v>
      </c>
      <c r="BM257" s="548">
        <f t="shared" si="155"/>
        <v>0</v>
      </c>
      <c r="BN257" s="606">
        <f t="shared" si="156"/>
        <v>0</v>
      </c>
      <c r="BO257" s="606">
        <f t="shared" si="157"/>
        <v>361.07142857142861</v>
      </c>
      <c r="BP257" s="578">
        <v>1</v>
      </c>
      <c r="BQ257" s="606">
        <v>1982</v>
      </c>
      <c r="BR257" s="519">
        <v>18</v>
      </c>
      <c r="BS257" s="548">
        <f t="shared" si="158"/>
        <v>0.89020771513353114</v>
      </c>
      <c r="BT257" s="607">
        <f t="shared" si="159"/>
        <v>2.2199999999999989</v>
      </c>
      <c r="BU257" s="1163">
        <v>1</v>
      </c>
      <c r="BV257" s="650">
        <f t="shared" si="179"/>
        <v>2022</v>
      </c>
      <c r="BW257" s="636"/>
      <c r="BX257" s="470">
        <v>41625</v>
      </c>
      <c r="BY257" s="1192"/>
      <c r="BZ257" s="1192"/>
      <c r="CA257" s="608" t="str">
        <f t="shared" si="161"/>
        <v>To be done</v>
      </c>
      <c r="CB257" s="428">
        <v>400</v>
      </c>
      <c r="CC257" s="428">
        <v>1</v>
      </c>
      <c r="CD257" s="609">
        <f t="shared" si="162"/>
        <v>398</v>
      </c>
      <c r="CE257" s="610">
        <f t="shared" si="163"/>
        <v>0</v>
      </c>
      <c r="CF257" s="609">
        <f t="shared" si="164"/>
        <v>0</v>
      </c>
      <c r="CG257" s="658">
        <f t="shared" si="165"/>
        <v>21</v>
      </c>
      <c r="CH257" s="328"/>
      <c r="CI257" s="330">
        <v>0.95</v>
      </c>
      <c r="CJ257" s="664">
        <f t="shared" si="166"/>
        <v>1920.8999999999999</v>
      </c>
      <c r="CK257" s="328" t="s">
        <v>670</v>
      </c>
      <c r="CL257" s="611" t="s">
        <v>670</v>
      </c>
      <c r="CM257" s="428" t="s">
        <v>35</v>
      </c>
      <c r="CN257" s="428" t="s">
        <v>38</v>
      </c>
      <c r="CO257" s="428" t="s">
        <v>38</v>
      </c>
      <c r="CP257" s="570"/>
      <c r="CQ257" s="1171"/>
      <c r="CS257" s="1069">
        <f t="shared" si="167"/>
        <v>1</v>
      </c>
      <c r="CT257" s="1069">
        <f t="shared" si="168"/>
        <v>1</v>
      </c>
      <c r="CU257" s="1066">
        <f t="shared" si="169"/>
        <v>1</v>
      </c>
      <c r="CV257" s="1066">
        <f t="shared" si="170"/>
        <v>1</v>
      </c>
      <c r="CW257" s="1082">
        <f t="shared" si="171"/>
        <v>0</v>
      </c>
      <c r="CX257" s="1082">
        <f t="shared" si="172"/>
        <v>0</v>
      </c>
    </row>
    <row r="258" spans="1:102" ht="18" customHeight="1">
      <c r="B258" s="402" t="s">
        <v>75</v>
      </c>
      <c r="C258" s="603"/>
      <c r="D258" s="603"/>
      <c r="E258" s="1052" t="s">
        <v>402</v>
      </c>
      <c r="F258" s="402" t="s">
        <v>422</v>
      </c>
      <c r="G258" s="556">
        <v>92.823166999999998</v>
      </c>
      <c r="H258" s="556">
        <v>20.181778000000001</v>
      </c>
      <c r="I258" s="560" t="s">
        <v>44</v>
      </c>
      <c r="J258" s="560" t="s">
        <v>34</v>
      </c>
      <c r="K258" s="604" t="s">
        <v>640</v>
      </c>
      <c r="L258" s="428">
        <v>400</v>
      </c>
      <c r="M258" s="428">
        <v>2320</v>
      </c>
      <c r="N258" s="570">
        <v>2320</v>
      </c>
      <c r="O258" s="328" t="s">
        <v>983</v>
      </c>
      <c r="P258" s="720" t="str">
        <f t="shared" si="132"/>
        <v>3. Large</v>
      </c>
      <c r="Q258" s="968" t="s">
        <v>283</v>
      </c>
      <c r="R258" s="625" t="s">
        <v>83</v>
      </c>
      <c r="S258" s="560" t="s">
        <v>39</v>
      </c>
      <c r="T258" s="323" t="str">
        <f t="shared" si="133"/>
        <v>Covered</v>
      </c>
      <c r="U258" s="561">
        <v>42369</v>
      </c>
      <c r="V258" s="1144"/>
      <c r="W258" s="558" t="s">
        <v>152</v>
      </c>
      <c r="X258" s="328">
        <v>0</v>
      </c>
      <c r="Y258" s="428">
        <v>0</v>
      </c>
      <c r="Z258" s="570" t="s">
        <v>43</v>
      </c>
      <c r="AA258" s="328">
        <v>0</v>
      </c>
      <c r="AB258" s="428">
        <v>15</v>
      </c>
      <c r="AC258" s="428">
        <v>0</v>
      </c>
      <c r="AD258" s="428">
        <v>0</v>
      </c>
      <c r="AE258" s="570"/>
      <c r="AF258" s="329">
        <v>0</v>
      </c>
      <c r="AG258" s="1124">
        <v>0.22</v>
      </c>
      <c r="AH258" s="630">
        <f t="shared" si="134"/>
        <v>1</v>
      </c>
      <c r="AI258" s="574">
        <f t="shared" si="135"/>
        <v>2320</v>
      </c>
      <c r="AJ258" s="605">
        <f t="shared" si="136"/>
        <v>1</v>
      </c>
      <c r="AK258" s="574">
        <f t="shared" si="137"/>
        <v>2320</v>
      </c>
      <c r="AL258" s="605">
        <f t="shared" si="138"/>
        <v>1</v>
      </c>
      <c r="AM258" s="574">
        <f t="shared" si="139"/>
        <v>2320</v>
      </c>
      <c r="AN258" s="605" t="str">
        <f t="shared" si="140"/>
        <v>80-100%</v>
      </c>
      <c r="AO258" s="605">
        <f t="shared" si="141"/>
        <v>0</v>
      </c>
      <c r="AP258" s="574">
        <f t="shared" si="142"/>
        <v>0</v>
      </c>
      <c r="AQ258" s="574" t="str">
        <f t="shared" si="143"/>
        <v>no</v>
      </c>
      <c r="AR258" s="574">
        <f t="shared" si="144"/>
        <v>0</v>
      </c>
      <c r="AS258" s="574">
        <f t="shared" si="145"/>
        <v>510.4</v>
      </c>
      <c r="AT258" s="574">
        <f t="shared" si="146"/>
        <v>0</v>
      </c>
      <c r="AU258" s="1152">
        <v>1</v>
      </c>
      <c r="AV258" s="635">
        <f t="shared" si="147"/>
        <v>2320</v>
      </c>
      <c r="AW258" s="325"/>
      <c r="AX258" s="740">
        <v>0</v>
      </c>
      <c r="AY258" s="428">
        <v>120</v>
      </c>
      <c r="AZ258" s="428">
        <v>20</v>
      </c>
      <c r="BA258" s="473" t="s">
        <v>973</v>
      </c>
      <c r="BB258" s="548">
        <f t="shared" si="148"/>
        <v>1</v>
      </c>
      <c r="BC258" s="606">
        <f t="shared" si="149"/>
        <v>2320</v>
      </c>
      <c r="BD258" s="548">
        <f t="shared" si="150"/>
        <v>1</v>
      </c>
      <c r="BE258" s="606">
        <f t="shared" si="151"/>
        <v>2320</v>
      </c>
      <c r="BF258" s="549">
        <f t="shared" si="152"/>
        <v>0</v>
      </c>
      <c r="BG258" s="606">
        <f t="shared" si="153"/>
        <v>0</v>
      </c>
      <c r="BH258" s="428" t="s">
        <v>494</v>
      </c>
      <c r="BI258" s="429">
        <v>1</v>
      </c>
      <c r="BJ258" s="606">
        <f t="shared" si="176"/>
        <v>2320</v>
      </c>
      <c r="BK258" s="606">
        <f t="shared" si="154"/>
        <v>0</v>
      </c>
      <c r="BL258" s="428">
        <v>0</v>
      </c>
      <c r="BM258" s="548">
        <f t="shared" si="155"/>
        <v>0</v>
      </c>
      <c r="BN258" s="606">
        <f t="shared" si="156"/>
        <v>0</v>
      </c>
      <c r="BO258" s="606">
        <f t="shared" si="157"/>
        <v>414.28571428571433</v>
      </c>
      <c r="BP258" s="578">
        <v>1</v>
      </c>
      <c r="BQ258" s="606">
        <v>2217</v>
      </c>
      <c r="BR258" s="519">
        <v>12</v>
      </c>
      <c r="BS258" s="548">
        <f t="shared" si="158"/>
        <v>0.51724137931034486</v>
      </c>
      <c r="BT258" s="607">
        <f t="shared" si="159"/>
        <v>11.2</v>
      </c>
      <c r="BU258" s="1163">
        <v>0.9</v>
      </c>
      <c r="BV258" s="650">
        <f t="shared" si="179"/>
        <v>2088</v>
      </c>
      <c r="BW258" s="636" t="s">
        <v>1160</v>
      </c>
      <c r="BX258" s="430"/>
      <c r="BY258" s="1190"/>
      <c r="BZ258" s="1190"/>
      <c r="CA258" s="608" t="str">
        <f t="shared" si="161"/>
        <v>To be done</v>
      </c>
      <c r="CB258" s="428">
        <v>0</v>
      </c>
      <c r="CC258" s="428">
        <v>3</v>
      </c>
      <c r="CD258" s="609">
        <f t="shared" si="162"/>
        <v>400</v>
      </c>
      <c r="CE258" s="610">
        <f t="shared" si="163"/>
        <v>0</v>
      </c>
      <c r="CF258" s="609">
        <f t="shared" si="164"/>
        <v>0</v>
      </c>
      <c r="CG258" s="658">
        <f t="shared" si="165"/>
        <v>3</v>
      </c>
      <c r="CH258" s="328" t="s">
        <v>1169</v>
      </c>
      <c r="CI258" s="330">
        <v>1</v>
      </c>
      <c r="CJ258" s="664">
        <f t="shared" si="166"/>
        <v>2320</v>
      </c>
      <c r="CK258" s="328">
        <v>40</v>
      </c>
      <c r="CL258" s="611" t="s">
        <v>670</v>
      </c>
      <c r="CM258" s="428" t="s">
        <v>170</v>
      </c>
      <c r="CN258" s="428" t="s">
        <v>43</v>
      </c>
      <c r="CO258" s="428" t="s">
        <v>170</v>
      </c>
      <c r="CP258" s="570" t="s">
        <v>170</v>
      </c>
      <c r="CQ258" s="1171" t="s">
        <v>1170</v>
      </c>
      <c r="CS258" s="1069">
        <f t="shared" si="167"/>
        <v>1</v>
      </c>
      <c r="CT258" s="1069">
        <f t="shared" si="168"/>
        <v>1</v>
      </c>
      <c r="CU258" s="1066">
        <f t="shared" si="169"/>
        <v>1</v>
      </c>
      <c r="CV258" s="1066">
        <f t="shared" si="170"/>
        <v>1</v>
      </c>
      <c r="CW258" s="1082">
        <f t="shared" si="171"/>
        <v>0</v>
      </c>
      <c r="CX258" s="1082">
        <f t="shared" si="172"/>
        <v>0</v>
      </c>
    </row>
    <row r="259" spans="1:102" ht="18" customHeight="1">
      <c r="B259" s="402" t="s">
        <v>75</v>
      </c>
      <c r="C259" s="603"/>
      <c r="D259" s="603"/>
      <c r="E259" s="1052">
        <v>196137</v>
      </c>
      <c r="F259" s="402" t="s">
        <v>739</v>
      </c>
      <c r="G259" s="556">
        <v>92.807000000000002</v>
      </c>
      <c r="H259" s="556">
        <v>20.245000000000001</v>
      </c>
      <c r="I259" s="560" t="s">
        <v>33</v>
      </c>
      <c r="J259" s="560" t="s">
        <v>45</v>
      </c>
      <c r="K259" s="604" t="s">
        <v>455</v>
      </c>
      <c r="L259" s="428">
        <v>0</v>
      </c>
      <c r="M259" s="428">
        <v>0</v>
      </c>
      <c r="N259" s="570">
        <v>488</v>
      </c>
      <c r="O259" s="328" t="s">
        <v>983</v>
      </c>
      <c r="P259" s="720" t="str">
        <f t="shared" si="132"/>
        <v>1. Small</v>
      </c>
      <c r="Q259" s="968" t="s">
        <v>305</v>
      </c>
      <c r="R259" s="625"/>
      <c r="S259" s="560" t="s">
        <v>56</v>
      </c>
      <c r="T259" s="323" t="str">
        <f t="shared" si="133"/>
        <v>Covered</v>
      </c>
      <c r="U259" s="561">
        <v>42551</v>
      </c>
      <c r="V259" s="1144"/>
      <c r="W259" s="558" t="s">
        <v>152</v>
      </c>
      <c r="X259" s="328">
        <v>0</v>
      </c>
      <c r="Y259" s="428">
        <v>0</v>
      </c>
      <c r="Z259" s="570" t="s">
        <v>43</v>
      </c>
      <c r="AA259" s="328">
        <v>9</v>
      </c>
      <c r="AB259" s="428">
        <v>4</v>
      </c>
      <c r="AC259" s="428">
        <v>0</v>
      </c>
      <c r="AD259" s="428">
        <v>0</v>
      </c>
      <c r="AE259" s="570"/>
      <c r="AF259" s="329">
        <v>0</v>
      </c>
      <c r="AG259" s="1124">
        <v>0</v>
      </c>
      <c r="AH259" s="630">
        <f t="shared" si="134"/>
        <v>1</v>
      </c>
      <c r="AI259" s="574">
        <f t="shared" si="135"/>
        <v>488</v>
      </c>
      <c r="AJ259" s="605">
        <f t="shared" si="136"/>
        <v>1</v>
      </c>
      <c r="AK259" s="574">
        <f t="shared" si="137"/>
        <v>488</v>
      </c>
      <c r="AL259" s="605">
        <f t="shared" si="138"/>
        <v>1</v>
      </c>
      <c r="AM259" s="574">
        <f t="shared" si="139"/>
        <v>488</v>
      </c>
      <c r="AN259" s="605" t="str">
        <f t="shared" si="140"/>
        <v>80-100%</v>
      </c>
      <c r="AO259" s="605">
        <f t="shared" si="141"/>
        <v>0</v>
      </c>
      <c r="AP259" s="574">
        <f t="shared" si="142"/>
        <v>0</v>
      </c>
      <c r="AQ259" s="574" t="str">
        <f t="shared" si="143"/>
        <v>no</v>
      </c>
      <c r="AR259" s="574">
        <f t="shared" si="144"/>
        <v>0</v>
      </c>
      <c r="AS259" s="574">
        <f t="shared" si="145"/>
        <v>0</v>
      </c>
      <c r="AT259" s="574">
        <f t="shared" si="146"/>
        <v>0</v>
      </c>
      <c r="AU259" s="1152">
        <v>1</v>
      </c>
      <c r="AV259" s="635">
        <f t="shared" si="147"/>
        <v>488</v>
      </c>
      <c r="AW259" s="325"/>
      <c r="AX259" s="740">
        <v>0</v>
      </c>
      <c r="AY259" s="428">
        <v>146</v>
      </c>
      <c r="AZ259" s="428">
        <v>3.3424657534246576</v>
      </c>
      <c r="BA259" s="473" t="s">
        <v>961</v>
      </c>
      <c r="BB259" s="548">
        <f t="shared" si="148"/>
        <v>1</v>
      </c>
      <c r="BC259" s="606">
        <f t="shared" si="149"/>
        <v>488</v>
      </c>
      <c r="BD259" s="548">
        <f t="shared" si="150"/>
        <v>1</v>
      </c>
      <c r="BE259" s="606">
        <f t="shared" si="151"/>
        <v>488</v>
      </c>
      <c r="BF259" s="549">
        <f t="shared" si="152"/>
        <v>0</v>
      </c>
      <c r="BG259" s="606">
        <f t="shared" si="153"/>
        <v>0</v>
      </c>
      <c r="BH259" s="428" t="s">
        <v>475</v>
      </c>
      <c r="BI259" s="429">
        <v>1</v>
      </c>
      <c r="BJ259" s="606">
        <f t="shared" si="176"/>
        <v>488</v>
      </c>
      <c r="BK259" s="606" t="str">
        <f t="shared" si="154"/>
        <v>n/a</v>
      </c>
      <c r="BL259" s="428" t="s">
        <v>475</v>
      </c>
      <c r="BM259" s="548" t="str">
        <f t="shared" si="155"/>
        <v>n/a</v>
      </c>
      <c r="BN259" s="606" t="str">
        <f t="shared" si="156"/>
        <v>n/a</v>
      </c>
      <c r="BO259" s="606" t="str">
        <f t="shared" si="157"/>
        <v>n/a</v>
      </c>
      <c r="BP259" s="578" t="s">
        <v>475</v>
      </c>
      <c r="BQ259" s="606" t="s">
        <v>475</v>
      </c>
      <c r="BR259" s="519" t="s">
        <v>475</v>
      </c>
      <c r="BS259" s="548" t="str">
        <f t="shared" si="158"/>
        <v>n/a</v>
      </c>
      <c r="BT259" s="607" t="str">
        <f t="shared" si="159"/>
        <v>n/a</v>
      </c>
      <c r="BU259" s="1163" t="s">
        <v>475</v>
      </c>
      <c r="BV259" s="650" t="str">
        <f t="shared" si="179"/>
        <v>n/a</v>
      </c>
      <c r="BW259" s="636" t="s">
        <v>164</v>
      </c>
      <c r="BX259" s="430">
        <v>41625</v>
      </c>
      <c r="BY259" s="1190"/>
      <c r="BZ259" s="1190"/>
      <c r="CA259" s="608" t="str">
        <f t="shared" si="161"/>
        <v>n/a</v>
      </c>
      <c r="CB259" s="428">
        <v>153</v>
      </c>
      <c r="CC259" s="428">
        <v>0</v>
      </c>
      <c r="CD259" s="609" t="str">
        <f t="shared" si="162"/>
        <v>n/a</v>
      </c>
      <c r="CE259" s="610" t="str">
        <f t="shared" si="163"/>
        <v>n/a</v>
      </c>
      <c r="CF259" s="609" t="str">
        <f t="shared" si="164"/>
        <v>n/a</v>
      </c>
      <c r="CG259" s="658" t="str">
        <f t="shared" si="165"/>
        <v>n/a</v>
      </c>
      <c r="CH259" s="328" t="s">
        <v>237</v>
      </c>
      <c r="CI259" s="330">
        <v>0.75</v>
      </c>
      <c r="CJ259" s="664">
        <f t="shared" si="166"/>
        <v>366</v>
      </c>
      <c r="CK259" s="328">
        <v>3</v>
      </c>
      <c r="CL259" s="611" t="str">
        <f>IF(CK259=0,"No coverage",IF(N259/CK259&gt;1000,"Low coverage",IF(N259/CK259&gt;750,"Average coverage",IF(N259/CK259&gt;500,"Good coverage","Excellent coverage"))))</f>
        <v>Excellent coverage</v>
      </c>
      <c r="CM259" s="428" t="s">
        <v>41</v>
      </c>
      <c r="CN259" s="428" t="s">
        <v>475</v>
      </c>
      <c r="CO259" s="428" t="s">
        <v>170</v>
      </c>
      <c r="CP259" s="570" t="s">
        <v>170</v>
      </c>
      <c r="CQ259" s="1171"/>
      <c r="CS259" s="1069">
        <f t="shared" si="167"/>
        <v>1</v>
      </c>
      <c r="CT259" s="1069">
        <f t="shared" si="168"/>
        <v>1</v>
      </c>
      <c r="CU259" s="1066">
        <f t="shared" si="169"/>
        <v>1</v>
      </c>
      <c r="CV259" s="1066">
        <f t="shared" si="170"/>
        <v>1</v>
      </c>
      <c r="CW259" s="1082">
        <f t="shared" si="171"/>
        <v>0</v>
      </c>
      <c r="CX259" s="1082">
        <f t="shared" si="172"/>
        <v>0</v>
      </c>
    </row>
    <row r="260" spans="1:102" ht="18" customHeight="1">
      <c r="B260" s="402" t="s">
        <v>75</v>
      </c>
      <c r="C260" s="603"/>
      <c r="D260" s="603"/>
      <c r="E260" s="1052" t="s">
        <v>235</v>
      </c>
      <c r="F260" s="402" t="s">
        <v>82</v>
      </c>
      <c r="G260" s="556">
        <v>92.831000000000003</v>
      </c>
      <c r="H260" s="556">
        <v>20.185917</v>
      </c>
      <c r="I260" s="560" t="s">
        <v>44</v>
      </c>
      <c r="J260" s="560" t="s">
        <v>34</v>
      </c>
      <c r="K260" s="604" t="s">
        <v>640</v>
      </c>
      <c r="L260" s="428">
        <v>624</v>
      </c>
      <c r="M260" s="428">
        <v>3352</v>
      </c>
      <c r="N260" s="570">
        <v>3352</v>
      </c>
      <c r="O260" s="328" t="s">
        <v>983</v>
      </c>
      <c r="P260" s="720" t="str">
        <f t="shared" si="132"/>
        <v>4. Big</v>
      </c>
      <c r="Q260" s="968" t="s">
        <v>323</v>
      </c>
      <c r="R260" s="625" t="s">
        <v>52</v>
      </c>
      <c r="S260" s="560" t="s">
        <v>52</v>
      </c>
      <c r="T260" s="323" t="str">
        <f t="shared" si="133"/>
        <v>Covered</v>
      </c>
      <c r="U260" s="561">
        <v>42460</v>
      </c>
      <c r="V260" s="1144"/>
      <c r="W260" s="558" t="s">
        <v>152</v>
      </c>
      <c r="X260" s="328">
        <v>0</v>
      </c>
      <c r="Y260" s="428">
        <v>0</v>
      </c>
      <c r="Z260" s="570" t="s">
        <v>43</v>
      </c>
      <c r="AA260" s="328">
        <v>0</v>
      </c>
      <c r="AB260" s="428">
        <v>34</v>
      </c>
      <c r="AC260" s="428">
        <v>0</v>
      </c>
      <c r="AD260" s="428">
        <v>0</v>
      </c>
      <c r="AE260" s="570"/>
      <c r="AF260" s="329">
        <v>0</v>
      </c>
      <c r="AG260" s="1124">
        <v>1</v>
      </c>
      <c r="AH260" s="630">
        <f t="shared" si="134"/>
        <v>1</v>
      </c>
      <c r="AI260" s="574">
        <f t="shared" si="135"/>
        <v>3352</v>
      </c>
      <c r="AJ260" s="605">
        <f t="shared" si="136"/>
        <v>1</v>
      </c>
      <c r="AK260" s="574">
        <f t="shared" si="137"/>
        <v>3352</v>
      </c>
      <c r="AL260" s="605">
        <f t="shared" si="138"/>
        <v>1</v>
      </c>
      <c r="AM260" s="574">
        <f t="shared" si="139"/>
        <v>3352</v>
      </c>
      <c r="AN260" s="605" t="str">
        <f t="shared" si="140"/>
        <v>80-100%</v>
      </c>
      <c r="AO260" s="605">
        <f t="shared" si="141"/>
        <v>0</v>
      </c>
      <c r="AP260" s="574">
        <f t="shared" si="142"/>
        <v>0</v>
      </c>
      <c r="AQ260" s="574" t="str">
        <f t="shared" si="143"/>
        <v>no</v>
      </c>
      <c r="AR260" s="574">
        <f t="shared" si="144"/>
        <v>0</v>
      </c>
      <c r="AS260" s="574">
        <f t="shared" si="145"/>
        <v>3352</v>
      </c>
      <c r="AT260" s="574">
        <f t="shared" si="146"/>
        <v>0</v>
      </c>
      <c r="AU260" s="1152">
        <v>1</v>
      </c>
      <c r="AV260" s="635">
        <f t="shared" si="147"/>
        <v>3352</v>
      </c>
      <c r="AW260" s="325"/>
      <c r="AX260" s="740">
        <v>0</v>
      </c>
      <c r="AY260" s="428">
        <v>156</v>
      </c>
      <c r="AZ260" s="428">
        <v>21.371794871794872</v>
      </c>
      <c r="BA260" s="473" t="s">
        <v>960</v>
      </c>
      <c r="BB260" s="548">
        <f t="shared" si="148"/>
        <v>0.93078758949880669</v>
      </c>
      <c r="BC260" s="606">
        <f t="shared" si="149"/>
        <v>3120</v>
      </c>
      <c r="BD260" s="548">
        <f t="shared" si="150"/>
        <v>0.93078758949880669</v>
      </c>
      <c r="BE260" s="606">
        <f t="shared" si="151"/>
        <v>3120</v>
      </c>
      <c r="BF260" s="549">
        <f t="shared" si="152"/>
        <v>0</v>
      </c>
      <c r="BG260" s="606">
        <f t="shared" si="153"/>
        <v>0</v>
      </c>
      <c r="BH260" s="519" t="s">
        <v>494</v>
      </c>
      <c r="BI260" s="429">
        <v>1</v>
      </c>
      <c r="BJ260" s="606">
        <f t="shared" si="176"/>
        <v>3352</v>
      </c>
      <c r="BK260" s="606">
        <f t="shared" si="154"/>
        <v>11.599999999999994</v>
      </c>
      <c r="BL260" s="428">
        <v>624</v>
      </c>
      <c r="BM260" s="548">
        <f t="shared" si="155"/>
        <v>1</v>
      </c>
      <c r="BN260" s="606">
        <f t="shared" si="156"/>
        <v>3352</v>
      </c>
      <c r="BO260" s="606">
        <f t="shared" si="157"/>
        <v>0</v>
      </c>
      <c r="BP260" s="578">
        <v>1</v>
      </c>
      <c r="BQ260" s="606">
        <v>3457</v>
      </c>
      <c r="BR260" s="519">
        <v>28</v>
      </c>
      <c r="BS260" s="548">
        <f t="shared" si="158"/>
        <v>0.8353221957040573</v>
      </c>
      <c r="BT260" s="607">
        <f t="shared" si="159"/>
        <v>5.5200000000000031</v>
      </c>
      <c r="BU260" s="1163">
        <v>1</v>
      </c>
      <c r="BV260" s="650">
        <f t="shared" si="179"/>
        <v>3352</v>
      </c>
      <c r="BW260" s="636" t="s">
        <v>946</v>
      </c>
      <c r="BX260" s="430">
        <v>41997</v>
      </c>
      <c r="BY260" s="1190"/>
      <c r="BZ260" s="1190"/>
      <c r="CA260" s="608">
        <f t="shared" si="161"/>
        <v>42362</v>
      </c>
      <c r="CB260" s="428">
        <v>624</v>
      </c>
      <c r="CC260" s="428">
        <v>4</v>
      </c>
      <c r="CD260" s="609">
        <f t="shared" si="162"/>
        <v>0</v>
      </c>
      <c r="CE260" s="610">
        <f t="shared" si="163"/>
        <v>1</v>
      </c>
      <c r="CF260" s="609">
        <f t="shared" si="164"/>
        <v>3352</v>
      </c>
      <c r="CG260" s="658">
        <f t="shared" si="165"/>
        <v>5</v>
      </c>
      <c r="CH260" s="328" t="s">
        <v>610</v>
      </c>
      <c r="CI260" s="330">
        <v>0.75</v>
      </c>
      <c r="CJ260" s="664">
        <f t="shared" si="166"/>
        <v>2514</v>
      </c>
      <c r="CK260" s="328">
        <v>12</v>
      </c>
      <c r="CL260" s="611" t="s">
        <v>670</v>
      </c>
      <c r="CM260" s="428" t="s">
        <v>41</v>
      </c>
      <c r="CN260" s="428" t="s">
        <v>35</v>
      </c>
      <c r="CO260" s="428" t="s">
        <v>170</v>
      </c>
      <c r="CP260" s="570" t="s">
        <v>170</v>
      </c>
      <c r="CQ260" s="1171"/>
      <c r="CS260" s="1069">
        <f t="shared" si="167"/>
        <v>1</v>
      </c>
      <c r="CT260" s="1069">
        <f t="shared" si="168"/>
        <v>1</v>
      </c>
      <c r="CU260" s="1066">
        <f t="shared" si="169"/>
        <v>1</v>
      </c>
      <c r="CV260" s="1066">
        <f t="shared" si="170"/>
        <v>1</v>
      </c>
      <c r="CW260" s="1082">
        <f t="shared" si="171"/>
        <v>0</v>
      </c>
      <c r="CX260" s="1082">
        <f t="shared" si="172"/>
        <v>0</v>
      </c>
    </row>
    <row r="261" spans="1:102" ht="18" customHeight="1">
      <c r="B261" s="402" t="s">
        <v>75</v>
      </c>
      <c r="C261" s="603"/>
      <c r="D261" s="603"/>
      <c r="E261" s="1053">
        <v>196139</v>
      </c>
      <c r="F261" s="402" t="s">
        <v>371</v>
      </c>
      <c r="G261" s="556">
        <v>92.817999999999998</v>
      </c>
      <c r="H261" s="556">
        <v>20.2302</v>
      </c>
      <c r="I261" s="560" t="s">
        <v>33</v>
      </c>
      <c r="J261" s="560" t="s">
        <v>34</v>
      </c>
      <c r="K261" s="604" t="s">
        <v>455</v>
      </c>
      <c r="L261" s="428">
        <v>0</v>
      </c>
      <c r="M261" s="428">
        <v>0</v>
      </c>
      <c r="N261" s="570">
        <v>1091</v>
      </c>
      <c r="O261" s="328" t="s">
        <v>983</v>
      </c>
      <c r="P261" s="720" t="str">
        <f t="shared" ref="P261:P289" si="181">IF(I261="Village",IF(N261&gt;1000,"3. Large",IF(N261&gt;500,"2. Medium","1. Small")),IF(L261&gt;50,IF(L261&gt;250,IF(L261&gt;500,IF(L261&gt;1000,"5. Massive","4. Big"),"3. Large"),"2. Medium"),"1. Small"))</f>
        <v>3. Large</v>
      </c>
      <c r="Q261" s="968" t="s">
        <v>323</v>
      </c>
      <c r="R261" s="625"/>
      <c r="S261" s="560" t="s">
        <v>143</v>
      </c>
      <c r="T261" s="323" t="str">
        <f t="shared" ref="T261:T289" si="182">IF(S261="None","Not Covered","Covered")</f>
        <v>Covered</v>
      </c>
      <c r="U261" s="561">
        <v>42460</v>
      </c>
      <c r="V261" s="1144"/>
      <c r="W261" s="558" t="s">
        <v>152</v>
      </c>
      <c r="X261" s="328">
        <v>0</v>
      </c>
      <c r="Y261" s="428">
        <v>0</v>
      </c>
      <c r="Z261" s="570" t="s">
        <v>43</v>
      </c>
      <c r="AA261" s="328">
        <v>17</v>
      </c>
      <c r="AB261" s="428">
        <v>6</v>
      </c>
      <c r="AC261" s="428">
        <v>0</v>
      </c>
      <c r="AD261" s="428">
        <v>0</v>
      </c>
      <c r="AE261" s="570"/>
      <c r="AF261" s="329">
        <v>0</v>
      </c>
      <c r="AG261" s="1124">
        <v>1</v>
      </c>
      <c r="AH261" s="630">
        <f t="shared" ref="AH261:AH289" si="183">IF(I261="Camp",CS261,CT261)</f>
        <v>1</v>
      </c>
      <c r="AI261" s="574">
        <f t="shared" ref="AI261:AI289" si="184">AH261*N261</f>
        <v>1091</v>
      </c>
      <c r="AJ261" s="605">
        <f t="shared" ref="AJ261:AJ289" si="185">IF(I261="Camp",CU261,CV261)</f>
        <v>1</v>
      </c>
      <c r="AK261" s="574">
        <f t="shared" ref="AK261:AK289" si="186">AJ261*N261</f>
        <v>1091</v>
      </c>
      <c r="AL261" s="605">
        <f t="shared" ref="AL261:AL289" si="187">IF(AG261=0,AH261,IF(AG261&lt;AH261,AH261,AG261))</f>
        <v>1</v>
      </c>
      <c r="AM261" s="574">
        <f t="shared" ref="AM261:AM289" si="188">AL261*N261</f>
        <v>1091</v>
      </c>
      <c r="AN261" s="605" t="str">
        <f t="shared" ref="AN261:AN289" si="189">IF(AH261&gt;0.15,IF(AH261&gt;0.3,IF(AH261&gt;0.45,IF(AH261&gt;0.6,IF(AH261&gt;0.8,"80-100%","60-80%"),"45-60%"),"30-45%"),"15-30%"),"0-10%")</f>
        <v>80-100%</v>
      </c>
      <c r="AO261" s="605">
        <f t="shared" ref="AO261:AO289" si="190">AH261-AJ261</f>
        <v>0</v>
      </c>
      <c r="AP261" s="574">
        <f t="shared" ref="AP261:AP289" si="191">AO261*N261</f>
        <v>0</v>
      </c>
      <c r="AQ261" s="574" t="str">
        <f t="shared" ref="AQ261:AQ289" si="192">IF(AD261=0,"no","yes")</f>
        <v>no</v>
      </c>
      <c r="AR261" s="574">
        <f t="shared" ref="AR261:AR289" si="193">IF(I261="Camp",CW261,CX261)</f>
        <v>0</v>
      </c>
      <c r="AS261" s="574">
        <f t="shared" ref="AS261:AS289" si="194">AG261*N261</f>
        <v>1091</v>
      </c>
      <c r="AT261" s="574">
        <f t="shared" ref="AT261:AT289" si="195">AF261*N261</f>
        <v>0</v>
      </c>
      <c r="AU261" s="1152">
        <v>1</v>
      </c>
      <c r="AV261" s="635">
        <f t="shared" ref="AV261:AV289" si="196">AU261*N261</f>
        <v>1091</v>
      </c>
      <c r="AW261" s="325" t="s">
        <v>586</v>
      </c>
      <c r="AX261" s="740">
        <v>0</v>
      </c>
      <c r="AY261" s="428">
        <v>56</v>
      </c>
      <c r="AZ261" s="428">
        <v>6</v>
      </c>
      <c r="BA261" s="473" t="s">
        <v>526</v>
      </c>
      <c r="BB261" s="548">
        <f t="shared" ref="BB261:BB289" si="197">IF(I261="Village",IF((((AY261)*AZ261)/N261)&gt;1,1,(((AY261)*AZ261)/N261)),IF((((AX261+AY261)*20)/N261)&gt;1,1,(((AX261+AY261)*20)/N261)))</f>
        <v>0.307974335472044</v>
      </c>
      <c r="BC261" s="606">
        <f t="shared" ref="BC261:BC289" si="198">BB261*N261</f>
        <v>336</v>
      </c>
      <c r="BD261" s="548">
        <f t="shared" ref="BD261:BD289" si="199">IF(I261="Village",IF(((AY261*AZ261)/N261)&gt;1,1,((AY261*AZ261)/N261)),IF(((AY261*20)/N261)&gt;1,1,((AY261*20)/N261)))</f>
        <v>0.307974335472044</v>
      </c>
      <c r="BE261" s="606">
        <f t="shared" ref="BE261:BE289" si="200">IF(I261="Village",BD261*N261,BD261*N261)</f>
        <v>336</v>
      </c>
      <c r="BF261" s="549">
        <f t="shared" ref="BF261:BF289" si="201">IF(I261="Village",BB261-BD261,BB261-BD261)</f>
        <v>0</v>
      </c>
      <c r="BG261" s="606">
        <f t="shared" ref="BG261:BG289" si="202">IF(I261="Village",BF261*N261,BF261*N261)</f>
        <v>0</v>
      </c>
      <c r="BH261" s="519" t="s">
        <v>475</v>
      </c>
      <c r="BI261" s="429">
        <v>0.35</v>
      </c>
      <c r="BJ261" s="606">
        <f t="shared" si="176"/>
        <v>381.84999999999997</v>
      </c>
      <c r="BK261" s="606" t="str">
        <f t="shared" ref="BK261:BK289" si="203">IF(I261="Village","n/a",IF((N261/20-AY261)&lt;0,0,(N261/20-AY261)))</f>
        <v>n/a</v>
      </c>
      <c r="BL261" s="428">
        <v>44</v>
      </c>
      <c r="BM261" s="548" t="str">
        <f t="shared" ref="BM261:BM289" si="204">IF(I261="Village","n/a",IF((BL261*5.6/N261)&gt;1,1,(BL261*5.6/N261)))</f>
        <v>n/a</v>
      </c>
      <c r="BN261" s="606" t="str">
        <f t="shared" ref="BN261:BN289" si="205">IF(I261="Village","n/a",BM261*N261)</f>
        <v>n/a</v>
      </c>
      <c r="BO261" s="606" t="str">
        <f t="shared" ref="BO261:BO289" si="206">IF(I261="Village","n/a",IF(N261/5.6-BL261&lt;0,0,N261/5.6-BL261))</f>
        <v>n/a</v>
      </c>
      <c r="BP261" s="578" t="s">
        <v>475</v>
      </c>
      <c r="BQ261" s="606" t="s">
        <v>475</v>
      </c>
      <c r="BR261" s="519" t="s">
        <v>475</v>
      </c>
      <c r="BS261" s="548" t="str">
        <f t="shared" ref="BS261:BS289" si="207">IF(I261="Village","n/a",IF((BR261*100/N261)&gt;1,1,(BR261*100/N261)))</f>
        <v>n/a</v>
      </c>
      <c r="BT261" s="607" t="str">
        <f t="shared" ref="BT261:BT289" si="208">IF(I261="Village","n/a",IF(N261/100-BR261&lt;0,0,N261/100-BR261))</f>
        <v>n/a</v>
      </c>
      <c r="BU261" s="1163" t="s">
        <v>475</v>
      </c>
      <c r="BV261" s="650" t="str">
        <f t="shared" si="179"/>
        <v>n/a</v>
      </c>
      <c r="BW261" s="636"/>
      <c r="BX261" s="470" t="s">
        <v>475</v>
      </c>
      <c r="BY261" s="1192"/>
      <c r="BZ261" s="1192"/>
      <c r="CA261" s="608" t="str">
        <f t="shared" ref="CA261:CA289" si="209">IF(I261="Camp",IF(BX261="","To be done",IF(BX261+365&lt;$F$2,"To be done",BX261+365)),"n/a")</f>
        <v>n/a</v>
      </c>
      <c r="CB261" s="428"/>
      <c r="CC261" s="428"/>
      <c r="CD261" s="609" t="str">
        <f t="shared" ref="CD261:CD289" si="210">IF(CA261="n/a","n/a",IF(CA261="To be done",L261,IF((L261-CB261)&lt;0,0,(L261-CB261))))</f>
        <v>n/a</v>
      </c>
      <c r="CE261" s="610" t="str">
        <f t="shared" ref="CE261:CE289" si="211">IF(CA261="n/a","n/a",IF(CD261=0,1,(L261-CD261)/L261))</f>
        <v>n/a</v>
      </c>
      <c r="CF261" s="609" t="str">
        <f t="shared" ref="CF261:CF289" si="212">IF(CE261="n/a","n/a",CE261*N261)</f>
        <v>n/a</v>
      </c>
      <c r="CG261" s="658" t="str">
        <f t="shared" ref="CG261:CG289" si="213">IF(CE261="n/a","n/a",IF(BX261="",IF((CC261-1/1/2014)/30&lt;0,0,ROUND((CC261-(1/1/2014)/30),0)), IF(($F$2-BX261)/30-CC261&lt;0,0,ROUND((($F$2-BX261)/30-CC261),0))))</f>
        <v>n/a</v>
      </c>
      <c r="CH261" s="328"/>
      <c r="CI261" s="330">
        <v>0.25</v>
      </c>
      <c r="CJ261" s="664">
        <f t="shared" ref="CJ261:CJ289" si="214">CI261*N261</f>
        <v>272.75</v>
      </c>
      <c r="CK261" s="328">
        <v>6</v>
      </c>
      <c r="CL261" s="611" t="str">
        <f>IF(CK261=0,"No coverage",IF(N261/CK261&gt;1000,"Low coverage",IF(N261/CK261&gt;750,"Average coverage",IF(N261/CK261&gt;500,"Good coverage","Excellent coverage"))))</f>
        <v>Excellent coverage</v>
      </c>
      <c r="CM261" s="428" t="s">
        <v>38</v>
      </c>
      <c r="CN261" s="428" t="s">
        <v>475</v>
      </c>
      <c r="CO261" s="428" t="s">
        <v>38</v>
      </c>
      <c r="CP261" s="570" t="s">
        <v>38</v>
      </c>
      <c r="CQ261" s="1170"/>
      <c r="CS261" s="1069">
        <f t="shared" ref="CS261:CS289" si="215">IF((((1000*X261/15)+(1000*(Y261/30)/15)+AA261*400+AB261*500+(1000*AC261/15))/N261)&gt;1,1,(((1000*X261/15)+(1000*(Y261/30)/15)+AA261*400+AB261*500+(1000*AC261/15))/N261))</f>
        <v>1</v>
      </c>
      <c r="CT261" s="1069">
        <f t="shared" ref="CT261:CT289" si="216">IF((((1000*X261/15)+(1000*(Y261/30)/15)+AA261*250+AB261*250+(1000*AC261/15))/N261)&gt;1,1,(((1000*X261/15)+(1000*(Y261/30)/15)+AA261*250+AB261*250+(1000*AC261/15))/N261))</f>
        <v>1</v>
      </c>
      <c r="CU261" s="1066">
        <f t="shared" ref="CU261:CU289" si="217">IF(((AA261*400+AB261*500+(1000*AC261/15))/N261)&gt;1,1,(AA261*400+AB261*500+(1000*AC261/15))/N261)</f>
        <v>1</v>
      </c>
      <c r="CV261" s="1066">
        <f t="shared" ref="CV261:CV289" si="218">IF(((AA261*250+AB261*250+(1000*AC261/15))/N261)&gt;1,1,(AA261*250+AB261*250+(1000*AC261/15))/N261)</f>
        <v>1</v>
      </c>
      <c r="CW261" s="1082">
        <f t="shared" ref="CW261:CW289" si="219">IF(N261/400-(AA261+AB261)&lt;0,0,N261/400-(AA261+AB261))</f>
        <v>0</v>
      </c>
      <c r="CX261" s="1082">
        <f t="shared" ref="CX261:CX289" si="220">IF(N261/250-(AA261+AB261)&lt;0,0,N261/250-(AA261+AB261))</f>
        <v>0</v>
      </c>
    </row>
    <row r="262" spans="1:102" ht="18" customHeight="1">
      <c r="B262" s="402" t="s">
        <v>75</v>
      </c>
      <c r="C262" s="603"/>
      <c r="D262" s="603"/>
      <c r="E262" s="1053">
        <v>196145</v>
      </c>
      <c r="F262" s="402" t="s">
        <v>374</v>
      </c>
      <c r="G262" s="556">
        <v>92.811300000000003</v>
      </c>
      <c r="H262" s="556">
        <v>20.2195</v>
      </c>
      <c r="I262" s="560" t="s">
        <v>33</v>
      </c>
      <c r="J262" s="560" t="s">
        <v>34</v>
      </c>
      <c r="K262" s="604" t="s">
        <v>455</v>
      </c>
      <c r="L262" s="428">
        <v>0</v>
      </c>
      <c r="M262" s="428">
        <v>0</v>
      </c>
      <c r="N262" s="570">
        <v>1418</v>
      </c>
      <c r="O262" s="328" t="s">
        <v>983</v>
      </c>
      <c r="P262" s="720" t="str">
        <f t="shared" si="181"/>
        <v>3. Large</v>
      </c>
      <c r="Q262" s="968" t="s">
        <v>323</v>
      </c>
      <c r="R262" s="625"/>
      <c r="S262" s="560" t="s">
        <v>143</v>
      </c>
      <c r="T262" s="323" t="str">
        <f t="shared" si="182"/>
        <v>Covered</v>
      </c>
      <c r="U262" s="561">
        <v>42460</v>
      </c>
      <c r="V262" s="1144"/>
      <c r="W262" s="558" t="s">
        <v>152</v>
      </c>
      <c r="X262" s="328">
        <v>0</v>
      </c>
      <c r="Y262" s="428">
        <v>0</v>
      </c>
      <c r="Z262" s="570" t="s">
        <v>43</v>
      </c>
      <c r="AA262" s="328">
        <v>29</v>
      </c>
      <c r="AB262" s="428">
        <v>5</v>
      </c>
      <c r="AC262" s="428">
        <v>0</v>
      </c>
      <c r="AD262" s="428">
        <v>0</v>
      </c>
      <c r="AE262" s="570"/>
      <c r="AF262" s="329">
        <v>0</v>
      </c>
      <c r="AG262" s="1124">
        <v>1</v>
      </c>
      <c r="AH262" s="630">
        <f t="shared" si="183"/>
        <v>1</v>
      </c>
      <c r="AI262" s="574">
        <f t="shared" si="184"/>
        <v>1418</v>
      </c>
      <c r="AJ262" s="605">
        <f t="shared" si="185"/>
        <v>1</v>
      </c>
      <c r="AK262" s="574">
        <f t="shared" si="186"/>
        <v>1418</v>
      </c>
      <c r="AL262" s="605">
        <f t="shared" si="187"/>
        <v>1</v>
      </c>
      <c r="AM262" s="574">
        <f t="shared" si="188"/>
        <v>1418</v>
      </c>
      <c r="AN262" s="605" t="str">
        <f t="shared" si="189"/>
        <v>80-100%</v>
      </c>
      <c r="AO262" s="605">
        <f t="shared" si="190"/>
        <v>0</v>
      </c>
      <c r="AP262" s="574">
        <f t="shared" si="191"/>
        <v>0</v>
      </c>
      <c r="AQ262" s="574" t="str">
        <f t="shared" si="192"/>
        <v>no</v>
      </c>
      <c r="AR262" s="574">
        <f t="shared" si="193"/>
        <v>0</v>
      </c>
      <c r="AS262" s="574">
        <f t="shared" si="194"/>
        <v>1418</v>
      </c>
      <c r="AT262" s="574">
        <f t="shared" si="195"/>
        <v>0</v>
      </c>
      <c r="AU262" s="1152">
        <v>1</v>
      </c>
      <c r="AV262" s="635">
        <f t="shared" si="196"/>
        <v>1418</v>
      </c>
      <c r="AW262" s="325" t="s">
        <v>587</v>
      </c>
      <c r="AX262" s="740">
        <v>0</v>
      </c>
      <c r="AY262" s="428">
        <v>71</v>
      </c>
      <c r="AZ262" s="428">
        <v>6</v>
      </c>
      <c r="BA262" s="473" t="s">
        <v>526</v>
      </c>
      <c r="BB262" s="548">
        <f t="shared" si="197"/>
        <v>0.30042313117066288</v>
      </c>
      <c r="BC262" s="606">
        <f t="shared" si="198"/>
        <v>425.99999999999994</v>
      </c>
      <c r="BD262" s="548">
        <f t="shared" si="199"/>
        <v>0.30042313117066288</v>
      </c>
      <c r="BE262" s="606">
        <f t="shared" si="200"/>
        <v>425.99999999999994</v>
      </c>
      <c r="BF262" s="549">
        <f t="shared" si="201"/>
        <v>0</v>
      </c>
      <c r="BG262" s="606">
        <f t="shared" si="202"/>
        <v>0</v>
      </c>
      <c r="BH262" s="519" t="s">
        <v>475</v>
      </c>
      <c r="BI262" s="429">
        <v>0.35</v>
      </c>
      <c r="BJ262" s="606">
        <f t="shared" si="176"/>
        <v>496.29999999999995</v>
      </c>
      <c r="BK262" s="606" t="str">
        <f t="shared" si="203"/>
        <v>n/a</v>
      </c>
      <c r="BL262" s="428">
        <v>57</v>
      </c>
      <c r="BM262" s="548" t="str">
        <f t="shared" si="204"/>
        <v>n/a</v>
      </c>
      <c r="BN262" s="606" t="str">
        <f t="shared" si="205"/>
        <v>n/a</v>
      </c>
      <c r="BO262" s="606" t="str">
        <f t="shared" si="206"/>
        <v>n/a</v>
      </c>
      <c r="BP262" s="578" t="s">
        <v>475</v>
      </c>
      <c r="BQ262" s="606" t="s">
        <v>475</v>
      </c>
      <c r="BR262" s="519" t="s">
        <v>475</v>
      </c>
      <c r="BS262" s="548" t="str">
        <f t="shared" si="207"/>
        <v>n/a</v>
      </c>
      <c r="BT262" s="607" t="str">
        <f t="shared" si="208"/>
        <v>n/a</v>
      </c>
      <c r="BU262" s="1163" t="s">
        <v>475</v>
      </c>
      <c r="BV262" s="650" t="str">
        <f t="shared" si="179"/>
        <v>n/a</v>
      </c>
      <c r="BW262" s="636"/>
      <c r="BX262" s="470" t="s">
        <v>475</v>
      </c>
      <c r="BY262" s="1192"/>
      <c r="BZ262" s="1192"/>
      <c r="CA262" s="608" t="str">
        <f t="shared" si="209"/>
        <v>n/a</v>
      </c>
      <c r="CB262" s="428"/>
      <c r="CC262" s="428"/>
      <c r="CD262" s="609" t="str">
        <f t="shared" si="210"/>
        <v>n/a</v>
      </c>
      <c r="CE262" s="610" t="str">
        <f t="shared" si="211"/>
        <v>n/a</v>
      </c>
      <c r="CF262" s="609" t="str">
        <f t="shared" si="212"/>
        <v>n/a</v>
      </c>
      <c r="CG262" s="658" t="str">
        <f t="shared" si="213"/>
        <v>n/a</v>
      </c>
      <c r="CH262" s="328"/>
      <c r="CI262" s="330">
        <v>0.25</v>
      </c>
      <c r="CJ262" s="664">
        <f t="shared" si="214"/>
        <v>354.5</v>
      </c>
      <c r="CK262" s="328">
        <v>6</v>
      </c>
      <c r="CL262" s="611" t="str">
        <f>IF(CK262=0,"No coverage",IF(N262/CK262&gt;1000,"Low coverage",IF(N262/CK262&gt;750,"Average coverage",IF(N262/CK262&gt;500,"Good coverage","Excellent coverage"))))</f>
        <v>Excellent coverage</v>
      </c>
      <c r="CM262" s="428" t="s">
        <v>38</v>
      </c>
      <c r="CN262" s="428" t="s">
        <v>475</v>
      </c>
      <c r="CO262" s="428" t="s">
        <v>38</v>
      </c>
      <c r="CP262" s="570" t="s">
        <v>38</v>
      </c>
      <c r="CQ262" s="1170"/>
      <c r="CS262" s="1069">
        <f t="shared" si="215"/>
        <v>1</v>
      </c>
      <c r="CT262" s="1069">
        <f t="shared" si="216"/>
        <v>1</v>
      </c>
      <c r="CU262" s="1066">
        <f t="shared" si="217"/>
        <v>1</v>
      </c>
      <c r="CV262" s="1066">
        <f t="shared" si="218"/>
        <v>1</v>
      </c>
      <c r="CW262" s="1082">
        <f t="shared" si="219"/>
        <v>0</v>
      </c>
      <c r="CX262" s="1082">
        <f t="shared" si="220"/>
        <v>0</v>
      </c>
    </row>
    <row r="263" spans="1:102" ht="18" customHeight="1">
      <c r="B263" s="402" t="s">
        <v>75</v>
      </c>
      <c r="C263" s="603"/>
      <c r="D263" s="603"/>
      <c r="E263" s="1053">
        <v>196144</v>
      </c>
      <c r="F263" s="402" t="s">
        <v>373</v>
      </c>
      <c r="G263" s="556">
        <v>92.820800000000006</v>
      </c>
      <c r="H263" s="556">
        <v>20.212700000000002</v>
      </c>
      <c r="I263" s="560" t="s">
        <v>33</v>
      </c>
      <c r="J263" s="560" t="s">
        <v>34</v>
      </c>
      <c r="K263" s="604" t="s">
        <v>455</v>
      </c>
      <c r="L263" s="428">
        <v>0</v>
      </c>
      <c r="M263" s="428">
        <v>0</v>
      </c>
      <c r="N263" s="570">
        <v>1340</v>
      </c>
      <c r="O263" s="328" t="s">
        <v>983</v>
      </c>
      <c r="P263" s="720" t="str">
        <f t="shared" si="181"/>
        <v>3. Large</v>
      </c>
      <c r="Q263" s="968" t="s">
        <v>323</v>
      </c>
      <c r="R263" s="625"/>
      <c r="S263" s="560" t="s">
        <v>143</v>
      </c>
      <c r="T263" s="323" t="str">
        <f t="shared" si="182"/>
        <v>Covered</v>
      </c>
      <c r="U263" s="561">
        <v>42460</v>
      </c>
      <c r="V263" s="1144"/>
      <c r="W263" s="558" t="s">
        <v>152</v>
      </c>
      <c r="X263" s="328">
        <v>0</v>
      </c>
      <c r="Y263" s="428">
        <v>0</v>
      </c>
      <c r="Z263" s="570" t="s">
        <v>43</v>
      </c>
      <c r="AA263" s="328">
        <v>7</v>
      </c>
      <c r="AB263" s="428">
        <v>5</v>
      </c>
      <c r="AC263" s="428">
        <v>0</v>
      </c>
      <c r="AD263" s="428">
        <v>0</v>
      </c>
      <c r="AE263" s="570"/>
      <c r="AF263" s="329">
        <v>0</v>
      </c>
      <c r="AG263" s="1124">
        <v>1</v>
      </c>
      <c r="AH263" s="630">
        <f t="shared" si="183"/>
        <v>1</v>
      </c>
      <c r="AI263" s="574">
        <f t="shared" si="184"/>
        <v>1340</v>
      </c>
      <c r="AJ263" s="605">
        <f t="shared" si="185"/>
        <v>1</v>
      </c>
      <c r="AK263" s="574">
        <f t="shared" si="186"/>
        <v>1340</v>
      </c>
      <c r="AL263" s="605">
        <f t="shared" si="187"/>
        <v>1</v>
      </c>
      <c r="AM263" s="574">
        <f t="shared" si="188"/>
        <v>1340</v>
      </c>
      <c r="AN263" s="605" t="str">
        <f t="shared" si="189"/>
        <v>80-100%</v>
      </c>
      <c r="AO263" s="605">
        <f t="shared" si="190"/>
        <v>0</v>
      </c>
      <c r="AP263" s="574">
        <f t="shared" si="191"/>
        <v>0</v>
      </c>
      <c r="AQ263" s="574" t="str">
        <f t="shared" si="192"/>
        <v>no</v>
      </c>
      <c r="AR263" s="574">
        <f t="shared" si="193"/>
        <v>0</v>
      </c>
      <c r="AS263" s="574">
        <f t="shared" si="194"/>
        <v>1340</v>
      </c>
      <c r="AT263" s="574">
        <f t="shared" si="195"/>
        <v>0</v>
      </c>
      <c r="AU263" s="1152">
        <v>1</v>
      </c>
      <c r="AV263" s="635">
        <f t="shared" si="196"/>
        <v>1340</v>
      </c>
      <c r="AW263" s="325" t="s">
        <v>588</v>
      </c>
      <c r="AX263" s="740">
        <v>0</v>
      </c>
      <c r="AY263" s="428">
        <v>68</v>
      </c>
      <c r="AZ263" s="428">
        <v>6</v>
      </c>
      <c r="BA263" s="473" t="s">
        <v>526</v>
      </c>
      <c r="BB263" s="548">
        <f t="shared" si="197"/>
        <v>0.30447761194029849</v>
      </c>
      <c r="BC263" s="606">
        <f t="shared" si="198"/>
        <v>408</v>
      </c>
      <c r="BD263" s="548">
        <f t="shared" si="199"/>
        <v>0.30447761194029849</v>
      </c>
      <c r="BE263" s="606">
        <f t="shared" si="200"/>
        <v>408</v>
      </c>
      <c r="BF263" s="549">
        <f t="shared" si="201"/>
        <v>0</v>
      </c>
      <c r="BG263" s="606">
        <f t="shared" si="202"/>
        <v>0</v>
      </c>
      <c r="BH263" s="519" t="s">
        <v>475</v>
      </c>
      <c r="BI263" s="429">
        <v>0.35</v>
      </c>
      <c r="BJ263" s="606">
        <f t="shared" si="176"/>
        <v>468.99999999999994</v>
      </c>
      <c r="BK263" s="606" t="str">
        <f t="shared" si="203"/>
        <v>n/a</v>
      </c>
      <c r="BL263" s="428">
        <v>54</v>
      </c>
      <c r="BM263" s="548" t="str">
        <f t="shared" si="204"/>
        <v>n/a</v>
      </c>
      <c r="BN263" s="606" t="str">
        <f t="shared" si="205"/>
        <v>n/a</v>
      </c>
      <c r="BO263" s="606" t="str">
        <f t="shared" si="206"/>
        <v>n/a</v>
      </c>
      <c r="BP263" s="578" t="s">
        <v>475</v>
      </c>
      <c r="BQ263" s="606" t="s">
        <v>475</v>
      </c>
      <c r="BR263" s="519" t="s">
        <v>475</v>
      </c>
      <c r="BS263" s="548" t="str">
        <f t="shared" si="207"/>
        <v>n/a</v>
      </c>
      <c r="BT263" s="607" t="str">
        <f t="shared" si="208"/>
        <v>n/a</v>
      </c>
      <c r="BU263" s="1163" t="s">
        <v>475</v>
      </c>
      <c r="BV263" s="650" t="str">
        <f t="shared" si="179"/>
        <v>n/a</v>
      </c>
      <c r="BW263" s="636"/>
      <c r="BX263" s="470" t="s">
        <v>475</v>
      </c>
      <c r="BY263" s="1192"/>
      <c r="BZ263" s="1192"/>
      <c r="CA263" s="608" t="str">
        <f t="shared" si="209"/>
        <v>n/a</v>
      </c>
      <c r="CB263" s="428"/>
      <c r="CC263" s="428"/>
      <c r="CD263" s="609" t="str">
        <f t="shared" si="210"/>
        <v>n/a</v>
      </c>
      <c r="CE263" s="610" t="str">
        <f t="shared" si="211"/>
        <v>n/a</v>
      </c>
      <c r="CF263" s="609" t="str">
        <f t="shared" si="212"/>
        <v>n/a</v>
      </c>
      <c r="CG263" s="658" t="str">
        <f t="shared" si="213"/>
        <v>n/a</v>
      </c>
      <c r="CH263" s="328"/>
      <c r="CI263" s="330">
        <v>0.25</v>
      </c>
      <c r="CJ263" s="664">
        <f t="shared" si="214"/>
        <v>335</v>
      </c>
      <c r="CK263" s="328">
        <v>6</v>
      </c>
      <c r="CL263" s="611" t="str">
        <f>IF(CK263=0,"No coverage",IF(N263/CK263&gt;1000,"Low coverage",IF(N263/CK263&gt;750,"Average coverage",IF(N263/CK263&gt;500,"Good coverage","Excellent coverage"))))</f>
        <v>Excellent coverage</v>
      </c>
      <c r="CM263" s="428" t="s">
        <v>38</v>
      </c>
      <c r="CN263" s="428" t="s">
        <v>475</v>
      </c>
      <c r="CO263" s="428" t="s">
        <v>38</v>
      </c>
      <c r="CP263" s="570" t="s">
        <v>38</v>
      </c>
      <c r="CQ263" s="1170"/>
      <c r="CS263" s="1069">
        <f t="shared" si="215"/>
        <v>1</v>
      </c>
      <c r="CT263" s="1069">
        <f t="shared" si="216"/>
        <v>1</v>
      </c>
      <c r="CU263" s="1066">
        <f t="shared" si="217"/>
        <v>1</v>
      </c>
      <c r="CV263" s="1066">
        <f t="shared" si="218"/>
        <v>1</v>
      </c>
      <c r="CW263" s="1082">
        <f t="shared" si="219"/>
        <v>0</v>
      </c>
      <c r="CX263" s="1082">
        <f t="shared" si="220"/>
        <v>0</v>
      </c>
    </row>
    <row r="264" spans="1:102" ht="18" customHeight="1">
      <c r="B264" s="402" t="s">
        <v>75</v>
      </c>
      <c r="C264" s="603"/>
      <c r="D264" s="603"/>
      <c r="E264" s="1052" t="s">
        <v>456</v>
      </c>
      <c r="F264" s="402" t="s">
        <v>733</v>
      </c>
      <c r="G264" s="556">
        <v>92.774193999999994</v>
      </c>
      <c r="H264" s="556">
        <v>20.206778</v>
      </c>
      <c r="I264" s="560" t="s">
        <v>44</v>
      </c>
      <c r="J264" s="560" t="s">
        <v>34</v>
      </c>
      <c r="K264" s="604" t="s">
        <v>640</v>
      </c>
      <c r="L264" s="428">
        <v>649</v>
      </c>
      <c r="M264" s="428">
        <v>3389</v>
      </c>
      <c r="N264" s="570">
        <v>3389</v>
      </c>
      <c r="O264" s="328" t="s">
        <v>984</v>
      </c>
      <c r="P264" s="720" t="str">
        <f t="shared" si="181"/>
        <v>4. Big</v>
      </c>
      <c r="Q264" s="968" t="s">
        <v>283</v>
      </c>
      <c r="R264" s="625" t="s">
        <v>56</v>
      </c>
      <c r="S264" s="560" t="s">
        <v>39</v>
      </c>
      <c r="T264" s="323" t="str">
        <f t="shared" si="182"/>
        <v>Covered</v>
      </c>
      <c r="U264" s="561">
        <v>42369</v>
      </c>
      <c r="V264" s="1144"/>
      <c r="W264" s="558" t="s">
        <v>152</v>
      </c>
      <c r="X264" s="328">
        <v>0</v>
      </c>
      <c r="Y264" s="428">
        <v>0</v>
      </c>
      <c r="Z264" s="570" t="s">
        <v>43</v>
      </c>
      <c r="AA264" s="328">
        <v>0</v>
      </c>
      <c r="AB264" s="428">
        <v>26</v>
      </c>
      <c r="AC264" s="428">
        <v>0</v>
      </c>
      <c r="AD264" s="428">
        <v>0</v>
      </c>
      <c r="AE264" s="570"/>
      <c r="AF264" s="329">
        <v>0</v>
      </c>
      <c r="AG264" s="1124">
        <v>0.21</v>
      </c>
      <c r="AH264" s="630">
        <f t="shared" si="183"/>
        <v>1</v>
      </c>
      <c r="AI264" s="574">
        <f t="shared" si="184"/>
        <v>3389</v>
      </c>
      <c r="AJ264" s="605">
        <f t="shared" si="185"/>
        <v>1</v>
      </c>
      <c r="AK264" s="574">
        <f t="shared" si="186"/>
        <v>3389</v>
      </c>
      <c r="AL264" s="605">
        <f t="shared" si="187"/>
        <v>1</v>
      </c>
      <c r="AM264" s="574">
        <f t="shared" si="188"/>
        <v>3389</v>
      </c>
      <c r="AN264" s="605" t="str">
        <f t="shared" si="189"/>
        <v>80-100%</v>
      </c>
      <c r="AO264" s="605">
        <f t="shared" si="190"/>
        <v>0</v>
      </c>
      <c r="AP264" s="574">
        <f t="shared" si="191"/>
        <v>0</v>
      </c>
      <c r="AQ264" s="574" t="str">
        <f t="shared" si="192"/>
        <v>no</v>
      </c>
      <c r="AR264" s="574">
        <f t="shared" si="193"/>
        <v>0</v>
      </c>
      <c r="AS264" s="574">
        <f t="shared" si="194"/>
        <v>711.68999999999994</v>
      </c>
      <c r="AT264" s="574">
        <f t="shared" si="195"/>
        <v>0</v>
      </c>
      <c r="AU264" s="1152">
        <v>1</v>
      </c>
      <c r="AV264" s="635">
        <f t="shared" si="196"/>
        <v>3389</v>
      </c>
      <c r="AW264" s="325"/>
      <c r="AX264" s="740">
        <v>0</v>
      </c>
      <c r="AY264" s="428">
        <v>175</v>
      </c>
      <c r="AZ264" s="428">
        <v>20</v>
      </c>
      <c r="BA264" s="473" t="s">
        <v>973</v>
      </c>
      <c r="BB264" s="548">
        <f t="shared" si="197"/>
        <v>1</v>
      </c>
      <c r="BC264" s="606">
        <f t="shared" si="198"/>
        <v>3389</v>
      </c>
      <c r="BD264" s="548">
        <f t="shared" si="199"/>
        <v>1</v>
      </c>
      <c r="BE264" s="606">
        <f t="shared" si="200"/>
        <v>3389</v>
      </c>
      <c r="BF264" s="549">
        <f t="shared" si="201"/>
        <v>0</v>
      </c>
      <c r="BG264" s="606">
        <f t="shared" si="202"/>
        <v>0</v>
      </c>
      <c r="BH264" s="428" t="s">
        <v>494</v>
      </c>
      <c r="BI264" s="429">
        <v>1</v>
      </c>
      <c r="BJ264" s="606">
        <f t="shared" si="176"/>
        <v>3389</v>
      </c>
      <c r="BK264" s="606">
        <f t="shared" si="203"/>
        <v>0</v>
      </c>
      <c r="BL264" s="428">
        <v>0</v>
      </c>
      <c r="BM264" s="548">
        <f t="shared" si="204"/>
        <v>0</v>
      </c>
      <c r="BN264" s="606">
        <f t="shared" si="205"/>
        <v>0</v>
      </c>
      <c r="BO264" s="606">
        <f t="shared" si="206"/>
        <v>605.17857142857144</v>
      </c>
      <c r="BP264" s="578">
        <v>1</v>
      </c>
      <c r="BQ264" s="606">
        <v>3150</v>
      </c>
      <c r="BR264" s="519">
        <v>0</v>
      </c>
      <c r="BS264" s="548">
        <f t="shared" si="207"/>
        <v>0</v>
      </c>
      <c r="BT264" s="607">
        <f t="shared" si="208"/>
        <v>33.89</v>
      </c>
      <c r="BU264" s="1163">
        <v>0.9</v>
      </c>
      <c r="BV264" s="650">
        <f t="shared" si="179"/>
        <v>3050.1</v>
      </c>
      <c r="BW264" s="636" t="s">
        <v>1161</v>
      </c>
      <c r="BX264" s="430"/>
      <c r="BY264" s="1190"/>
      <c r="BZ264" s="1190"/>
      <c r="CA264" s="608" t="str">
        <f t="shared" si="209"/>
        <v>To be done</v>
      </c>
      <c r="CB264" s="428">
        <v>0</v>
      </c>
      <c r="CC264" s="428">
        <v>3</v>
      </c>
      <c r="CD264" s="609">
        <f t="shared" si="210"/>
        <v>649</v>
      </c>
      <c r="CE264" s="610">
        <f t="shared" si="211"/>
        <v>0</v>
      </c>
      <c r="CF264" s="609">
        <f t="shared" si="212"/>
        <v>0</v>
      </c>
      <c r="CG264" s="658">
        <f t="shared" si="213"/>
        <v>3</v>
      </c>
      <c r="CH264" s="328" t="s">
        <v>1169</v>
      </c>
      <c r="CI264" s="330">
        <v>1</v>
      </c>
      <c r="CJ264" s="664">
        <f t="shared" si="214"/>
        <v>3389</v>
      </c>
      <c r="CK264" s="328">
        <v>51</v>
      </c>
      <c r="CL264" s="611" t="s">
        <v>670</v>
      </c>
      <c r="CM264" s="428" t="s">
        <v>170</v>
      </c>
      <c r="CN264" s="428" t="s">
        <v>43</v>
      </c>
      <c r="CO264" s="428" t="s">
        <v>170</v>
      </c>
      <c r="CP264" s="570" t="s">
        <v>170</v>
      </c>
      <c r="CQ264" s="1171" t="s">
        <v>1170</v>
      </c>
      <c r="CS264" s="1069">
        <f t="shared" si="215"/>
        <v>1</v>
      </c>
      <c r="CT264" s="1069">
        <f t="shared" si="216"/>
        <v>1</v>
      </c>
      <c r="CU264" s="1066">
        <f t="shared" si="217"/>
        <v>1</v>
      </c>
      <c r="CV264" s="1066">
        <f t="shared" si="218"/>
        <v>1</v>
      </c>
      <c r="CW264" s="1082">
        <f t="shared" si="219"/>
        <v>0</v>
      </c>
      <c r="CX264" s="1082">
        <f t="shared" si="220"/>
        <v>0</v>
      </c>
    </row>
    <row r="265" spans="1:102" ht="18" customHeight="1">
      <c r="B265" s="402" t="s">
        <v>75</v>
      </c>
      <c r="C265" s="603"/>
      <c r="D265" s="603"/>
      <c r="E265" s="1053">
        <v>196156</v>
      </c>
      <c r="F265" s="402" t="s">
        <v>524</v>
      </c>
      <c r="G265" s="556">
        <v>92.785700000000006</v>
      </c>
      <c r="H265" s="556">
        <v>20.197500000000002</v>
      </c>
      <c r="I265" s="560" t="s">
        <v>33</v>
      </c>
      <c r="J265" s="560" t="s">
        <v>34</v>
      </c>
      <c r="K265" s="604" t="s">
        <v>508</v>
      </c>
      <c r="L265" s="428">
        <v>0</v>
      </c>
      <c r="M265" s="428">
        <v>0</v>
      </c>
      <c r="N265" s="570">
        <v>2355</v>
      </c>
      <c r="O265" s="328" t="s">
        <v>983</v>
      </c>
      <c r="P265" s="720" t="str">
        <f t="shared" si="181"/>
        <v>3. Large</v>
      </c>
      <c r="Q265" s="968" t="s">
        <v>323</v>
      </c>
      <c r="R265" s="625"/>
      <c r="S265" s="560" t="s">
        <v>71</v>
      </c>
      <c r="T265" s="323" t="str">
        <f t="shared" si="182"/>
        <v>Covered</v>
      </c>
      <c r="U265" s="561">
        <v>42460</v>
      </c>
      <c r="V265" s="1144"/>
      <c r="W265" s="558" t="s">
        <v>152</v>
      </c>
      <c r="X265" s="328">
        <v>0</v>
      </c>
      <c r="Y265" s="428">
        <v>0</v>
      </c>
      <c r="Z265" s="570" t="s">
        <v>475</v>
      </c>
      <c r="AA265" s="328">
        <v>10</v>
      </c>
      <c r="AB265" s="428">
        <v>20</v>
      </c>
      <c r="AC265" s="428">
        <v>0</v>
      </c>
      <c r="AD265" s="428">
        <v>0</v>
      </c>
      <c r="AE265" s="570"/>
      <c r="AF265" s="329">
        <v>0.5</v>
      </c>
      <c r="AG265" s="1124">
        <v>1</v>
      </c>
      <c r="AH265" s="630">
        <f t="shared" si="183"/>
        <v>1</v>
      </c>
      <c r="AI265" s="574">
        <f t="shared" si="184"/>
        <v>2355</v>
      </c>
      <c r="AJ265" s="605">
        <f t="shared" si="185"/>
        <v>1</v>
      </c>
      <c r="AK265" s="574">
        <f t="shared" si="186"/>
        <v>2355</v>
      </c>
      <c r="AL265" s="605">
        <f t="shared" si="187"/>
        <v>1</v>
      </c>
      <c r="AM265" s="574">
        <f t="shared" si="188"/>
        <v>2355</v>
      </c>
      <c r="AN265" s="605" t="str">
        <f t="shared" si="189"/>
        <v>80-100%</v>
      </c>
      <c r="AO265" s="605">
        <f t="shared" si="190"/>
        <v>0</v>
      </c>
      <c r="AP265" s="574">
        <f t="shared" si="191"/>
        <v>0</v>
      </c>
      <c r="AQ265" s="574" t="str">
        <f t="shared" si="192"/>
        <v>no</v>
      </c>
      <c r="AR265" s="574">
        <f t="shared" si="193"/>
        <v>0</v>
      </c>
      <c r="AS265" s="574">
        <f t="shared" si="194"/>
        <v>2355</v>
      </c>
      <c r="AT265" s="574">
        <f t="shared" si="195"/>
        <v>1177.5</v>
      </c>
      <c r="AU265" s="1152">
        <v>1</v>
      </c>
      <c r="AV265" s="635">
        <f t="shared" si="196"/>
        <v>2355</v>
      </c>
      <c r="AW265" s="325"/>
      <c r="AX265" s="740">
        <v>0</v>
      </c>
      <c r="AY265" s="428">
        <v>44</v>
      </c>
      <c r="AZ265" s="428">
        <v>6</v>
      </c>
      <c r="BA265" s="473" t="s">
        <v>963</v>
      </c>
      <c r="BB265" s="548">
        <f t="shared" si="197"/>
        <v>0.11210191082802548</v>
      </c>
      <c r="BC265" s="606">
        <f t="shared" si="198"/>
        <v>264</v>
      </c>
      <c r="BD265" s="548">
        <f t="shared" si="199"/>
        <v>0.11210191082802548</v>
      </c>
      <c r="BE265" s="606">
        <f t="shared" si="200"/>
        <v>264</v>
      </c>
      <c r="BF265" s="549">
        <f t="shared" si="201"/>
        <v>0</v>
      </c>
      <c r="BG265" s="606">
        <f t="shared" si="202"/>
        <v>0</v>
      </c>
      <c r="BH265" s="578" t="s">
        <v>494</v>
      </c>
      <c r="BI265" s="429">
        <v>1</v>
      </c>
      <c r="BJ265" s="606">
        <f t="shared" ref="BJ265:BJ289" si="221">BI265*N265</f>
        <v>2355</v>
      </c>
      <c r="BK265" s="606" t="str">
        <f t="shared" si="203"/>
        <v>n/a</v>
      </c>
      <c r="BL265" s="428" t="s">
        <v>475</v>
      </c>
      <c r="BM265" s="548" t="str">
        <f t="shared" si="204"/>
        <v>n/a</v>
      </c>
      <c r="BN265" s="606" t="str">
        <f t="shared" si="205"/>
        <v>n/a</v>
      </c>
      <c r="BO265" s="606" t="str">
        <f t="shared" si="206"/>
        <v>n/a</v>
      </c>
      <c r="BP265" s="578" t="s">
        <v>475</v>
      </c>
      <c r="BQ265" s="606" t="s">
        <v>475</v>
      </c>
      <c r="BR265" s="519">
        <v>200</v>
      </c>
      <c r="BS265" s="548" t="str">
        <f t="shared" si="207"/>
        <v>n/a</v>
      </c>
      <c r="BT265" s="607" t="str">
        <f t="shared" si="208"/>
        <v>n/a</v>
      </c>
      <c r="BU265" s="1163">
        <v>1</v>
      </c>
      <c r="BV265" s="650" t="str">
        <f t="shared" si="179"/>
        <v>n/a</v>
      </c>
      <c r="BW265" s="636" t="s">
        <v>1167</v>
      </c>
      <c r="BX265" s="430">
        <v>42271</v>
      </c>
      <c r="BY265" s="1190"/>
      <c r="BZ265" s="1190"/>
      <c r="CA265" s="608" t="str">
        <f t="shared" si="209"/>
        <v>n/a</v>
      </c>
      <c r="CB265" s="428" t="s">
        <v>475</v>
      </c>
      <c r="CC265" s="428" t="s">
        <v>475</v>
      </c>
      <c r="CD265" s="609" t="str">
        <f t="shared" si="210"/>
        <v>n/a</v>
      </c>
      <c r="CE265" s="610" t="str">
        <f t="shared" si="211"/>
        <v>n/a</v>
      </c>
      <c r="CF265" s="609" t="str">
        <f t="shared" si="212"/>
        <v>n/a</v>
      </c>
      <c r="CG265" s="658" t="str">
        <f t="shared" si="213"/>
        <v>n/a</v>
      </c>
      <c r="CH265" s="328" t="s">
        <v>475</v>
      </c>
      <c r="CI265" s="330">
        <v>1</v>
      </c>
      <c r="CJ265" s="664">
        <f t="shared" si="214"/>
        <v>2355</v>
      </c>
      <c r="CK265" s="328">
        <v>2</v>
      </c>
      <c r="CL265" s="611" t="s">
        <v>671</v>
      </c>
      <c r="CM265" s="428" t="s">
        <v>41</v>
      </c>
      <c r="CN265" s="675" t="s">
        <v>43</v>
      </c>
      <c r="CO265" s="428" t="s">
        <v>169</v>
      </c>
      <c r="CP265" s="570" t="s">
        <v>38</v>
      </c>
      <c r="CQ265" s="1174"/>
      <c r="CS265" s="1069">
        <f t="shared" si="215"/>
        <v>1</v>
      </c>
      <c r="CT265" s="1069">
        <f t="shared" si="216"/>
        <v>1</v>
      </c>
      <c r="CU265" s="1066">
        <f t="shared" si="217"/>
        <v>1</v>
      </c>
      <c r="CV265" s="1066">
        <f t="shared" si="218"/>
        <v>1</v>
      </c>
      <c r="CW265" s="1082">
        <f t="shared" si="219"/>
        <v>0</v>
      </c>
      <c r="CX265" s="1082">
        <f t="shared" si="220"/>
        <v>0</v>
      </c>
    </row>
    <row r="266" spans="1:102" ht="18" customHeight="1">
      <c r="B266" s="402" t="s">
        <v>75</v>
      </c>
      <c r="C266" s="603"/>
      <c r="D266" s="603"/>
      <c r="E266" s="1052" t="s">
        <v>403</v>
      </c>
      <c r="F266" s="402" t="s">
        <v>608</v>
      </c>
      <c r="G266" s="556">
        <v>92.799861000000007</v>
      </c>
      <c r="H266" s="556">
        <v>20.185193999999999</v>
      </c>
      <c r="I266" s="560" t="s">
        <v>44</v>
      </c>
      <c r="J266" s="560" t="s">
        <v>34</v>
      </c>
      <c r="K266" s="604" t="s">
        <v>640</v>
      </c>
      <c r="L266" s="428">
        <v>2629</v>
      </c>
      <c r="M266" s="428">
        <v>13655</v>
      </c>
      <c r="N266" s="570">
        <v>13655</v>
      </c>
      <c r="O266" s="328" t="s">
        <v>983</v>
      </c>
      <c r="P266" s="720" t="str">
        <f t="shared" si="181"/>
        <v>5. Massive</v>
      </c>
      <c r="Q266" s="968" t="s">
        <v>323</v>
      </c>
      <c r="R266" s="625" t="s">
        <v>56</v>
      </c>
      <c r="S266" s="560" t="s">
        <v>52</v>
      </c>
      <c r="T266" s="323" t="str">
        <f t="shared" si="182"/>
        <v>Covered</v>
      </c>
      <c r="U266" s="561">
        <v>42460</v>
      </c>
      <c r="V266" s="1144"/>
      <c r="W266" s="558" t="s">
        <v>152</v>
      </c>
      <c r="X266" s="328">
        <v>0</v>
      </c>
      <c r="Y266" s="428">
        <v>0</v>
      </c>
      <c r="Z266" s="570" t="s">
        <v>43</v>
      </c>
      <c r="AA266" s="328">
        <v>0</v>
      </c>
      <c r="AB266" s="428">
        <v>210</v>
      </c>
      <c r="AC266" s="428">
        <v>0</v>
      </c>
      <c r="AD266" s="428">
        <v>0</v>
      </c>
      <c r="AE266" s="570"/>
      <c r="AF266" s="329">
        <v>0</v>
      </c>
      <c r="AG266" s="1124">
        <v>1</v>
      </c>
      <c r="AH266" s="630">
        <f t="shared" si="183"/>
        <v>1</v>
      </c>
      <c r="AI266" s="574">
        <f t="shared" si="184"/>
        <v>13655</v>
      </c>
      <c r="AJ266" s="605">
        <f t="shared" si="185"/>
        <v>1</v>
      </c>
      <c r="AK266" s="574">
        <f t="shared" si="186"/>
        <v>13655</v>
      </c>
      <c r="AL266" s="605">
        <f t="shared" si="187"/>
        <v>1</v>
      </c>
      <c r="AM266" s="574">
        <f t="shared" si="188"/>
        <v>13655</v>
      </c>
      <c r="AN266" s="605" t="str">
        <f t="shared" si="189"/>
        <v>80-100%</v>
      </c>
      <c r="AO266" s="605">
        <f t="shared" si="190"/>
        <v>0</v>
      </c>
      <c r="AP266" s="574">
        <f t="shared" si="191"/>
        <v>0</v>
      </c>
      <c r="AQ266" s="574" t="str">
        <f t="shared" si="192"/>
        <v>no</v>
      </c>
      <c r="AR266" s="574">
        <f t="shared" si="193"/>
        <v>0</v>
      </c>
      <c r="AS266" s="574">
        <f t="shared" si="194"/>
        <v>13655</v>
      </c>
      <c r="AT266" s="574">
        <f t="shared" si="195"/>
        <v>0</v>
      </c>
      <c r="AU266" s="1152">
        <v>1</v>
      </c>
      <c r="AV266" s="635">
        <f t="shared" si="196"/>
        <v>13655</v>
      </c>
      <c r="AW266" s="325"/>
      <c r="AX266" s="740">
        <v>0</v>
      </c>
      <c r="AY266" s="428">
        <v>589</v>
      </c>
      <c r="AZ266" s="428">
        <v>17.991511035653652</v>
      </c>
      <c r="BA266" s="473" t="s">
        <v>960</v>
      </c>
      <c r="BB266" s="548">
        <f t="shared" si="197"/>
        <v>0.8626876601977298</v>
      </c>
      <c r="BC266" s="606">
        <f t="shared" si="198"/>
        <v>11780</v>
      </c>
      <c r="BD266" s="548">
        <f t="shared" si="199"/>
        <v>0.8626876601977298</v>
      </c>
      <c r="BE266" s="606">
        <f t="shared" si="200"/>
        <v>11780</v>
      </c>
      <c r="BF266" s="549">
        <f t="shared" si="201"/>
        <v>0</v>
      </c>
      <c r="BG266" s="606">
        <f t="shared" si="202"/>
        <v>0</v>
      </c>
      <c r="BH266" s="519" t="s">
        <v>494</v>
      </c>
      <c r="BI266" s="429">
        <v>1</v>
      </c>
      <c r="BJ266" s="606">
        <f t="shared" si="221"/>
        <v>13655</v>
      </c>
      <c r="BK266" s="606">
        <f t="shared" si="203"/>
        <v>93.75</v>
      </c>
      <c r="BL266" s="428">
        <v>2629</v>
      </c>
      <c r="BM266" s="548">
        <f t="shared" si="204"/>
        <v>1</v>
      </c>
      <c r="BN266" s="606">
        <f t="shared" si="205"/>
        <v>13655</v>
      </c>
      <c r="BO266" s="606">
        <f t="shared" si="206"/>
        <v>0</v>
      </c>
      <c r="BP266" s="578">
        <v>1</v>
      </c>
      <c r="BQ266" s="606">
        <v>14216</v>
      </c>
      <c r="BR266" s="519">
        <v>98</v>
      </c>
      <c r="BS266" s="548">
        <f t="shared" si="207"/>
        <v>0.71768582936653236</v>
      </c>
      <c r="BT266" s="607">
        <f t="shared" si="208"/>
        <v>38.550000000000011</v>
      </c>
      <c r="BU266" s="1163">
        <v>1</v>
      </c>
      <c r="BV266" s="650">
        <f t="shared" si="179"/>
        <v>13655</v>
      </c>
      <c r="BW266" s="636" t="s">
        <v>946</v>
      </c>
      <c r="BX266" s="430">
        <v>41993</v>
      </c>
      <c r="BY266" s="1190"/>
      <c r="BZ266" s="1190"/>
      <c r="CA266" s="608">
        <f t="shared" si="209"/>
        <v>42358</v>
      </c>
      <c r="CB266" s="428">
        <v>2728</v>
      </c>
      <c r="CC266" s="428">
        <v>4</v>
      </c>
      <c r="CD266" s="609">
        <f t="shared" si="210"/>
        <v>0</v>
      </c>
      <c r="CE266" s="610">
        <f t="shared" si="211"/>
        <v>1</v>
      </c>
      <c r="CF266" s="609">
        <f t="shared" si="212"/>
        <v>13655</v>
      </c>
      <c r="CG266" s="658">
        <f t="shared" si="213"/>
        <v>5</v>
      </c>
      <c r="CH266" s="328" t="s">
        <v>610</v>
      </c>
      <c r="CI266" s="330">
        <v>0.75</v>
      </c>
      <c r="CJ266" s="664">
        <f t="shared" si="214"/>
        <v>10241.25</v>
      </c>
      <c r="CK266" s="328">
        <v>36</v>
      </c>
      <c r="CL266" s="611" t="s">
        <v>668</v>
      </c>
      <c r="CM266" s="428" t="s">
        <v>41</v>
      </c>
      <c r="CN266" s="428" t="s">
        <v>35</v>
      </c>
      <c r="CO266" s="428" t="s">
        <v>41</v>
      </c>
      <c r="CP266" s="570" t="s">
        <v>170</v>
      </c>
      <c r="CQ266" s="1171"/>
      <c r="CS266" s="1069">
        <f t="shared" si="215"/>
        <v>1</v>
      </c>
      <c r="CT266" s="1069">
        <f t="shared" si="216"/>
        <v>1</v>
      </c>
      <c r="CU266" s="1066">
        <f t="shared" si="217"/>
        <v>1</v>
      </c>
      <c r="CV266" s="1066">
        <f t="shared" si="218"/>
        <v>1</v>
      </c>
      <c r="CW266" s="1082">
        <f t="shared" si="219"/>
        <v>0</v>
      </c>
      <c r="CX266" s="1082">
        <f t="shared" si="220"/>
        <v>0</v>
      </c>
    </row>
    <row r="267" spans="1:102" ht="18" customHeight="1">
      <c r="B267" s="402" t="s">
        <v>75</v>
      </c>
      <c r="C267" s="603"/>
      <c r="D267" s="603"/>
      <c r="E267" s="1052" t="s">
        <v>404</v>
      </c>
      <c r="F267" s="402" t="s">
        <v>637</v>
      </c>
      <c r="G267" s="556">
        <v>92.800528</v>
      </c>
      <c r="H267" s="556">
        <v>20.185583000000001</v>
      </c>
      <c r="I267" s="560" t="s">
        <v>44</v>
      </c>
      <c r="J267" s="560" t="s">
        <v>34</v>
      </c>
      <c r="K267" s="604" t="s">
        <v>640</v>
      </c>
      <c r="L267" s="428">
        <v>2243</v>
      </c>
      <c r="M267" s="428">
        <v>11704</v>
      </c>
      <c r="N267" s="570">
        <v>11704</v>
      </c>
      <c r="O267" s="328" t="s">
        <v>984</v>
      </c>
      <c r="P267" s="720" t="str">
        <f t="shared" si="181"/>
        <v>5. Massive</v>
      </c>
      <c r="Q267" s="968" t="s">
        <v>305</v>
      </c>
      <c r="R267" s="625" t="s">
        <v>83</v>
      </c>
      <c r="S267" s="560" t="s">
        <v>56</v>
      </c>
      <c r="T267" s="323" t="str">
        <f t="shared" si="182"/>
        <v>Covered</v>
      </c>
      <c r="U267" s="561">
        <v>42551</v>
      </c>
      <c r="V267" s="1144"/>
      <c r="W267" s="558" t="s">
        <v>152</v>
      </c>
      <c r="X267" s="328">
        <v>0</v>
      </c>
      <c r="Y267" s="428">
        <v>0</v>
      </c>
      <c r="Z267" s="570" t="s">
        <v>43</v>
      </c>
      <c r="AA267" s="328">
        <v>0</v>
      </c>
      <c r="AB267" s="428">
        <v>60</v>
      </c>
      <c r="AC267" s="428">
        <v>0</v>
      </c>
      <c r="AD267" s="428">
        <v>0</v>
      </c>
      <c r="AE267" s="570"/>
      <c r="AF267" s="329">
        <v>0</v>
      </c>
      <c r="AG267" s="1124">
        <v>0</v>
      </c>
      <c r="AH267" s="630">
        <f t="shared" si="183"/>
        <v>1</v>
      </c>
      <c r="AI267" s="574">
        <f t="shared" si="184"/>
        <v>11704</v>
      </c>
      <c r="AJ267" s="605">
        <f t="shared" si="185"/>
        <v>1</v>
      </c>
      <c r="AK267" s="574">
        <f t="shared" si="186"/>
        <v>11704</v>
      </c>
      <c r="AL267" s="605">
        <f t="shared" si="187"/>
        <v>1</v>
      </c>
      <c r="AM267" s="574">
        <f t="shared" si="188"/>
        <v>11704</v>
      </c>
      <c r="AN267" s="605" t="str">
        <f t="shared" si="189"/>
        <v>80-100%</v>
      </c>
      <c r="AO267" s="605">
        <f t="shared" si="190"/>
        <v>0</v>
      </c>
      <c r="AP267" s="574">
        <f t="shared" si="191"/>
        <v>0</v>
      </c>
      <c r="AQ267" s="574" t="str">
        <f t="shared" si="192"/>
        <v>no</v>
      </c>
      <c r="AR267" s="574">
        <f t="shared" si="193"/>
        <v>0</v>
      </c>
      <c r="AS267" s="574">
        <f t="shared" si="194"/>
        <v>0</v>
      </c>
      <c r="AT267" s="574">
        <f t="shared" si="195"/>
        <v>0</v>
      </c>
      <c r="AU267" s="1152">
        <v>1</v>
      </c>
      <c r="AV267" s="635">
        <f t="shared" si="196"/>
        <v>11704</v>
      </c>
      <c r="AW267" s="325"/>
      <c r="AX267" s="740">
        <v>0</v>
      </c>
      <c r="AY267" s="428">
        <v>600</v>
      </c>
      <c r="AZ267" s="428">
        <v>20.54</v>
      </c>
      <c r="BA267" s="473" t="s">
        <v>973</v>
      </c>
      <c r="BB267" s="548">
        <f t="shared" si="197"/>
        <v>1</v>
      </c>
      <c r="BC267" s="606">
        <f t="shared" si="198"/>
        <v>11704</v>
      </c>
      <c r="BD267" s="548">
        <f t="shared" si="199"/>
        <v>1</v>
      </c>
      <c r="BE267" s="606">
        <f t="shared" si="200"/>
        <v>11704</v>
      </c>
      <c r="BF267" s="549">
        <f t="shared" si="201"/>
        <v>0</v>
      </c>
      <c r="BG267" s="606">
        <f t="shared" si="202"/>
        <v>0</v>
      </c>
      <c r="BH267" s="428" t="s">
        <v>491</v>
      </c>
      <c r="BI267" s="429">
        <v>1</v>
      </c>
      <c r="BJ267" s="606">
        <f t="shared" si="221"/>
        <v>11704</v>
      </c>
      <c r="BK267" s="606">
        <f t="shared" si="203"/>
        <v>0</v>
      </c>
      <c r="BL267" s="428">
        <v>10</v>
      </c>
      <c r="BM267" s="548">
        <f t="shared" si="204"/>
        <v>4.7846889952153108E-3</v>
      </c>
      <c r="BN267" s="606">
        <f t="shared" si="205"/>
        <v>56</v>
      </c>
      <c r="BO267" s="606">
        <f t="shared" si="206"/>
        <v>2080</v>
      </c>
      <c r="BP267" s="578">
        <v>0.5</v>
      </c>
      <c r="BQ267" s="606">
        <v>6162</v>
      </c>
      <c r="BR267" s="519">
        <v>0</v>
      </c>
      <c r="BS267" s="548">
        <f t="shared" si="207"/>
        <v>0</v>
      </c>
      <c r="BT267" s="607">
        <f t="shared" si="208"/>
        <v>117.04</v>
      </c>
      <c r="BU267" s="1163">
        <v>1</v>
      </c>
      <c r="BV267" s="650">
        <f t="shared" si="179"/>
        <v>11704</v>
      </c>
      <c r="BW267" s="636" t="s">
        <v>500</v>
      </c>
      <c r="BX267" s="430">
        <v>42033</v>
      </c>
      <c r="BY267" s="1190"/>
      <c r="BZ267" s="1190"/>
      <c r="CA267" s="608">
        <f t="shared" si="209"/>
        <v>42398</v>
      </c>
      <c r="CB267" s="428">
        <v>2320</v>
      </c>
      <c r="CC267" s="428">
        <v>1</v>
      </c>
      <c r="CD267" s="609">
        <f t="shared" si="210"/>
        <v>0</v>
      </c>
      <c r="CE267" s="610">
        <f t="shared" si="211"/>
        <v>1</v>
      </c>
      <c r="CF267" s="609">
        <f t="shared" si="212"/>
        <v>11704</v>
      </c>
      <c r="CG267" s="658">
        <f t="shared" si="213"/>
        <v>7</v>
      </c>
      <c r="CH267" s="328"/>
      <c r="CI267" s="330">
        <v>1</v>
      </c>
      <c r="CJ267" s="664">
        <f t="shared" si="214"/>
        <v>11704</v>
      </c>
      <c r="CK267" s="328">
        <v>60</v>
      </c>
      <c r="CL267" s="611" t="str">
        <f t="shared" ref="CL267:CL275" si="222">IF(CK267=0,"No coverage",IF(N267/CK267&gt;1000,"Low coverage",IF(N267/CK267&gt;750,"Average coverage",IF(N267/CK267&gt;500,"Good coverage","Excellent coverage"))))</f>
        <v>Excellent coverage</v>
      </c>
      <c r="CM267" s="428" t="s">
        <v>170</v>
      </c>
      <c r="CN267" s="428" t="s">
        <v>43</v>
      </c>
      <c r="CO267" s="428" t="s">
        <v>170</v>
      </c>
      <c r="CP267" s="570" t="s">
        <v>38</v>
      </c>
      <c r="CQ267" s="1171"/>
      <c r="CS267" s="1069">
        <f t="shared" si="215"/>
        <v>1</v>
      </c>
      <c r="CT267" s="1069">
        <f t="shared" si="216"/>
        <v>1</v>
      </c>
      <c r="CU267" s="1066">
        <f t="shared" si="217"/>
        <v>1</v>
      </c>
      <c r="CV267" s="1066">
        <f t="shared" si="218"/>
        <v>1</v>
      </c>
      <c r="CW267" s="1082">
        <f t="shared" si="219"/>
        <v>0</v>
      </c>
      <c r="CX267" s="1082">
        <f t="shared" si="220"/>
        <v>0</v>
      </c>
    </row>
    <row r="268" spans="1:102" ht="18" customHeight="1">
      <c r="B268" s="402" t="s">
        <v>75</v>
      </c>
      <c r="C268" s="603" t="s">
        <v>987</v>
      </c>
      <c r="D268" s="603" t="s">
        <v>739</v>
      </c>
      <c r="E268" s="1053">
        <v>196137</v>
      </c>
      <c r="F268" s="402" t="s">
        <v>484</v>
      </c>
      <c r="G268" s="556">
        <v>92.482065000000006</v>
      </c>
      <c r="H268" s="556">
        <v>20.154205999999999</v>
      </c>
      <c r="I268" s="560" t="s">
        <v>33</v>
      </c>
      <c r="J268" s="560" t="s">
        <v>45</v>
      </c>
      <c r="K268" s="604" t="s">
        <v>455</v>
      </c>
      <c r="L268" s="428">
        <v>0</v>
      </c>
      <c r="M268" s="428">
        <v>0</v>
      </c>
      <c r="N268" s="570">
        <v>396</v>
      </c>
      <c r="O268" s="328" t="s">
        <v>983</v>
      </c>
      <c r="P268" s="720" t="str">
        <f t="shared" si="181"/>
        <v>1. Small</v>
      </c>
      <c r="Q268" s="968" t="s">
        <v>139</v>
      </c>
      <c r="R268" s="625"/>
      <c r="S268" s="560" t="s">
        <v>139</v>
      </c>
      <c r="T268" s="323" t="str">
        <f t="shared" si="182"/>
        <v>Not Covered</v>
      </c>
      <c r="U268" s="561"/>
      <c r="V268" s="1144"/>
      <c r="W268" s="558" t="s">
        <v>152</v>
      </c>
      <c r="X268" s="328">
        <v>0</v>
      </c>
      <c r="Y268" s="428">
        <v>0</v>
      </c>
      <c r="Z268" s="570" t="s">
        <v>43</v>
      </c>
      <c r="AA268" s="328">
        <v>4</v>
      </c>
      <c r="AB268" s="428">
        <v>8</v>
      </c>
      <c r="AC268" s="428">
        <v>0</v>
      </c>
      <c r="AD268" s="428">
        <v>0</v>
      </c>
      <c r="AE268" s="570"/>
      <c r="AF268" s="329">
        <v>0</v>
      </c>
      <c r="AG268" s="1124">
        <v>0.8</v>
      </c>
      <c r="AH268" s="630">
        <f t="shared" si="183"/>
        <v>1</v>
      </c>
      <c r="AI268" s="574">
        <f t="shared" si="184"/>
        <v>396</v>
      </c>
      <c r="AJ268" s="605">
        <f t="shared" si="185"/>
        <v>1</v>
      </c>
      <c r="AK268" s="574">
        <f t="shared" si="186"/>
        <v>396</v>
      </c>
      <c r="AL268" s="605">
        <f t="shared" si="187"/>
        <v>1</v>
      </c>
      <c r="AM268" s="574">
        <f t="shared" si="188"/>
        <v>396</v>
      </c>
      <c r="AN268" s="605" t="str">
        <f t="shared" si="189"/>
        <v>80-100%</v>
      </c>
      <c r="AO268" s="605">
        <f t="shared" si="190"/>
        <v>0</v>
      </c>
      <c r="AP268" s="574">
        <f t="shared" si="191"/>
        <v>0</v>
      </c>
      <c r="AQ268" s="574" t="str">
        <f t="shared" si="192"/>
        <v>no</v>
      </c>
      <c r="AR268" s="574">
        <f t="shared" si="193"/>
        <v>0</v>
      </c>
      <c r="AS268" s="574">
        <f t="shared" si="194"/>
        <v>316.8</v>
      </c>
      <c r="AT268" s="574">
        <f t="shared" si="195"/>
        <v>0</v>
      </c>
      <c r="AU268" s="1152">
        <v>1</v>
      </c>
      <c r="AV268" s="635">
        <f t="shared" si="196"/>
        <v>396</v>
      </c>
      <c r="AW268" s="325"/>
      <c r="AX268" s="740">
        <v>0</v>
      </c>
      <c r="AY268" s="428">
        <v>87</v>
      </c>
      <c r="AZ268" s="428">
        <v>4.5517241379310347</v>
      </c>
      <c r="BA268" s="473" t="s">
        <v>961</v>
      </c>
      <c r="BB268" s="548">
        <f t="shared" si="197"/>
        <v>1</v>
      </c>
      <c r="BC268" s="606">
        <f t="shared" si="198"/>
        <v>396</v>
      </c>
      <c r="BD268" s="548">
        <f t="shared" si="199"/>
        <v>1</v>
      </c>
      <c r="BE268" s="606">
        <f t="shared" si="200"/>
        <v>396</v>
      </c>
      <c r="BF268" s="549">
        <f t="shared" si="201"/>
        <v>0</v>
      </c>
      <c r="BG268" s="606">
        <f t="shared" si="202"/>
        <v>0</v>
      </c>
      <c r="BH268" s="428" t="s">
        <v>475</v>
      </c>
      <c r="BI268" s="429">
        <v>1</v>
      </c>
      <c r="BJ268" s="606">
        <f t="shared" si="221"/>
        <v>396</v>
      </c>
      <c r="BK268" s="606" t="str">
        <f t="shared" si="203"/>
        <v>n/a</v>
      </c>
      <c r="BL268" s="428" t="s">
        <v>475</v>
      </c>
      <c r="BM268" s="548" t="str">
        <f t="shared" si="204"/>
        <v>n/a</v>
      </c>
      <c r="BN268" s="606" t="str">
        <f t="shared" si="205"/>
        <v>n/a</v>
      </c>
      <c r="BO268" s="606" t="str">
        <f t="shared" si="206"/>
        <v>n/a</v>
      </c>
      <c r="BP268" s="578" t="s">
        <v>475</v>
      </c>
      <c r="BQ268" s="606" t="s">
        <v>475</v>
      </c>
      <c r="BR268" s="519" t="s">
        <v>475</v>
      </c>
      <c r="BS268" s="548" t="str">
        <f t="shared" si="207"/>
        <v>n/a</v>
      </c>
      <c r="BT268" s="607" t="str">
        <f t="shared" si="208"/>
        <v>n/a</v>
      </c>
      <c r="BU268" s="1163" t="s">
        <v>475</v>
      </c>
      <c r="BV268" s="650" t="str">
        <f t="shared" si="179"/>
        <v>n/a</v>
      </c>
      <c r="BW268" s="636" t="s">
        <v>567</v>
      </c>
      <c r="BX268" s="470" t="s">
        <v>475</v>
      </c>
      <c r="BY268" s="1192"/>
      <c r="BZ268" s="1192"/>
      <c r="CA268" s="608" t="str">
        <f t="shared" si="209"/>
        <v>n/a</v>
      </c>
      <c r="CB268" s="428"/>
      <c r="CC268" s="428"/>
      <c r="CD268" s="609" t="str">
        <f t="shared" si="210"/>
        <v>n/a</v>
      </c>
      <c r="CE268" s="610" t="str">
        <f t="shared" si="211"/>
        <v>n/a</v>
      </c>
      <c r="CF268" s="609" t="str">
        <f t="shared" si="212"/>
        <v>n/a</v>
      </c>
      <c r="CG268" s="658" t="str">
        <f t="shared" si="213"/>
        <v>n/a</v>
      </c>
      <c r="CH268" s="328"/>
      <c r="CI268" s="330"/>
      <c r="CJ268" s="664">
        <f t="shared" si="214"/>
        <v>0</v>
      </c>
      <c r="CK268" s="328"/>
      <c r="CL268" s="611" t="str">
        <f t="shared" si="222"/>
        <v>No coverage</v>
      </c>
      <c r="CM268" s="428"/>
      <c r="CN268" s="428"/>
      <c r="CO268" s="428"/>
      <c r="CP268" s="570"/>
      <c r="CQ268" s="1171"/>
      <c r="CS268" s="1069">
        <f t="shared" si="215"/>
        <v>1</v>
      </c>
      <c r="CT268" s="1069">
        <f t="shared" si="216"/>
        <v>1</v>
      </c>
      <c r="CU268" s="1066">
        <f t="shared" si="217"/>
        <v>1</v>
      </c>
      <c r="CV268" s="1066">
        <f t="shared" si="218"/>
        <v>1</v>
      </c>
      <c r="CW268" s="1082">
        <f t="shared" si="219"/>
        <v>0</v>
      </c>
      <c r="CX268" s="1082">
        <f t="shared" si="220"/>
        <v>0</v>
      </c>
    </row>
    <row r="269" spans="1:102" ht="18" customHeight="1">
      <c r="B269" s="402" t="s">
        <v>75</v>
      </c>
      <c r="C269" s="603"/>
      <c r="D269" s="603"/>
      <c r="E269" s="1053">
        <v>196142</v>
      </c>
      <c r="F269" s="402" t="s">
        <v>423</v>
      </c>
      <c r="G269" s="556">
        <v>92.795272222220007</v>
      </c>
      <c r="H269" s="556">
        <v>20.208305554999999</v>
      </c>
      <c r="I269" s="560" t="s">
        <v>33</v>
      </c>
      <c r="J269" s="560" t="s">
        <v>34</v>
      </c>
      <c r="K269" s="604" t="s">
        <v>455</v>
      </c>
      <c r="L269" s="428">
        <v>0</v>
      </c>
      <c r="M269" s="428">
        <v>0</v>
      </c>
      <c r="N269" s="570">
        <v>1924</v>
      </c>
      <c r="O269" s="328" t="s">
        <v>983</v>
      </c>
      <c r="P269" s="720" t="str">
        <f t="shared" si="181"/>
        <v>3. Large</v>
      </c>
      <c r="Q269" s="968" t="s">
        <v>139</v>
      </c>
      <c r="R269" s="625"/>
      <c r="S269" s="560" t="s">
        <v>139</v>
      </c>
      <c r="T269" s="323" t="str">
        <f t="shared" si="182"/>
        <v>Not Covered</v>
      </c>
      <c r="U269" s="561"/>
      <c r="V269" s="1144"/>
      <c r="W269" s="558" t="s">
        <v>152</v>
      </c>
      <c r="X269" s="328">
        <v>0</v>
      </c>
      <c r="Y269" s="428">
        <v>0</v>
      </c>
      <c r="Z269" s="570" t="s">
        <v>43</v>
      </c>
      <c r="AA269" s="328">
        <v>20</v>
      </c>
      <c r="AB269" s="428">
        <v>12</v>
      </c>
      <c r="AC269" s="428">
        <v>0</v>
      </c>
      <c r="AD269" s="428">
        <v>6</v>
      </c>
      <c r="AE269" s="570"/>
      <c r="AF269" s="329">
        <v>0</v>
      </c>
      <c r="AG269" s="1124">
        <v>0.8</v>
      </c>
      <c r="AH269" s="630">
        <f t="shared" si="183"/>
        <v>1</v>
      </c>
      <c r="AI269" s="574">
        <f t="shared" si="184"/>
        <v>1924</v>
      </c>
      <c r="AJ269" s="605">
        <f t="shared" si="185"/>
        <v>1</v>
      </c>
      <c r="AK269" s="574">
        <f t="shared" si="186"/>
        <v>1924</v>
      </c>
      <c r="AL269" s="605">
        <f t="shared" si="187"/>
        <v>1</v>
      </c>
      <c r="AM269" s="574">
        <f t="shared" si="188"/>
        <v>1924</v>
      </c>
      <c r="AN269" s="605" t="str">
        <f t="shared" si="189"/>
        <v>80-100%</v>
      </c>
      <c r="AO269" s="605">
        <f t="shared" si="190"/>
        <v>0</v>
      </c>
      <c r="AP269" s="574">
        <f t="shared" si="191"/>
        <v>0</v>
      </c>
      <c r="AQ269" s="574" t="str">
        <f t="shared" si="192"/>
        <v>yes</v>
      </c>
      <c r="AR269" s="574">
        <f t="shared" si="193"/>
        <v>0</v>
      </c>
      <c r="AS269" s="574">
        <f t="shared" si="194"/>
        <v>1539.2</v>
      </c>
      <c r="AT269" s="574">
        <f t="shared" si="195"/>
        <v>0</v>
      </c>
      <c r="AU269" s="1152">
        <v>1</v>
      </c>
      <c r="AV269" s="635">
        <f t="shared" si="196"/>
        <v>1924</v>
      </c>
      <c r="AW269" s="636"/>
      <c r="AX269" s="740">
        <v>0</v>
      </c>
      <c r="AY269" s="428">
        <v>307</v>
      </c>
      <c r="AZ269" s="428">
        <v>6.2671009771986972</v>
      </c>
      <c r="BA269" s="473" t="s">
        <v>961</v>
      </c>
      <c r="BB269" s="548">
        <f t="shared" si="197"/>
        <v>1</v>
      </c>
      <c r="BC269" s="606">
        <f t="shared" si="198"/>
        <v>1924</v>
      </c>
      <c r="BD269" s="548">
        <f t="shared" si="199"/>
        <v>1</v>
      </c>
      <c r="BE269" s="606">
        <f t="shared" si="200"/>
        <v>1924</v>
      </c>
      <c r="BF269" s="549">
        <f t="shared" si="201"/>
        <v>0</v>
      </c>
      <c r="BG269" s="606">
        <f t="shared" si="202"/>
        <v>0</v>
      </c>
      <c r="BH269" s="428" t="s">
        <v>475</v>
      </c>
      <c r="BI269" s="429">
        <v>1</v>
      </c>
      <c r="BJ269" s="606">
        <f t="shared" si="221"/>
        <v>1924</v>
      </c>
      <c r="BK269" s="606" t="str">
        <f t="shared" si="203"/>
        <v>n/a</v>
      </c>
      <c r="BL269" s="428" t="s">
        <v>475</v>
      </c>
      <c r="BM269" s="548" t="str">
        <f t="shared" si="204"/>
        <v>n/a</v>
      </c>
      <c r="BN269" s="606" t="str">
        <f t="shared" si="205"/>
        <v>n/a</v>
      </c>
      <c r="BO269" s="606" t="str">
        <f t="shared" si="206"/>
        <v>n/a</v>
      </c>
      <c r="BP269" s="578" t="s">
        <v>475</v>
      </c>
      <c r="BQ269" s="606" t="s">
        <v>475</v>
      </c>
      <c r="BR269" s="519" t="s">
        <v>475</v>
      </c>
      <c r="BS269" s="548" t="str">
        <f t="shared" si="207"/>
        <v>n/a</v>
      </c>
      <c r="BT269" s="607" t="str">
        <f t="shared" si="208"/>
        <v>n/a</v>
      </c>
      <c r="BU269" s="1163" t="s">
        <v>475</v>
      </c>
      <c r="BV269" s="1186" t="str">
        <f t="shared" si="179"/>
        <v>n/a</v>
      </c>
      <c r="BW269" s="636" t="s">
        <v>567</v>
      </c>
      <c r="BX269" s="470" t="s">
        <v>475</v>
      </c>
      <c r="BY269" s="1192"/>
      <c r="BZ269" s="1192"/>
      <c r="CA269" s="608" t="str">
        <f t="shared" si="209"/>
        <v>n/a</v>
      </c>
      <c r="CB269" s="428"/>
      <c r="CC269" s="428"/>
      <c r="CD269" s="609" t="str">
        <f t="shared" si="210"/>
        <v>n/a</v>
      </c>
      <c r="CE269" s="610" t="str">
        <f t="shared" si="211"/>
        <v>n/a</v>
      </c>
      <c r="CF269" s="609" t="str">
        <f t="shared" si="212"/>
        <v>n/a</v>
      </c>
      <c r="CG269" s="658" t="str">
        <f t="shared" si="213"/>
        <v>n/a</v>
      </c>
      <c r="CH269" s="328"/>
      <c r="CI269" s="330"/>
      <c r="CJ269" s="664">
        <f t="shared" si="214"/>
        <v>0</v>
      </c>
      <c r="CK269" s="328"/>
      <c r="CL269" s="611" t="str">
        <f t="shared" si="222"/>
        <v>No coverage</v>
      </c>
      <c r="CM269" s="428"/>
      <c r="CN269" s="428"/>
      <c r="CO269" s="428"/>
      <c r="CP269" s="570"/>
      <c r="CQ269" s="1171"/>
      <c r="CS269" s="1069">
        <f t="shared" si="215"/>
        <v>1</v>
      </c>
      <c r="CT269" s="1069">
        <f t="shared" si="216"/>
        <v>1</v>
      </c>
      <c r="CU269" s="1066">
        <f t="shared" si="217"/>
        <v>1</v>
      </c>
      <c r="CV269" s="1066">
        <f t="shared" si="218"/>
        <v>1</v>
      </c>
      <c r="CW269" s="1082">
        <f t="shared" si="219"/>
        <v>0</v>
      </c>
      <c r="CX269" s="1082">
        <f t="shared" si="220"/>
        <v>0</v>
      </c>
    </row>
    <row r="270" spans="1:102" ht="18" customHeight="1">
      <c r="B270" s="402" t="s">
        <v>75</v>
      </c>
      <c r="C270" s="603"/>
      <c r="D270" s="603"/>
      <c r="E270" s="1053">
        <v>196141</v>
      </c>
      <c r="F270" s="402" t="s">
        <v>673</v>
      </c>
      <c r="G270" s="556">
        <v>92.462236000000004</v>
      </c>
      <c r="H270" s="556">
        <v>20.131148</v>
      </c>
      <c r="I270" s="560" t="s">
        <v>33</v>
      </c>
      <c r="J270" s="560" t="s">
        <v>45</v>
      </c>
      <c r="K270" s="603" t="s">
        <v>455</v>
      </c>
      <c r="L270" s="428">
        <v>0</v>
      </c>
      <c r="M270" s="428">
        <v>0</v>
      </c>
      <c r="N270" s="570">
        <v>630</v>
      </c>
      <c r="O270" s="328" t="s">
        <v>983</v>
      </c>
      <c r="P270" s="1183" t="str">
        <f t="shared" si="181"/>
        <v>2. Medium</v>
      </c>
      <c r="Q270" s="1184" t="s">
        <v>139</v>
      </c>
      <c r="R270" s="625"/>
      <c r="S270" s="560" t="s">
        <v>139</v>
      </c>
      <c r="T270" s="323" t="str">
        <f t="shared" si="182"/>
        <v>Not Covered</v>
      </c>
      <c r="U270" s="561"/>
      <c r="V270" s="1144"/>
      <c r="W270" s="558" t="s">
        <v>152</v>
      </c>
      <c r="X270" s="328">
        <v>0</v>
      </c>
      <c r="Y270" s="428">
        <v>0</v>
      </c>
      <c r="Z270" s="570" t="s">
        <v>43</v>
      </c>
      <c r="AA270" s="328">
        <v>2</v>
      </c>
      <c r="AB270" s="428">
        <v>4</v>
      </c>
      <c r="AC270" s="428">
        <v>0</v>
      </c>
      <c r="AD270" s="428">
        <v>0</v>
      </c>
      <c r="AE270" s="570"/>
      <c r="AF270" s="329">
        <v>0</v>
      </c>
      <c r="AG270" s="330">
        <v>0.8</v>
      </c>
      <c r="AH270" s="630">
        <f t="shared" si="183"/>
        <v>1</v>
      </c>
      <c r="AI270" s="574">
        <f t="shared" si="184"/>
        <v>630</v>
      </c>
      <c r="AJ270" s="605">
        <f t="shared" si="185"/>
        <v>1</v>
      </c>
      <c r="AK270" s="574">
        <f t="shared" si="186"/>
        <v>630</v>
      </c>
      <c r="AL270" s="605">
        <f t="shared" si="187"/>
        <v>1</v>
      </c>
      <c r="AM270" s="574">
        <f t="shared" si="188"/>
        <v>630</v>
      </c>
      <c r="AN270" s="605" t="str">
        <f t="shared" si="189"/>
        <v>80-100%</v>
      </c>
      <c r="AO270" s="605">
        <f t="shared" si="190"/>
        <v>0</v>
      </c>
      <c r="AP270" s="574">
        <f t="shared" si="191"/>
        <v>0</v>
      </c>
      <c r="AQ270" s="574" t="str">
        <f t="shared" si="192"/>
        <v>no</v>
      </c>
      <c r="AR270" s="574">
        <f t="shared" si="193"/>
        <v>0</v>
      </c>
      <c r="AS270" s="574">
        <f t="shared" si="194"/>
        <v>504</v>
      </c>
      <c r="AT270" s="574">
        <f t="shared" si="195"/>
        <v>0</v>
      </c>
      <c r="AU270" s="1152">
        <v>1</v>
      </c>
      <c r="AV270" s="635">
        <f t="shared" si="196"/>
        <v>630</v>
      </c>
      <c r="AW270" s="636"/>
      <c r="AX270" s="328">
        <v>0</v>
      </c>
      <c r="AY270" s="428">
        <v>105</v>
      </c>
      <c r="AZ270" s="428">
        <v>6</v>
      </c>
      <c r="BA270" s="473" t="s">
        <v>961</v>
      </c>
      <c r="BB270" s="548">
        <f t="shared" si="197"/>
        <v>1</v>
      </c>
      <c r="BC270" s="606">
        <f t="shared" si="198"/>
        <v>630</v>
      </c>
      <c r="BD270" s="548">
        <f t="shared" si="199"/>
        <v>1</v>
      </c>
      <c r="BE270" s="606">
        <f t="shared" si="200"/>
        <v>630</v>
      </c>
      <c r="BF270" s="549">
        <f t="shared" si="201"/>
        <v>0</v>
      </c>
      <c r="BG270" s="606">
        <f t="shared" si="202"/>
        <v>0</v>
      </c>
      <c r="BH270" s="428" t="s">
        <v>475</v>
      </c>
      <c r="BI270" s="429">
        <v>1</v>
      </c>
      <c r="BJ270" s="606">
        <f t="shared" si="221"/>
        <v>630</v>
      </c>
      <c r="BK270" s="606" t="str">
        <f t="shared" si="203"/>
        <v>n/a</v>
      </c>
      <c r="BL270" s="428" t="s">
        <v>475</v>
      </c>
      <c r="BM270" s="548" t="str">
        <f t="shared" si="204"/>
        <v>n/a</v>
      </c>
      <c r="BN270" s="606" t="str">
        <f t="shared" si="205"/>
        <v>n/a</v>
      </c>
      <c r="BO270" s="606" t="str">
        <f t="shared" si="206"/>
        <v>n/a</v>
      </c>
      <c r="BP270" s="578" t="s">
        <v>475</v>
      </c>
      <c r="BQ270" s="606" t="s">
        <v>475</v>
      </c>
      <c r="BR270" s="519" t="s">
        <v>475</v>
      </c>
      <c r="BS270" s="548" t="str">
        <f t="shared" si="207"/>
        <v>n/a</v>
      </c>
      <c r="BT270" s="607" t="str">
        <f t="shared" si="208"/>
        <v>n/a</v>
      </c>
      <c r="BU270" s="651" t="s">
        <v>475</v>
      </c>
      <c r="BV270" s="1186" t="str">
        <f t="shared" si="179"/>
        <v>n/a</v>
      </c>
      <c r="BW270" s="636" t="s">
        <v>567</v>
      </c>
      <c r="BX270" s="470" t="s">
        <v>475</v>
      </c>
      <c r="BY270" s="1192"/>
      <c r="BZ270" s="1192"/>
      <c r="CA270" s="608" t="str">
        <f t="shared" si="209"/>
        <v>n/a</v>
      </c>
      <c r="CB270" s="428"/>
      <c r="CC270" s="428"/>
      <c r="CD270" s="609" t="str">
        <f t="shared" si="210"/>
        <v>n/a</v>
      </c>
      <c r="CE270" s="610" t="str">
        <f t="shared" si="211"/>
        <v>n/a</v>
      </c>
      <c r="CF270" s="609" t="str">
        <f t="shared" si="212"/>
        <v>n/a</v>
      </c>
      <c r="CG270" s="658" t="str">
        <f t="shared" si="213"/>
        <v>n/a</v>
      </c>
      <c r="CH270" s="328"/>
      <c r="CI270" s="330"/>
      <c r="CJ270" s="664">
        <f t="shared" si="214"/>
        <v>0</v>
      </c>
      <c r="CK270" s="328"/>
      <c r="CL270" s="611" t="str">
        <f t="shared" si="222"/>
        <v>No coverage</v>
      </c>
      <c r="CM270" s="428"/>
      <c r="CN270" s="428"/>
      <c r="CO270" s="428"/>
      <c r="CP270" s="570"/>
      <c r="CQ270" s="1171"/>
      <c r="CS270" s="1069">
        <f t="shared" si="215"/>
        <v>1</v>
      </c>
      <c r="CT270" s="1069">
        <f t="shared" si="216"/>
        <v>1</v>
      </c>
      <c r="CU270" s="1066">
        <f t="shared" si="217"/>
        <v>1</v>
      </c>
      <c r="CV270" s="1066">
        <f t="shared" si="218"/>
        <v>1</v>
      </c>
      <c r="CW270" s="1082">
        <f t="shared" si="219"/>
        <v>0</v>
      </c>
      <c r="CX270" s="1082">
        <f t="shared" si="220"/>
        <v>0</v>
      </c>
    </row>
    <row r="271" spans="1:102" ht="18" customHeight="1">
      <c r="B271" s="402" t="s">
        <v>75</v>
      </c>
      <c r="C271" s="603"/>
      <c r="D271" s="603"/>
      <c r="E271" s="1053">
        <v>196141</v>
      </c>
      <c r="F271" s="402" t="s">
        <v>674</v>
      </c>
      <c r="G271" s="556">
        <v>92.464884999999995</v>
      </c>
      <c r="H271" s="556">
        <v>20.130915999999999</v>
      </c>
      <c r="I271" s="560" t="s">
        <v>33</v>
      </c>
      <c r="J271" s="560" t="s">
        <v>45</v>
      </c>
      <c r="K271" s="604" t="s">
        <v>455</v>
      </c>
      <c r="L271" s="428">
        <v>0</v>
      </c>
      <c r="M271" s="428">
        <v>0</v>
      </c>
      <c r="N271" s="570">
        <v>365</v>
      </c>
      <c r="O271" s="328" t="s">
        <v>983</v>
      </c>
      <c r="P271" s="1183" t="str">
        <f t="shared" si="181"/>
        <v>1. Small</v>
      </c>
      <c r="Q271" s="1184" t="s">
        <v>139</v>
      </c>
      <c r="R271" s="625"/>
      <c r="S271" s="1185" t="s">
        <v>139</v>
      </c>
      <c r="T271" s="560" t="str">
        <f t="shared" si="182"/>
        <v>Not Covered</v>
      </c>
      <c r="U271" s="561"/>
      <c r="V271" s="618"/>
      <c r="W271" s="558" t="s">
        <v>152</v>
      </c>
      <c r="X271" s="328">
        <v>0</v>
      </c>
      <c r="Y271" s="428">
        <v>0</v>
      </c>
      <c r="Z271" s="570" t="s">
        <v>43</v>
      </c>
      <c r="AA271" s="328">
        <v>0</v>
      </c>
      <c r="AB271" s="428">
        <v>22</v>
      </c>
      <c r="AC271" s="428">
        <v>0</v>
      </c>
      <c r="AD271" s="428">
        <v>0</v>
      </c>
      <c r="AE271" s="570"/>
      <c r="AF271" s="329">
        <v>0</v>
      </c>
      <c r="AG271" s="330">
        <v>0.8</v>
      </c>
      <c r="AH271" s="630">
        <f t="shared" si="183"/>
        <v>1</v>
      </c>
      <c r="AI271" s="574">
        <f t="shared" si="184"/>
        <v>365</v>
      </c>
      <c r="AJ271" s="605">
        <f t="shared" si="185"/>
        <v>1</v>
      </c>
      <c r="AK271" s="574">
        <f t="shared" si="186"/>
        <v>365</v>
      </c>
      <c r="AL271" s="605">
        <f t="shared" si="187"/>
        <v>1</v>
      </c>
      <c r="AM271" s="574">
        <f t="shared" si="188"/>
        <v>365</v>
      </c>
      <c r="AN271" s="605" t="str">
        <f t="shared" si="189"/>
        <v>80-100%</v>
      </c>
      <c r="AO271" s="605">
        <f t="shared" si="190"/>
        <v>0</v>
      </c>
      <c r="AP271" s="574">
        <f t="shared" si="191"/>
        <v>0</v>
      </c>
      <c r="AQ271" s="574" t="str">
        <f t="shared" si="192"/>
        <v>no</v>
      </c>
      <c r="AR271" s="574">
        <f t="shared" si="193"/>
        <v>0</v>
      </c>
      <c r="AS271" s="574">
        <f t="shared" si="194"/>
        <v>292</v>
      </c>
      <c r="AT271" s="574">
        <f t="shared" si="195"/>
        <v>0</v>
      </c>
      <c r="AU271" s="589">
        <v>1</v>
      </c>
      <c r="AV271" s="635">
        <f t="shared" si="196"/>
        <v>365</v>
      </c>
      <c r="AW271" s="636"/>
      <c r="AX271" s="328">
        <v>0</v>
      </c>
      <c r="AY271" s="428">
        <v>55</v>
      </c>
      <c r="AZ271" s="428">
        <v>6.6363636363636367</v>
      </c>
      <c r="BA271" s="473" t="s">
        <v>961</v>
      </c>
      <c r="BB271" s="548">
        <f t="shared" si="197"/>
        <v>1</v>
      </c>
      <c r="BC271" s="606">
        <f t="shared" si="198"/>
        <v>365</v>
      </c>
      <c r="BD271" s="548">
        <f t="shared" si="199"/>
        <v>1</v>
      </c>
      <c r="BE271" s="606">
        <f t="shared" si="200"/>
        <v>365</v>
      </c>
      <c r="BF271" s="549">
        <f t="shared" si="201"/>
        <v>0</v>
      </c>
      <c r="BG271" s="606">
        <f t="shared" si="202"/>
        <v>0</v>
      </c>
      <c r="BH271" s="428" t="s">
        <v>475</v>
      </c>
      <c r="BI271" s="429">
        <v>1</v>
      </c>
      <c r="BJ271" s="606">
        <f t="shared" si="221"/>
        <v>365</v>
      </c>
      <c r="BK271" s="606" t="str">
        <f t="shared" si="203"/>
        <v>n/a</v>
      </c>
      <c r="BL271" s="428" t="s">
        <v>475</v>
      </c>
      <c r="BM271" s="548" t="str">
        <f t="shared" si="204"/>
        <v>n/a</v>
      </c>
      <c r="BN271" s="606" t="str">
        <f t="shared" si="205"/>
        <v>n/a</v>
      </c>
      <c r="BO271" s="606" t="str">
        <f t="shared" si="206"/>
        <v>n/a</v>
      </c>
      <c r="BP271" s="578" t="s">
        <v>475</v>
      </c>
      <c r="BQ271" s="606" t="s">
        <v>475</v>
      </c>
      <c r="BR271" s="519" t="s">
        <v>475</v>
      </c>
      <c r="BS271" s="548" t="str">
        <f t="shared" si="207"/>
        <v>n/a</v>
      </c>
      <c r="BT271" s="607" t="str">
        <f t="shared" si="208"/>
        <v>n/a</v>
      </c>
      <c r="BU271" s="651" t="s">
        <v>475</v>
      </c>
      <c r="BV271" s="1186" t="str">
        <f t="shared" si="179"/>
        <v>n/a</v>
      </c>
      <c r="BW271" s="636" t="s">
        <v>567</v>
      </c>
      <c r="BX271" s="470" t="s">
        <v>475</v>
      </c>
      <c r="BY271" s="1192"/>
      <c r="BZ271" s="1192"/>
      <c r="CA271" s="608" t="str">
        <f t="shared" si="209"/>
        <v>n/a</v>
      </c>
      <c r="CB271" s="428"/>
      <c r="CC271" s="428"/>
      <c r="CD271" s="609" t="str">
        <f t="shared" si="210"/>
        <v>n/a</v>
      </c>
      <c r="CE271" s="610" t="str">
        <f t="shared" si="211"/>
        <v>n/a</v>
      </c>
      <c r="CF271" s="609" t="str">
        <f t="shared" si="212"/>
        <v>n/a</v>
      </c>
      <c r="CG271" s="658" t="str">
        <f t="shared" si="213"/>
        <v>n/a</v>
      </c>
      <c r="CH271" s="328"/>
      <c r="CI271" s="330"/>
      <c r="CJ271" s="664">
        <f t="shared" si="214"/>
        <v>0</v>
      </c>
      <c r="CK271" s="328"/>
      <c r="CL271" s="611" t="str">
        <f t="shared" si="222"/>
        <v>No coverage</v>
      </c>
      <c r="CM271" s="428"/>
      <c r="CN271" s="428"/>
      <c r="CO271" s="428"/>
      <c r="CP271" s="570"/>
      <c r="CQ271" s="1171"/>
      <c r="CS271" s="1069">
        <f t="shared" si="215"/>
        <v>1</v>
      </c>
      <c r="CT271" s="1069">
        <f t="shared" si="216"/>
        <v>1</v>
      </c>
      <c r="CU271" s="1066">
        <f t="shared" si="217"/>
        <v>1</v>
      </c>
      <c r="CV271" s="1066">
        <f t="shared" si="218"/>
        <v>1</v>
      </c>
      <c r="CW271" s="1082">
        <f t="shared" si="219"/>
        <v>0</v>
      </c>
      <c r="CX271" s="1082">
        <f t="shared" si="220"/>
        <v>0</v>
      </c>
    </row>
    <row r="272" spans="1:102" s="322" customFormat="1" ht="21" customHeight="1">
      <c r="A272" s="575"/>
      <c r="B272" s="402" t="s">
        <v>75</v>
      </c>
      <c r="C272" s="603"/>
      <c r="D272" s="603"/>
      <c r="E272" s="1052" t="s">
        <v>406</v>
      </c>
      <c r="F272" s="402" t="s">
        <v>79</v>
      </c>
      <c r="G272" s="556">
        <v>92.788533333333305</v>
      </c>
      <c r="H272" s="556">
        <v>20.207213888799998</v>
      </c>
      <c r="I272" s="560" t="s">
        <v>44</v>
      </c>
      <c r="J272" s="560" t="s">
        <v>34</v>
      </c>
      <c r="K272" s="604" t="s">
        <v>640</v>
      </c>
      <c r="L272" s="428">
        <v>400</v>
      </c>
      <c r="M272" s="428">
        <v>2115</v>
      </c>
      <c r="N272" s="570">
        <v>2115</v>
      </c>
      <c r="O272" s="328" t="s">
        <v>983</v>
      </c>
      <c r="P272" s="1183" t="str">
        <f t="shared" si="181"/>
        <v>3. Large</v>
      </c>
      <c r="Q272" s="1184" t="s">
        <v>305</v>
      </c>
      <c r="R272" s="625" t="s">
        <v>56</v>
      </c>
      <c r="S272" s="1185" t="s">
        <v>56</v>
      </c>
      <c r="T272" s="560" t="str">
        <f t="shared" si="182"/>
        <v>Covered</v>
      </c>
      <c r="U272" s="561">
        <v>42551</v>
      </c>
      <c r="V272" s="618"/>
      <c r="W272" s="558" t="s">
        <v>152</v>
      </c>
      <c r="X272" s="328">
        <v>0</v>
      </c>
      <c r="Y272" s="428">
        <v>0</v>
      </c>
      <c r="Z272" s="570" t="s">
        <v>43</v>
      </c>
      <c r="AA272" s="328">
        <v>0</v>
      </c>
      <c r="AB272" s="428">
        <v>20</v>
      </c>
      <c r="AC272" s="428">
        <v>0</v>
      </c>
      <c r="AD272" s="428">
        <v>0</v>
      </c>
      <c r="AE272" s="570"/>
      <c r="AF272" s="329">
        <v>0</v>
      </c>
      <c r="AG272" s="330">
        <v>0.6</v>
      </c>
      <c r="AH272" s="630">
        <f t="shared" si="183"/>
        <v>1</v>
      </c>
      <c r="AI272" s="574">
        <f t="shared" si="184"/>
        <v>2115</v>
      </c>
      <c r="AJ272" s="605">
        <f t="shared" si="185"/>
        <v>1</v>
      </c>
      <c r="AK272" s="574">
        <f t="shared" si="186"/>
        <v>2115</v>
      </c>
      <c r="AL272" s="605">
        <f t="shared" si="187"/>
        <v>1</v>
      </c>
      <c r="AM272" s="574">
        <f t="shared" si="188"/>
        <v>2115</v>
      </c>
      <c r="AN272" s="605" t="str">
        <f t="shared" si="189"/>
        <v>80-100%</v>
      </c>
      <c r="AO272" s="605">
        <f t="shared" si="190"/>
        <v>0</v>
      </c>
      <c r="AP272" s="574">
        <f t="shared" si="191"/>
        <v>0</v>
      </c>
      <c r="AQ272" s="574" t="str">
        <f t="shared" si="192"/>
        <v>no</v>
      </c>
      <c r="AR272" s="574">
        <f t="shared" si="193"/>
        <v>0</v>
      </c>
      <c r="AS272" s="574">
        <f t="shared" si="194"/>
        <v>1269</v>
      </c>
      <c r="AT272" s="574">
        <f t="shared" si="195"/>
        <v>0</v>
      </c>
      <c r="AU272" s="589">
        <v>1</v>
      </c>
      <c r="AV272" s="635">
        <f t="shared" si="196"/>
        <v>2115</v>
      </c>
      <c r="AW272" s="636"/>
      <c r="AX272" s="328">
        <v>0</v>
      </c>
      <c r="AY272" s="428">
        <v>100</v>
      </c>
      <c r="AZ272" s="428">
        <v>21.15</v>
      </c>
      <c r="BA272" s="473" t="s">
        <v>973</v>
      </c>
      <c r="BB272" s="548">
        <f t="shared" si="197"/>
        <v>0.94562647754137119</v>
      </c>
      <c r="BC272" s="606">
        <f t="shared" si="198"/>
        <v>2000</v>
      </c>
      <c r="BD272" s="548">
        <f t="shared" si="199"/>
        <v>0.94562647754137119</v>
      </c>
      <c r="BE272" s="606">
        <f t="shared" si="200"/>
        <v>2000</v>
      </c>
      <c r="BF272" s="549">
        <f t="shared" si="201"/>
        <v>0</v>
      </c>
      <c r="BG272" s="606">
        <f t="shared" si="202"/>
        <v>0</v>
      </c>
      <c r="BH272" s="428" t="s">
        <v>494</v>
      </c>
      <c r="BI272" s="429">
        <v>1</v>
      </c>
      <c r="BJ272" s="606">
        <f t="shared" si="221"/>
        <v>2115</v>
      </c>
      <c r="BK272" s="606">
        <f t="shared" si="203"/>
        <v>5.75</v>
      </c>
      <c r="BL272" s="428">
        <v>0</v>
      </c>
      <c r="BM272" s="548">
        <f t="shared" si="204"/>
        <v>0</v>
      </c>
      <c r="BN272" s="606">
        <f t="shared" si="205"/>
        <v>0</v>
      </c>
      <c r="BO272" s="606">
        <f t="shared" si="206"/>
        <v>377.67857142857144</v>
      </c>
      <c r="BP272" s="578">
        <v>1</v>
      </c>
      <c r="BQ272" s="606">
        <v>2115</v>
      </c>
      <c r="BR272" s="519">
        <v>0</v>
      </c>
      <c r="BS272" s="548">
        <f t="shared" si="207"/>
        <v>0</v>
      </c>
      <c r="BT272" s="607">
        <f t="shared" si="208"/>
        <v>21.15</v>
      </c>
      <c r="BU272" s="651">
        <v>1</v>
      </c>
      <c r="BV272" s="1186">
        <f t="shared" si="179"/>
        <v>2115</v>
      </c>
      <c r="BW272" s="636" t="s">
        <v>500</v>
      </c>
      <c r="BX272" s="430">
        <v>42031</v>
      </c>
      <c r="BY272" s="1190"/>
      <c r="BZ272" s="1190"/>
      <c r="CA272" s="608">
        <f t="shared" si="209"/>
        <v>42396</v>
      </c>
      <c r="CB272" s="428">
        <v>400</v>
      </c>
      <c r="CC272" s="428">
        <v>1</v>
      </c>
      <c r="CD272" s="609">
        <f t="shared" si="210"/>
        <v>0</v>
      </c>
      <c r="CE272" s="610">
        <f t="shared" si="211"/>
        <v>1</v>
      </c>
      <c r="CF272" s="609">
        <f t="shared" si="212"/>
        <v>2115</v>
      </c>
      <c r="CG272" s="658">
        <f t="shared" si="213"/>
        <v>7</v>
      </c>
      <c r="CH272" s="328"/>
      <c r="CI272" s="330">
        <v>1</v>
      </c>
      <c r="CJ272" s="664">
        <f t="shared" si="214"/>
        <v>2115</v>
      </c>
      <c r="CK272" s="328">
        <v>40</v>
      </c>
      <c r="CL272" s="611" t="str">
        <f t="shared" si="222"/>
        <v>Excellent coverage</v>
      </c>
      <c r="CM272" s="428" t="s">
        <v>170</v>
      </c>
      <c r="CN272" s="428" t="s">
        <v>43</v>
      </c>
      <c r="CO272" s="428" t="s">
        <v>170</v>
      </c>
      <c r="CP272" s="570" t="s">
        <v>170</v>
      </c>
      <c r="CQ272" s="1170"/>
      <c r="CS272" s="1069">
        <f t="shared" si="215"/>
        <v>1</v>
      </c>
      <c r="CT272" s="1069">
        <f t="shared" si="216"/>
        <v>1</v>
      </c>
      <c r="CU272" s="1066">
        <f t="shared" si="217"/>
        <v>1</v>
      </c>
      <c r="CV272" s="1066">
        <f t="shared" si="218"/>
        <v>1</v>
      </c>
      <c r="CW272" s="1082">
        <f t="shared" si="219"/>
        <v>0</v>
      </c>
      <c r="CX272" s="1082">
        <f t="shared" si="220"/>
        <v>0</v>
      </c>
    </row>
    <row r="273" spans="1:102" s="322" customFormat="1" ht="21" customHeight="1">
      <c r="A273" s="575"/>
      <c r="B273" s="402" t="s">
        <v>75</v>
      </c>
      <c r="C273" s="603"/>
      <c r="D273" s="603"/>
      <c r="E273" s="1053">
        <v>196157</v>
      </c>
      <c r="F273" s="402" t="s">
        <v>79</v>
      </c>
      <c r="G273" s="556">
        <v>92.786352777700003</v>
      </c>
      <c r="H273" s="556">
        <v>20.208449999999999</v>
      </c>
      <c r="I273" s="560" t="s">
        <v>33</v>
      </c>
      <c r="J273" s="560" t="s">
        <v>34</v>
      </c>
      <c r="K273" s="603" t="s">
        <v>607</v>
      </c>
      <c r="L273" s="428">
        <v>0</v>
      </c>
      <c r="M273" s="428">
        <v>0</v>
      </c>
      <c r="N273" s="570">
        <v>447</v>
      </c>
      <c r="O273" s="328" t="s">
        <v>983</v>
      </c>
      <c r="P273" s="1183" t="str">
        <f t="shared" si="181"/>
        <v>1. Small</v>
      </c>
      <c r="Q273" s="1184" t="s">
        <v>305</v>
      </c>
      <c r="R273" s="625"/>
      <c r="S273" s="620" t="s">
        <v>56</v>
      </c>
      <c r="T273" s="323" t="str">
        <f t="shared" si="182"/>
        <v>Covered</v>
      </c>
      <c r="U273" s="561">
        <v>42551</v>
      </c>
      <c r="V273" s="562"/>
      <c r="W273" s="558" t="s">
        <v>152</v>
      </c>
      <c r="X273" s="328">
        <v>0</v>
      </c>
      <c r="Y273" s="428">
        <v>0</v>
      </c>
      <c r="Z273" s="570" t="s">
        <v>43</v>
      </c>
      <c r="AA273" s="328">
        <v>2</v>
      </c>
      <c r="AB273" s="428">
        <v>4</v>
      </c>
      <c r="AC273" s="428">
        <v>0</v>
      </c>
      <c r="AD273" s="428">
        <v>0</v>
      </c>
      <c r="AE273" s="570"/>
      <c r="AF273" s="329">
        <v>0</v>
      </c>
      <c r="AG273" s="330">
        <v>0</v>
      </c>
      <c r="AH273" s="630">
        <f t="shared" si="183"/>
        <v>1</v>
      </c>
      <c r="AI273" s="574">
        <f t="shared" si="184"/>
        <v>447</v>
      </c>
      <c r="AJ273" s="605">
        <f t="shared" si="185"/>
        <v>1</v>
      </c>
      <c r="AK273" s="574">
        <f t="shared" si="186"/>
        <v>447</v>
      </c>
      <c r="AL273" s="605">
        <f t="shared" si="187"/>
        <v>1</v>
      </c>
      <c r="AM273" s="574">
        <f t="shared" si="188"/>
        <v>447</v>
      </c>
      <c r="AN273" s="605" t="str">
        <f t="shared" si="189"/>
        <v>80-100%</v>
      </c>
      <c r="AO273" s="605">
        <f t="shared" si="190"/>
        <v>0</v>
      </c>
      <c r="AP273" s="574">
        <f t="shared" si="191"/>
        <v>0</v>
      </c>
      <c r="AQ273" s="574" t="str">
        <f t="shared" si="192"/>
        <v>no</v>
      </c>
      <c r="AR273" s="574">
        <f t="shared" si="193"/>
        <v>0</v>
      </c>
      <c r="AS273" s="574">
        <f t="shared" si="194"/>
        <v>0</v>
      </c>
      <c r="AT273" s="574">
        <f t="shared" si="195"/>
        <v>0</v>
      </c>
      <c r="AU273" s="589">
        <v>1</v>
      </c>
      <c r="AV273" s="635">
        <f t="shared" si="196"/>
        <v>447</v>
      </c>
      <c r="AW273" s="636"/>
      <c r="AX273" s="740">
        <v>0</v>
      </c>
      <c r="AY273" s="428">
        <v>72</v>
      </c>
      <c r="AZ273" s="428">
        <v>6.208333333333333</v>
      </c>
      <c r="BA273" s="473" t="s">
        <v>961</v>
      </c>
      <c r="BB273" s="548">
        <f t="shared" si="197"/>
        <v>1</v>
      </c>
      <c r="BC273" s="606">
        <f t="shared" si="198"/>
        <v>447</v>
      </c>
      <c r="BD273" s="548">
        <f t="shared" si="199"/>
        <v>1</v>
      </c>
      <c r="BE273" s="606">
        <f t="shared" si="200"/>
        <v>447</v>
      </c>
      <c r="BF273" s="549">
        <f t="shared" si="201"/>
        <v>0</v>
      </c>
      <c r="BG273" s="606">
        <f t="shared" si="202"/>
        <v>0</v>
      </c>
      <c r="BH273" s="428" t="s">
        <v>475</v>
      </c>
      <c r="BI273" s="429">
        <v>1</v>
      </c>
      <c r="BJ273" s="606">
        <f t="shared" si="221"/>
        <v>447</v>
      </c>
      <c r="BK273" s="606" t="str">
        <f t="shared" si="203"/>
        <v>n/a</v>
      </c>
      <c r="BL273" s="428" t="s">
        <v>475</v>
      </c>
      <c r="BM273" s="548" t="str">
        <f t="shared" si="204"/>
        <v>n/a</v>
      </c>
      <c r="BN273" s="606" t="str">
        <f t="shared" si="205"/>
        <v>n/a</v>
      </c>
      <c r="BO273" s="606" t="str">
        <f t="shared" si="206"/>
        <v>n/a</v>
      </c>
      <c r="BP273" s="578">
        <v>1</v>
      </c>
      <c r="BQ273" s="606" t="s">
        <v>475</v>
      </c>
      <c r="BR273" s="519" t="s">
        <v>475</v>
      </c>
      <c r="BS273" s="548" t="str">
        <f t="shared" si="207"/>
        <v>n/a</v>
      </c>
      <c r="BT273" s="607" t="str">
        <f t="shared" si="208"/>
        <v>n/a</v>
      </c>
      <c r="BU273" s="651" t="s">
        <v>475</v>
      </c>
      <c r="BV273" s="1186" t="str">
        <f t="shared" ref="BV273:BV289" si="223">IF(I273="Village","n/a",BU273*N273)</f>
        <v>n/a</v>
      </c>
      <c r="BW273" s="636" t="s">
        <v>567</v>
      </c>
      <c r="BX273" s="470" t="s">
        <v>475</v>
      </c>
      <c r="BY273" s="1192"/>
      <c r="BZ273" s="1192"/>
      <c r="CA273" s="608" t="str">
        <f t="shared" si="209"/>
        <v>n/a</v>
      </c>
      <c r="CB273" s="428"/>
      <c r="CC273" s="428"/>
      <c r="CD273" s="609" t="str">
        <f t="shared" si="210"/>
        <v>n/a</v>
      </c>
      <c r="CE273" s="610" t="str">
        <f t="shared" si="211"/>
        <v>n/a</v>
      </c>
      <c r="CF273" s="609" t="str">
        <f t="shared" si="212"/>
        <v>n/a</v>
      </c>
      <c r="CG273" s="658" t="str">
        <f t="shared" si="213"/>
        <v>n/a</v>
      </c>
      <c r="CH273" s="328"/>
      <c r="CI273" s="330">
        <v>0</v>
      </c>
      <c r="CJ273" s="664">
        <f t="shared" si="214"/>
        <v>0</v>
      </c>
      <c r="CK273" s="328">
        <v>0</v>
      </c>
      <c r="CL273" s="611" t="str">
        <f t="shared" si="222"/>
        <v>No coverage</v>
      </c>
      <c r="CM273" s="428" t="s">
        <v>38</v>
      </c>
      <c r="CN273" s="428" t="s">
        <v>475</v>
      </c>
      <c r="CO273" s="428" t="s">
        <v>38</v>
      </c>
      <c r="CP273" s="570" t="s">
        <v>38</v>
      </c>
      <c r="CQ273" s="1170"/>
      <c r="CS273" s="1069">
        <f t="shared" si="215"/>
        <v>1</v>
      </c>
      <c r="CT273" s="1069">
        <f t="shared" si="216"/>
        <v>1</v>
      </c>
      <c r="CU273" s="1066">
        <f t="shared" si="217"/>
        <v>1</v>
      </c>
      <c r="CV273" s="1066">
        <f t="shared" si="218"/>
        <v>1</v>
      </c>
      <c r="CW273" s="1082">
        <f t="shared" si="219"/>
        <v>0</v>
      </c>
      <c r="CX273" s="1082">
        <f t="shared" si="220"/>
        <v>0</v>
      </c>
    </row>
    <row r="274" spans="1:102" s="322" customFormat="1" ht="21" customHeight="1">
      <c r="A274" s="575"/>
      <c r="B274" s="402" t="s">
        <v>75</v>
      </c>
      <c r="C274" s="603"/>
      <c r="D274" s="603"/>
      <c r="E274" s="1053">
        <v>196130</v>
      </c>
      <c r="F274" s="402" t="s">
        <v>675</v>
      </c>
      <c r="G274" s="556">
        <v>92.494243999999995</v>
      </c>
      <c r="H274" s="556">
        <v>20.142474</v>
      </c>
      <c r="I274" s="560" t="s">
        <v>33</v>
      </c>
      <c r="J274" s="560" t="s">
        <v>45</v>
      </c>
      <c r="K274" s="604" t="s">
        <v>455</v>
      </c>
      <c r="L274" s="428">
        <v>0</v>
      </c>
      <c r="M274" s="428">
        <v>0</v>
      </c>
      <c r="N274" s="570">
        <v>434</v>
      </c>
      <c r="O274" s="328" t="s">
        <v>983</v>
      </c>
      <c r="P274" s="1183" t="str">
        <f t="shared" si="181"/>
        <v>1. Small</v>
      </c>
      <c r="Q274" s="1184" t="s">
        <v>139</v>
      </c>
      <c r="R274" s="625"/>
      <c r="S274" s="620" t="s">
        <v>139</v>
      </c>
      <c r="T274" s="323" t="str">
        <f t="shared" si="182"/>
        <v>Not Covered</v>
      </c>
      <c r="U274" s="561"/>
      <c r="V274" s="562"/>
      <c r="W274" s="558" t="s">
        <v>152</v>
      </c>
      <c r="X274" s="328">
        <v>0</v>
      </c>
      <c r="Y274" s="428">
        <v>0</v>
      </c>
      <c r="Z274" s="570" t="s">
        <v>43</v>
      </c>
      <c r="AA274" s="328">
        <v>4</v>
      </c>
      <c r="AB274" s="428">
        <v>7</v>
      </c>
      <c r="AC274" s="428">
        <v>0</v>
      </c>
      <c r="AD274" s="428">
        <v>0</v>
      </c>
      <c r="AE274" s="570"/>
      <c r="AF274" s="329">
        <v>0</v>
      </c>
      <c r="AG274" s="330">
        <v>0</v>
      </c>
      <c r="AH274" s="630">
        <f t="shared" si="183"/>
        <v>1</v>
      </c>
      <c r="AI274" s="574">
        <f t="shared" si="184"/>
        <v>434</v>
      </c>
      <c r="AJ274" s="605">
        <f t="shared" si="185"/>
        <v>1</v>
      </c>
      <c r="AK274" s="574">
        <f t="shared" si="186"/>
        <v>434</v>
      </c>
      <c r="AL274" s="605">
        <f t="shared" si="187"/>
        <v>1</v>
      </c>
      <c r="AM274" s="574">
        <f t="shared" si="188"/>
        <v>434</v>
      </c>
      <c r="AN274" s="605" t="str">
        <f t="shared" si="189"/>
        <v>80-100%</v>
      </c>
      <c r="AO274" s="605">
        <f t="shared" si="190"/>
        <v>0</v>
      </c>
      <c r="AP274" s="574">
        <f t="shared" si="191"/>
        <v>0</v>
      </c>
      <c r="AQ274" s="574" t="str">
        <f t="shared" si="192"/>
        <v>no</v>
      </c>
      <c r="AR274" s="574">
        <f t="shared" si="193"/>
        <v>0</v>
      </c>
      <c r="AS274" s="574">
        <f t="shared" si="194"/>
        <v>0</v>
      </c>
      <c r="AT274" s="574">
        <f t="shared" si="195"/>
        <v>0</v>
      </c>
      <c r="AU274" s="589">
        <v>1</v>
      </c>
      <c r="AV274" s="635">
        <f t="shared" si="196"/>
        <v>434</v>
      </c>
      <c r="AW274" s="636"/>
      <c r="AX274" s="740">
        <v>0</v>
      </c>
      <c r="AY274" s="428">
        <v>62</v>
      </c>
      <c r="AZ274" s="428">
        <v>7</v>
      </c>
      <c r="BA274" s="473" t="s">
        <v>961</v>
      </c>
      <c r="BB274" s="548">
        <f t="shared" si="197"/>
        <v>1</v>
      </c>
      <c r="BC274" s="606">
        <f t="shared" si="198"/>
        <v>434</v>
      </c>
      <c r="BD274" s="548">
        <f t="shared" si="199"/>
        <v>1</v>
      </c>
      <c r="BE274" s="606">
        <f t="shared" si="200"/>
        <v>434</v>
      </c>
      <c r="BF274" s="549">
        <f t="shared" si="201"/>
        <v>0</v>
      </c>
      <c r="BG274" s="606">
        <f t="shared" si="202"/>
        <v>0</v>
      </c>
      <c r="BH274" s="428" t="s">
        <v>475</v>
      </c>
      <c r="BI274" s="429">
        <v>1</v>
      </c>
      <c r="BJ274" s="606">
        <f t="shared" si="221"/>
        <v>434</v>
      </c>
      <c r="BK274" s="606" t="str">
        <f t="shared" si="203"/>
        <v>n/a</v>
      </c>
      <c r="BL274" s="428" t="s">
        <v>475</v>
      </c>
      <c r="BM274" s="548" t="str">
        <f t="shared" si="204"/>
        <v>n/a</v>
      </c>
      <c r="BN274" s="606" t="str">
        <f t="shared" si="205"/>
        <v>n/a</v>
      </c>
      <c r="BO274" s="606" t="str">
        <f t="shared" si="206"/>
        <v>n/a</v>
      </c>
      <c r="BP274" s="578" t="s">
        <v>475</v>
      </c>
      <c r="BQ274" s="606" t="s">
        <v>475</v>
      </c>
      <c r="BR274" s="519" t="s">
        <v>475</v>
      </c>
      <c r="BS274" s="548" t="str">
        <f t="shared" si="207"/>
        <v>n/a</v>
      </c>
      <c r="BT274" s="607" t="str">
        <f t="shared" si="208"/>
        <v>n/a</v>
      </c>
      <c r="BU274" s="651" t="s">
        <v>475</v>
      </c>
      <c r="BV274" s="1186" t="str">
        <f t="shared" si="223"/>
        <v>n/a</v>
      </c>
      <c r="BW274" s="636" t="s">
        <v>567</v>
      </c>
      <c r="BX274" s="470" t="s">
        <v>475</v>
      </c>
      <c r="BY274" s="1192"/>
      <c r="BZ274" s="1192"/>
      <c r="CA274" s="608" t="str">
        <f t="shared" si="209"/>
        <v>n/a</v>
      </c>
      <c r="CB274" s="428"/>
      <c r="CC274" s="428"/>
      <c r="CD274" s="609" t="str">
        <f t="shared" si="210"/>
        <v>n/a</v>
      </c>
      <c r="CE274" s="610" t="str">
        <f t="shared" si="211"/>
        <v>n/a</v>
      </c>
      <c r="CF274" s="609" t="str">
        <f t="shared" si="212"/>
        <v>n/a</v>
      </c>
      <c r="CG274" s="658" t="str">
        <f t="shared" si="213"/>
        <v>n/a</v>
      </c>
      <c r="CH274" s="328"/>
      <c r="CI274" s="330"/>
      <c r="CJ274" s="664">
        <f t="shared" si="214"/>
        <v>0</v>
      </c>
      <c r="CK274" s="328"/>
      <c r="CL274" s="611" t="str">
        <f t="shared" si="222"/>
        <v>No coverage</v>
      </c>
      <c r="CM274" s="428"/>
      <c r="CN274" s="428"/>
      <c r="CO274" s="428"/>
      <c r="CP274" s="570"/>
      <c r="CQ274" s="666"/>
      <c r="CS274" s="1069">
        <f t="shared" si="215"/>
        <v>1</v>
      </c>
      <c r="CT274" s="1069">
        <f t="shared" si="216"/>
        <v>1</v>
      </c>
      <c r="CU274" s="1066">
        <f t="shared" si="217"/>
        <v>1</v>
      </c>
      <c r="CV274" s="1066">
        <f t="shared" si="218"/>
        <v>1</v>
      </c>
      <c r="CW274" s="1082">
        <f t="shared" si="219"/>
        <v>0</v>
      </c>
      <c r="CX274" s="1082">
        <f t="shared" si="220"/>
        <v>0</v>
      </c>
    </row>
    <row r="275" spans="1:102" s="322" customFormat="1" ht="21" customHeight="1">
      <c r="A275" s="575"/>
      <c r="B275" s="402" t="s">
        <v>75</v>
      </c>
      <c r="C275" s="603"/>
      <c r="D275" s="603"/>
      <c r="E275" s="1053">
        <v>196130</v>
      </c>
      <c r="F275" s="402" t="s">
        <v>676</v>
      </c>
      <c r="G275" s="556">
        <v>92.500101999999998</v>
      </c>
      <c r="H275" s="556">
        <v>20.141264</v>
      </c>
      <c r="I275" s="560" t="s">
        <v>33</v>
      </c>
      <c r="J275" s="560" t="s">
        <v>45</v>
      </c>
      <c r="K275" s="603" t="s">
        <v>455</v>
      </c>
      <c r="L275" s="428">
        <v>0</v>
      </c>
      <c r="M275" s="428">
        <v>0</v>
      </c>
      <c r="N275" s="570">
        <v>351</v>
      </c>
      <c r="O275" s="328" t="s">
        <v>983</v>
      </c>
      <c r="P275" s="1183" t="str">
        <f t="shared" si="181"/>
        <v>1. Small</v>
      </c>
      <c r="Q275" s="1184" t="s">
        <v>139</v>
      </c>
      <c r="R275" s="625"/>
      <c r="S275" s="620" t="s">
        <v>139</v>
      </c>
      <c r="T275" s="323" t="str">
        <f t="shared" si="182"/>
        <v>Not Covered</v>
      </c>
      <c r="U275" s="561"/>
      <c r="V275" s="562"/>
      <c r="W275" s="558" t="s">
        <v>152</v>
      </c>
      <c r="X275" s="328">
        <v>0</v>
      </c>
      <c r="Y275" s="428">
        <v>0</v>
      </c>
      <c r="Z275" s="570" t="s">
        <v>43</v>
      </c>
      <c r="AA275" s="328">
        <v>5</v>
      </c>
      <c r="AB275" s="428">
        <v>3</v>
      </c>
      <c r="AC275" s="428">
        <v>0</v>
      </c>
      <c r="AD275" s="428">
        <v>0</v>
      </c>
      <c r="AE275" s="570"/>
      <c r="AF275" s="329">
        <v>0</v>
      </c>
      <c r="AG275" s="330">
        <v>0</v>
      </c>
      <c r="AH275" s="630">
        <f t="shared" si="183"/>
        <v>1</v>
      </c>
      <c r="AI275" s="574">
        <f t="shared" si="184"/>
        <v>351</v>
      </c>
      <c r="AJ275" s="605">
        <f t="shared" si="185"/>
        <v>1</v>
      </c>
      <c r="AK275" s="574">
        <f t="shared" si="186"/>
        <v>351</v>
      </c>
      <c r="AL275" s="605">
        <f t="shared" si="187"/>
        <v>1</v>
      </c>
      <c r="AM275" s="574">
        <f t="shared" si="188"/>
        <v>351</v>
      </c>
      <c r="AN275" s="605" t="str">
        <f t="shared" si="189"/>
        <v>80-100%</v>
      </c>
      <c r="AO275" s="605">
        <f t="shared" si="190"/>
        <v>0</v>
      </c>
      <c r="AP275" s="574">
        <f t="shared" si="191"/>
        <v>0</v>
      </c>
      <c r="AQ275" s="574" t="str">
        <f t="shared" si="192"/>
        <v>no</v>
      </c>
      <c r="AR275" s="574">
        <f t="shared" si="193"/>
        <v>0</v>
      </c>
      <c r="AS275" s="574">
        <f t="shared" si="194"/>
        <v>0</v>
      </c>
      <c r="AT275" s="574">
        <f t="shared" si="195"/>
        <v>0</v>
      </c>
      <c r="AU275" s="589">
        <v>1</v>
      </c>
      <c r="AV275" s="635">
        <f t="shared" si="196"/>
        <v>351</v>
      </c>
      <c r="AW275" s="636"/>
      <c r="AX275" s="740">
        <v>0</v>
      </c>
      <c r="AY275" s="428">
        <v>87</v>
      </c>
      <c r="AZ275" s="428">
        <v>4.0344827586206895</v>
      </c>
      <c r="BA275" s="473" t="s">
        <v>961</v>
      </c>
      <c r="BB275" s="548">
        <f t="shared" si="197"/>
        <v>1</v>
      </c>
      <c r="BC275" s="606">
        <f t="shared" si="198"/>
        <v>351</v>
      </c>
      <c r="BD275" s="548">
        <f t="shared" si="199"/>
        <v>1</v>
      </c>
      <c r="BE275" s="606">
        <f t="shared" si="200"/>
        <v>351</v>
      </c>
      <c r="BF275" s="549">
        <f t="shared" si="201"/>
        <v>0</v>
      </c>
      <c r="BG275" s="606">
        <f t="shared" si="202"/>
        <v>0</v>
      </c>
      <c r="BH275" s="428" t="s">
        <v>475</v>
      </c>
      <c r="BI275" s="429">
        <v>1</v>
      </c>
      <c r="BJ275" s="606">
        <f t="shared" si="221"/>
        <v>351</v>
      </c>
      <c r="BK275" s="606" t="str">
        <f t="shared" si="203"/>
        <v>n/a</v>
      </c>
      <c r="BL275" s="428" t="s">
        <v>475</v>
      </c>
      <c r="BM275" s="548" t="str">
        <f t="shared" si="204"/>
        <v>n/a</v>
      </c>
      <c r="BN275" s="606" t="str">
        <f t="shared" si="205"/>
        <v>n/a</v>
      </c>
      <c r="BO275" s="606" t="str">
        <f t="shared" si="206"/>
        <v>n/a</v>
      </c>
      <c r="BP275" s="578" t="s">
        <v>475</v>
      </c>
      <c r="BQ275" s="606" t="s">
        <v>475</v>
      </c>
      <c r="BR275" s="519" t="s">
        <v>475</v>
      </c>
      <c r="BS275" s="548" t="str">
        <f t="shared" si="207"/>
        <v>n/a</v>
      </c>
      <c r="BT275" s="607" t="str">
        <f t="shared" si="208"/>
        <v>n/a</v>
      </c>
      <c r="BU275" s="651" t="s">
        <v>475</v>
      </c>
      <c r="BV275" s="1186" t="str">
        <f t="shared" si="223"/>
        <v>n/a</v>
      </c>
      <c r="BW275" s="636" t="s">
        <v>567</v>
      </c>
      <c r="BX275" s="470" t="s">
        <v>475</v>
      </c>
      <c r="BY275" s="1192"/>
      <c r="BZ275" s="1192"/>
      <c r="CA275" s="608" t="str">
        <f t="shared" si="209"/>
        <v>n/a</v>
      </c>
      <c r="CB275" s="428"/>
      <c r="CC275" s="428"/>
      <c r="CD275" s="609" t="str">
        <f t="shared" si="210"/>
        <v>n/a</v>
      </c>
      <c r="CE275" s="610" t="str">
        <f t="shared" si="211"/>
        <v>n/a</v>
      </c>
      <c r="CF275" s="609" t="str">
        <f t="shared" si="212"/>
        <v>n/a</v>
      </c>
      <c r="CG275" s="658" t="str">
        <f t="shared" si="213"/>
        <v>n/a</v>
      </c>
      <c r="CH275" s="328"/>
      <c r="CI275" s="330"/>
      <c r="CJ275" s="664">
        <f t="shared" si="214"/>
        <v>0</v>
      </c>
      <c r="CK275" s="328"/>
      <c r="CL275" s="611" t="str">
        <f t="shared" si="222"/>
        <v>No coverage</v>
      </c>
      <c r="CM275" s="428"/>
      <c r="CN275" s="428"/>
      <c r="CO275" s="428"/>
      <c r="CP275" s="570"/>
      <c r="CQ275" s="666"/>
      <c r="CS275" s="1069">
        <f t="shared" si="215"/>
        <v>1</v>
      </c>
      <c r="CT275" s="1069">
        <f t="shared" si="216"/>
        <v>1</v>
      </c>
      <c r="CU275" s="1066">
        <f t="shared" si="217"/>
        <v>1</v>
      </c>
      <c r="CV275" s="1066">
        <f t="shared" si="218"/>
        <v>1</v>
      </c>
      <c r="CW275" s="1082">
        <f t="shared" si="219"/>
        <v>0</v>
      </c>
      <c r="CX275" s="1082">
        <f t="shared" si="220"/>
        <v>0</v>
      </c>
    </row>
    <row r="276" spans="1:102" s="322" customFormat="1" ht="21" customHeight="1">
      <c r="A276" s="575"/>
      <c r="B276" s="721" t="s">
        <v>75</v>
      </c>
      <c r="C276" s="604"/>
      <c r="D276" s="604"/>
      <c r="E276" s="1054" t="s">
        <v>405</v>
      </c>
      <c r="F276" s="721" t="s">
        <v>424</v>
      </c>
      <c r="G276" s="722">
        <v>92.887277999999995</v>
      </c>
      <c r="H276" s="722">
        <v>20.151471999999998</v>
      </c>
      <c r="I276" s="595" t="s">
        <v>44</v>
      </c>
      <c r="J276" s="595" t="s">
        <v>45</v>
      </c>
      <c r="K276" s="604" t="s">
        <v>640</v>
      </c>
      <c r="L276" s="585">
        <v>249</v>
      </c>
      <c r="M276" s="585">
        <v>1282</v>
      </c>
      <c r="N276" s="723">
        <v>1282</v>
      </c>
      <c r="O276" s="328" t="s">
        <v>983</v>
      </c>
      <c r="P276" s="719" t="str">
        <f t="shared" si="181"/>
        <v>2. Medium</v>
      </c>
      <c r="Q276" s="967" t="s">
        <v>283</v>
      </c>
      <c r="R276" s="624" t="s">
        <v>52</v>
      </c>
      <c r="S276" s="621" t="s">
        <v>39</v>
      </c>
      <c r="T276" s="323" t="str">
        <f t="shared" si="182"/>
        <v>Covered</v>
      </c>
      <c r="U276" s="581">
        <v>42369</v>
      </c>
      <c r="V276" s="582"/>
      <c r="W276" s="558" t="s">
        <v>152</v>
      </c>
      <c r="X276" s="597">
        <v>0</v>
      </c>
      <c r="Y276" s="585">
        <v>0</v>
      </c>
      <c r="Z276" s="598" t="s">
        <v>43</v>
      </c>
      <c r="AA276" s="597">
        <v>0</v>
      </c>
      <c r="AB276" s="585">
        <v>0</v>
      </c>
      <c r="AC276" s="585">
        <v>32.31660301714286</v>
      </c>
      <c r="AD276" s="585">
        <v>1</v>
      </c>
      <c r="AE276" s="598"/>
      <c r="AF276" s="583">
        <v>0</v>
      </c>
      <c r="AG276" s="584">
        <v>1</v>
      </c>
      <c r="AH276" s="630">
        <f t="shared" si="183"/>
        <v>1</v>
      </c>
      <c r="AI276" s="574">
        <f t="shared" si="184"/>
        <v>1282</v>
      </c>
      <c r="AJ276" s="605">
        <f t="shared" si="185"/>
        <v>1</v>
      </c>
      <c r="AK276" s="574">
        <f t="shared" si="186"/>
        <v>1282</v>
      </c>
      <c r="AL276" s="631">
        <f t="shared" si="187"/>
        <v>1</v>
      </c>
      <c r="AM276" s="574">
        <f t="shared" si="188"/>
        <v>1282</v>
      </c>
      <c r="AN276" s="605" t="str">
        <f t="shared" si="189"/>
        <v>80-100%</v>
      </c>
      <c r="AO276" s="631">
        <f t="shared" si="190"/>
        <v>0</v>
      </c>
      <c r="AP276" s="574">
        <f t="shared" si="191"/>
        <v>0</v>
      </c>
      <c r="AQ276" s="574" t="str">
        <f t="shared" si="192"/>
        <v>yes</v>
      </c>
      <c r="AR276" s="574">
        <f t="shared" si="193"/>
        <v>3.2050000000000001</v>
      </c>
      <c r="AS276" s="574">
        <f t="shared" si="194"/>
        <v>1282</v>
      </c>
      <c r="AT276" s="574">
        <f t="shared" si="195"/>
        <v>0</v>
      </c>
      <c r="AU276" s="589">
        <v>1</v>
      </c>
      <c r="AV276" s="635">
        <f t="shared" si="196"/>
        <v>1282</v>
      </c>
      <c r="AW276" s="637"/>
      <c r="AX276" s="1079">
        <v>0</v>
      </c>
      <c r="AY276" s="580">
        <v>249</v>
      </c>
      <c r="AZ276" s="428">
        <v>20</v>
      </c>
      <c r="BA276" s="473" t="s">
        <v>964</v>
      </c>
      <c r="BB276" s="548">
        <f t="shared" si="197"/>
        <v>1</v>
      </c>
      <c r="BC276" s="606">
        <f t="shared" si="198"/>
        <v>1282</v>
      </c>
      <c r="BD276" s="548">
        <f t="shared" si="199"/>
        <v>1</v>
      </c>
      <c r="BE276" s="606">
        <f t="shared" si="200"/>
        <v>1282</v>
      </c>
      <c r="BF276" s="646">
        <f t="shared" si="201"/>
        <v>0</v>
      </c>
      <c r="BG276" s="606">
        <f t="shared" si="202"/>
        <v>0</v>
      </c>
      <c r="BH276" s="580" t="s">
        <v>491</v>
      </c>
      <c r="BI276" s="587">
        <v>1</v>
      </c>
      <c r="BJ276" s="606">
        <f t="shared" si="221"/>
        <v>1282</v>
      </c>
      <c r="BK276" s="596">
        <f t="shared" si="203"/>
        <v>0</v>
      </c>
      <c r="BL276" s="580">
        <v>0</v>
      </c>
      <c r="BM276" s="645">
        <f t="shared" si="204"/>
        <v>0</v>
      </c>
      <c r="BN276" s="606">
        <f t="shared" si="205"/>
        <v>0</v>
      </c>
      <c r="BO276" s="596">
        <f t="shared" si="206"/>
        <v>228.92857142857144</v>
      </c>
      <c r="BP276" s="647">
        <v>0</v>
      </c>
      <c r="BQ276" s="606">
        <v>0</v>
      </c>
      <c r="BR276" s="593">
        <v>0</v>
      </c>
      <c r="BS276" s="645">
        <f t="shared" si="207"/>
        <v>0</v>
      </c>
      <c r="BT276" s="648">
        <f t="shared" si="208"/>
        <v>12.82</v>
      </c>
      <c r="BU276" s="652">
        <v>0</v>
      </c>
      <c r="BV276" s="1186">
        <f t="shared" si="223"/>
        <v>0</v>
      </c>
      <c r="BW276" s="637" t="s">
        <v>1162</v>
      </c>
      <c r="BX276" s="588"/>
      <c r="BY276" s="1191"/>
      <c r="BZ276" s="1191"/>
      <c r="CA276" s="659" t="str">
        <f t="shared" si="209"/>
        <v>To be done</v>
      </c>
      <c r="CB276" s="580">
        <v>0</v>
      </c>
      <c r="CC276" s="580">
        <v>3</v>
      </c>
      <c r="CD276" s="660">
        <f t="shared" si="210"/>
        <v>249</v>
      </c>
      <c r="CE276" s="661">
        <f t="shared" si="211"/>
        <v>0</v>
      </c>
      <c r="CF276" s="609">
        <f t="shared" si="212"/>
        <v>0</v>
      </c>
      <c r="CG276" s="662">
        <f t="shared" si="213"/>
        <v>3</v>
      </c>
      <c r="CH276" s="579" t="s">
        <v>1169</v>
      </c>
      <c r="CI276" s="330">
        <v>1</v>
      </c>
      <c r="CJ276" s="664">
        <f t="shared" si="214"/>
        <v>1282</v>
      </c>
      <c r="CK276" s="579">
        <v>26</v>
      </c>
      <c r="CL276" s="674" t="s">
        <v>670</v>
      </c>
      <c r="CM276" s="580" t="s">
        <v>170</v>
      </c>
      <c r="CN276" s="580" t="s">
        <v>43</v>
      </c>
      <c r="CO276" s="580" t="s">
        <v>170</v>
      </c>
      <c r="CP276" s="590" t="s">
        <v>170</v>
      </c>
      <c r="CQ276" s="667" t="s">
        <v>1170</v>
      </c>
      <c r="CS276" s="1069">
        <f t="shared" si="215"/>
        <v>1</v>
      </c>
      <c r="CT276" s="1069">
        <f t="shared" si="216"/>
        <v>1</v>
      </c>
      <c r="CU276" s="1066">
        <f t="shared" si="217"/>
        <v>1</v>
      </c>
      <c r="CV276" s="1066">
        <f t="shared" si="218"/>
        <v>1</v>
      </c>
      <c r="CW276" s="1082">
        <f t="shared" si="219"/>
        <v>3.2050000000000001</v>
      </c>
      <c r="CX276" s="1082">
        <f t="shared" si="220"/>
        <v>5.1280000000000001</v>
      </c>
    </row>
    <row r="277" spans="1:102" s="322" customFormat="1" ht="21" customHeight="1">
      <c r="A277" s="594"/>
      <c r="B277" s="402" t="s">
        <v>75</v>
      </c>
      <c r="C277" s="603"/>
      <c r="D277" s="603"/>
      <c r="E277" s="1052" t="s">
        <v>457</v>
      </c>
      <c r="F277" s="402" t="s">
        <v>425</v>
      </c>
      <c r="G277" s="556">
        <v>92.887277999999995</v>
      </c>
      <c r="H277" s="556">
        <v>20.151471999999998</v>
      </c>
      <c r="I277" s="560" t="s">
        <v>44</v>
      </c>
      <c r="J277" s="560" t="s">
        <v>45</v>
      </c>
      <c r="K277" s="604" t="s">
        <v>640</v>
      </c>
      <c r="L277" s="428">
        <v>418</v>
      </c>
      <c r="M277" s="428">
        <v>2200</v>
      </c>
      <c r="N277" s="570">
        <v>2200</v>
      </c>
      <c r="O277" s="328" t="s">
        <v>984</v>
      </c>
      <c r="P277" s="718" t="str">
        <f t="shared" si="181"/>
        <v>3. Large</v>
      </c>
      <c r="Q277" s="965" t="s">
        <v>323</v>
      </c>
      <c r="R277" s="623" t="s">
        <v>83</v>
      </c>
      <c r="S277" s="620" t="s">
        <v>71</v>
      </c>
      <c r="T277" s="323" t="str">
        <f t="shared" si="182"/>
        <v>Covered</v>
      </c>
      <c r="U277" s="561">
        <v>42460</v>
      </c>
      <c r="V277" s="562"/>
      <c r="W277" s="558" t="s">
        <v>152</v>
      </c>
      <c r="X277" s="328">
        <v>0</v>
      </c>
      <c r="Y277" s="428">
        <v>0</v>
      </c>
      <c r="Z277" s="570" t="s">
        <v>43</v>
      </c>
      <c r="AA277" s="328">
        <v>0</v>
      </c>
      <c r="AB277" s="428">
        <v>0</v>
      </c>
      <c r="AC277" s="428">
        <v>16.5</v>
      </c>
      <c r="AD277" s="428">
        <v>1</v>
      </c>
      <c r="AE277" s="570"/>
      <c r="AF277" s="329">
        <v>0.7</v>
      </c>
      <c r="AG277" s="330">
        <v>1</v>
      </c>
      <c r="AH277" s="630">
        <f t="shared" si="183"/>
        <v>0.5</v>
      </c>
      <c r="AI277" s="574">
        <f t="shared" si="184"/>
        <v>1100</v>
      </c>
      <c r="AJ277" s="605">
        <f t="shared" si="185"/>
        <v>0.5</v>
      </c>
      <c r="AK277" s="574">
        <f t="shared" si="186"/>
        <v>1100</v>
      </c>
      <c r="AL277" s="605">
        <f t="shared" si="187"/>
        <v>1</v>
      </c>
      <c r="AM277" s="574">
        <f t="shared" si="188"/>
        <v>2200</v>
      </c>
      <c r="AN277" s="605" t="str">
        <f t="shared" si="189"/>
        <v>45-60%</v>
      </c>
      <c r="AO277" s="605">
        <f t="shared" si="190"/>
        <v>0</v>
      </c>
      <c r="AP277" s="574">
        <f t="shared" si="191"/>
        <v>0</v>
      </c>
      <c r="AQ277" s="574" t="str">
        <f t="shared" si="192"/>
        <v>yes</v>
      </c>
      <c r="AR277" s="574">
        <f t="shared" si="193"/>
        <v>5.5</v>
      </c>
      <c r="AS277" s="574">
        <f t="shared" si="194"/>
        <v>2200</v>
      </c>
      <c r="AT277" s="574">
        <f t="shared" si="195"/>
        <v>1540</v>
      </c>
      <c r="AU277" s="589">
        <v>1</v>
      </c>
      <c r="AV277" s="635">
        <f t="shared" si="196"/>
        <v>2200</v>
      </c>
      <c r="AW277" s="636"/>
      <c r="AX277" s="740">
        <v>0</v>
      </c>
      <c r="AY277" s="428">
        <v>420</v>
      </c>
      <c r="AZ277" s="428">
        <v>20</v>
      </c>
      <c r="BA277" s="473" t="s">
        <v>964</v>
      </c>
      <c r="BB277" s="548">
        <f t="shared" si="197"/>
        <v>1</v>
      </c>
      <c r="BC277" s="606">
        <f t="shared" si="198"/>
        <v>2200</v>
      </c>
      <c r="BD277" s="548">
        <f t="shared" si="199"/>
        <v>1</v>
      </c>
      <c r="BE277" s="606">
        <f t="shared" si="200"/>
        <v>2200</v>
      </c>
      <c r="BF277" s="549">
        <f t="shared" si="201"/>
        <v>0</v>
      </c>
      <c r="BG277" s="606">
        <f t="shared" si="202"/>
        <v>0</v>
      </c>
      <c r="BH277" s="429" t="s">
        <v>493</v>
      </c>
      <c r="BI277" s="429">
        <v>1</v>
      </c>
      <c r="BJ277" s="606">
        <f t="shared" si="221"/>
        <v>2200</v>
      </c>
      <c r="BK277" s="606">
        <f t="shared" si="203"/>
        <v>0</v>
      </c>
      <c r="BL277" s="428">
        <v>420</v>
      </c>
      <c r="BM277" s="548">
        <f t="shared" si="204"/>
        <v>1</v>
      </c>
      <c r="BN277" s="606">
        <f t="shared" si="205"/>
        <v>2200</v>
      </c>
      <c r="BO277" s="606">
        <f t="shared" si="206"/>
        <v>0</v>
      </c>
      <c r="BP277" s="578">
        <v>1</v>
      </c>
      <c r="BQ277" s="606">
        <v>0</v>
      </c>
      <c r="BR277" s="519">
        <v>420</v>
      </c>
      <c r="BS277" s="548">
        <f t="shared" si="207"/>
        <v>1</v>
      </c>
      <c r="BT277" s="607">
        <f t="shared" si="208"/>
        <v>0</v>
      </c>
      <c r="BU277" s="651">
        <v>1</v>
      </c>
      <c r="BV277" s="1186">
        <f t="shared" si="223"/>
        <v>2200</v>
      </c>
      <c r="BW277" s="636" t="s">
        <v>1164</v>
      </c>
      <c r="BX277" s="430">
        <v>42271</v>
      </c>
      <c r="BY277" s="1190"/>
      <c r="BZ277" s="1190"/>
      <c r="CA277" s="608">
        <f t="shared" si="209"/>
        <v>42636</v>
      </c>
      <c r="CB277" s="428">
        <v>419</v>
      </c>
      <c r="CC277" s="428">
        <v>15</v>
      </c>
      <c r="CD277" s="609">
        <f t="shared" si="210"/>
        <v>0</v>
      </c>
      <c r="CE277" s="610">
        <f t="shared" si="211"/>
        <v>1</v>
      </c>
      <c r="CF277" s="609">
        <f t="shared" si="212"/>
        <v>2200</v>
      </c>
      <c r="CG277" s="658">
        <f t="shared" si="213"/>
        <v>0</v>
      </c>
      <c r="CH277" s="328" t="s">
        <v>238</v>
      </c>
      <c r="CI277" s="330">
        <v>1</v>
      </c>
      <c r="CJ277" s="664">
        <f t="shared" si="214"/>
        <v>2200</v>
      </c>
      <c r="CK277" s="328">
        <v>4</v>
      </c>
      <c r="CL277" s="611" t="s">
        <v>670</v>
      </c>
      <c r="CM277" s="428" t="s">
        <v>41</v>
      </c>
      <c r="CN277" s="428" t="s">
        <v>43</v>
      </c>
      <c r="CO277" s="428" t="s">
        <v>170</v>
      </c>
      <c r="CP277" s="570" t="s">
        <v>41</v>
      </c>
      <c r="CQ277" s="666" t="s">
        <v>502</v>
      </c>
      <c r="CS277" s="1069">
        <f t="shared" si="215"/>
        <v>0.5</v>
      </c>
      <c r="CT277" s="1069">
        <f t="shared" si="216"/>
        <v>0.5</v>
      </c>
      <c r="CU277" s="1066">
        <f t="shared" si="217"/>
        <v>0.5</v>
      </c>
      <c r="CV277" s="1066">
        <f t="shared" si="218"/>
        <v>0.5</v>
      </c>
      <c r="CW277" s="1082">
        <f t="shared" si="219"/>
        <v>5.5</v>
      </c>
      <c r="CX277" s="1082">
        <f t="shared" si="220"/>
        <v>8.8000000000000007</v>
      </c>
    </row>
    <row r="278" spans="1:102" s="322" customFormat="1" ht="21" customHeight="1">
      <c r="A278" s="575"/>
      <c r="B278" s="402" t="s">
        <v>75</v>
      </c>
      <c r="C278" s="603"/>
      <c r="D278" s="603"/>
      <c r="E278" s="1052" t="s">
        <v>406</v>
      </c>
      <c r="F278" s="402" t="s">
        <v>407</v>
      </c>
      <c r="G278" s="556">
        <v>92.792479999999998</v>
      </c>
      <c r="H278" s="556">
        <v>20.202525000000001</v>
      </c>
      <c r="I278" s="560" t="s">
        <v>44</v>
      </c>
      <c r="J278" s="560" t="s">
        <v>34</v>
      </c>
      <c r="K278" s="604" t="s">
        <v>640</v>
      </c>
      <c r="L278" s="428">
        <v>2436</v>
      </c>
      <c r="M278" s="428">
        <v>12178</v>
      </c>
      <c r="N278" s="570">
        <v>12178</v>
      </c>
      <c r="O278" s="328" t="s">
        <v>984</v>
      </c>
      <c r="P278" s="718" t="str">
        <f t="shared" si="181"/>
        <v>5. Massive</v>
      </c>
      <c r="Q278" s="965" t="s">
        <v>323</v>
      </c>
      <c r="R278" s="623" t="s">
        <v>56</v>
      </c>
      <c r="S278" s="620" t="s">
        <v>71</v>
      </c>
      <c r="T278" s="323" t="str">
        <f t="shared" si="182"/>
        <v>Covered</v>
      </c>
      <c r="U278" s="561">
        <v>42460</v>
      </c>
      <c r="V278" s="562"/>
      <c r="W278" s="558" t="s">
        <v>152</v>
      </c>
      <c r="X278" s="328">
        <v>0</v>
      </c>
      <c r="Y278" s="428">
        <v>0</v>
      </c>
      <c r="Z278" s="570" t="s">
        <v>43</v>
      </c>
      <c r="AA278" s="328">
        <v>0</v>
      </c>
      <c r="AB278" s="428">
        <v>223</v>
      </c>
      <c r="AC278" s="428">
        <v>0</v>
      </c>
      <c r="AD278" s="428">
        <v>0</v>
      </c>
      <c r="AE278" s="570"/>
      <c r="AF278" s="329">
        <v>1</v>
      </c>
      <c r="AG278" s="330">
        <v>0.89</v>
      </c>
      <c r="AH278" s="630">
        <f t="shared" si="183"/>
        <v>1</v>
      </c>
      <c r="AI278" s="574">
        <f t="shared" si="184"/>
        <v>12178</v>
      </c>
      <c r="AJ278" s="605">
        <f t="shared" si="185"/>
        <v>1</v>
      </c>
      <c r="AK278" s="574">
        <f t="shared" si="186"/>
        <v>12178</v>
      </c>
      <c r="AL278" s="605">
        <f t="shared" si="187"/>
        <v>1</v>
      </c>
      <c r="AM278" s="574">
        <f t="shared" si="188"/>
        <v>12178</v>
      </c>
      <c r="AN278" s="605" t="str">
        <f t="shared" si="189"/>
        <v>80-100%</v>
      </c>
      <c r="AO278" s="605">
        <f t="shared" si="190"/>
        <v>0</v>
      </c>
      <c r="AP278" s="574">
        <f t="shared" si="191"/>
        <v>0</v>
      </c>
      <c r="AQ278" s="574" t="str">
        <f t="shared" si="192"/>
        <v>no</v>
      </c>
      <c r="AR278" s="574">
        <f t="shared" si="193"/>
        <v>0</v>
      </c>
      <c r="AS278" s="574">
        <f t="shared" si="194"/>
        <v>10838.42</v>
      </c>
      <c r="AT278" s="574">
        <f t="shared" si="195"/>
        <v>12178</v>
      </c>
      <c r="AU278" s="589">
        <v>1</v>
      </c>
      <c r="AV278" s="635">
        <f t="shared" si="196"/>
        <v>12178</v>
      </c>
      <c r="AW278" s="636"/>
      <c r="AX278" s="740">
        <v>0</v>
      </c>
      <c r="AY278" s="428">
        <v>495</v>
      </c>
      <c r="AZ278" s="428">
        <v>20</v>
      </c>
      <c r="BA278" s="473" t="s">
        <v>962</v>
      </c>
      <c r="BB278" s="548">
        <f t="shared" si="197"/>
        <v>0.81294136968303499</v>
      </c>
      <c r="BC278" s="606">
        <f t="shared" si="198"/>
        <v>9900</v>
      </c>
      <c r="BD278" s="548">
        <f t="shared" si="199"/>
        <v>0.81294136968303499</v>
      </c>
      <c r="BE278" s="606">
        <f t="shared" si="200"/>
        <v>9900</v>
      </c>
      <c r="BF278" s="549">
        <f t="shared" si="201"/>
        <v>0</v>
      </c>
      <c r="BG278" s="606">
        <f t="shared" si="202"/>
        <v>0</v>
      </c>
      <c r="BH278" s="429" t="s">
        <v>494</v>
      </c>
      <c r="BI278" s="429">
        <v>1</v>
      </c>
      <c r="BJ278" s="606">
        <f t="shared" si="221"/>
        <v>12178</v>
      </c>
      <c r="BK278" s="606">
        <f t="shared" si="203"/>
        <v>113.89999999999998</v>
      </c>
      <c r="BL278" s="428">
        <v>974</v>
      </c>
      <c r="BM278" s="548">
        <f t="shared" si="204"/>
        <v>0.44788963705041873</v>
      </c>
      <c r="BN278" s="606">
        <f t="shared" si="205"/>
        <v>5454.4</v>
      </c>
      <c r="BO278" s="606">
        <f t="shared" si="206"/>
        <v>1200.6428571428573</v>
      </c>
      <c r="BP278" s="578">
        <v>1</v>
      </c>
      <c r="BQ278" s="606">
        <v>5151.152860802732</v>
      </c>
      <c r="BR278" s="519">
        <v>2280</v>
      </c>
      <c r="BS278" s="548">
        <f t="shared" si="207"/>
        <v>1</v>
      </c>
      <c r="BT278" s="607">
        <f t="shared" si="208"/>
        <v>0</v>
      </c>
      <c r="BU278" s="651">
        <v>1</v>
      </c>
      <c r="BV278" s="650">
        <f t="shared" si="223"/>
        <v>12178</v>
      </c>
      <c r="BW278" s="325" t="s">
        <v>1165</v>
      </c>
      <c r="BX278" s="430">
        <v>42271</v>
      </c>
      <c r="BY278" s="1190"/>
      <c r="BZ278" s="1190"/>
      <c r="CA278" s="608">
        <f t="shared" si="209"/>
        <v>42636</v>
      </c>
      <c r="CB278" s="428">
        <v>2280</v>
      </c>
      <c r="CC278" s="428">
        <v>15</v>
      </c>
      <c r="CD278" s="609">
        <f t="shared" si="210"/>
        <v>156</v>
      </c>
      <c r="CE278" s="610">
        <f t="shared" si="211"/>
        <v>0.93596059113300489</v>
      </c>
      <c r="CF278" s="609">
        <f t="shared" si="212"/>
        <v>11398.128078817734</v>
      </c>
      <c r="CG278" s="658">
        <f t="shared" si="213"/>
        <v>0</v>
      </c>
      <c r="CH278" s="328" t="s">
        <v>238</v>
      </c>
      <c r="CI278" s="330">
        <v>1</v>
      </c>
      <c r="CJ278" s="664">
        <f t="shared" si="214"/>
        <v>12178</v>
      </c>
      <c r="CK278" s="328">
        <v>27</v>
      </c>
      <c r="CL278" s="611" t="s">
        <v>670</v>
      </c>
      <c r="CM278" s="428" t="s">
        <v>41</v>
      </c>
      <c r="CN278" s="428" t="s">
        <v>35</v>
      </c>
      <c r="CO278" s="428" t="s">
        <v>170</v>
      </c>
      <c r="CP278" s="570" t="s">
        <v>170</v>
      </c>
      <c r="CQ278" s="666" t="s">
        <v>503</v>
      </c>
      <c r="CS278" s="1069">
        <f t="shared" si="215"/>
        <v>1</v>
      </c>
      <c r="CT278" s="1069">
        <f t="shared" si="216"/>
        <v>1</v>
      </c>
      <c r="CU278" s="1066">
        <f t="shared" si="217"/>
        <v>1</v>
      </c>
      <c r="CV278" s="1066">
        <f t="shared" si="218"/>
        <v>1</v>
      </c>
      <c r="CW278" s="1082">
        <f t="shared" si="219"/>
        <v>0</v>
      </c>
      <c r="CX278" s="1082">
        <f t="shared" si="220"/>
        <v>0</v>
      </c>
    </row>
    <row r="279" spans="1:102" s="322" customFormat="1" ht="21" customHeight="1">
      <c r="A279" s="575"/>
      <c r="B279" s="402" t="s">
        <v>75</v>
      </c>
      <c r="C279" s="603"/>
      <c r="D279" s="603"/>
      <c r="E279" s="1053">
        <v>196154</v>
      </c>
      <c r="F279" s="402" t="s">
        <v>407</v>
      </c>
      <c r="G279" s="556">
        <v>92.796599999999998</v>
      </c>
      <c r="H279" s="556">
        <v>20.201499999999999</v>
      </c>
      <c r="I279" s="560" t="s">
        <v>33</v>
      </c>
      <c r="J279" s="560" t="s">
        <v>34</v>
      </c>
      <c r="K279" s="604" t="s">
        <v>508</v>
      </c>
      <c r="L279" s="428">
        <v>0</v>
      </c>
      <c r="M279" s="428">
        <v>0</v>
      </c>
      <c r="N279" s="570">
        <v>1214</v>
      </c>
      <c r="O279" s="328" t="s">
        <v>983</v>
      </c>
      <c r="P279" s="718" t="str">
        <f t="shared" si="181"/>
        <v>3. Large</v>
      </c>
      <c r="Q279" s="965" t="s">
        <v>323</v>
      </c>
      <c r="R279" s="623"/>
      <c r="S279" s="620" t="s">
        <v>71</v>
      </c>
      <c r="T279" s="323" t="str">
        <f t="shared" si="182"/>
        <v>Covered</v>
      </c>
      <c r="U279" s="561">
        <v>42460</v>
      </c>
      <c r="V279" s="562"/>
      <c r="W279" s="558" t="s">
        <v>152</v>
      </c>
      <c r="X279" s="328">
        <v>0</v>
      </c>
      <c r="Y279" s="428">
        <v>0</v>
      </c>
      <c r="Z279" s="570" t="s">
        <v>475</v>
      </c>
      <c r="AA279" s="328">
        <v>4</v>
      </c>
      <c r="AB279" s="428">
        <v>35</v>
      </c>
      <c r="AC279" s="428">
        <v>0</v>
      </c>
      <c r="AD279" s="428">
        <v>3</v>
      </c>
      <c r="AE279" s="570"/>
      <c r="AF279" s="329">
        <v>0.7</v>
      </c>
      <c r="AG279" s="330">
        <v>1</v>
      </c>
      <c r="AH279" s="630">
        <f t="shared" si="183"/>
        <v>1</v>
      </c>
      <c r="AI279" s="574">
        <f t="shared" si="184"/>
        <v>1214</v>
      </c>
      <c r="AJ279" s="605">
        <f t="shared" si="185"/>
        <v>1</v>
      </c>
      <c r="AK279" s="574">
        <f t="shared" si="186"/>
        <v>1214</v>
      </c>
      <c r="AL279" s="605">
        <f t="shared" si="187"/>
        <v>1</v>
      </c>
      <c r="AM279" s="574">
        <f t="shared" si="188"/>
        <v>1214</v>
      </c>
      <c r="AN279" s="605" t="str">
        <f t="shared" si="189"/>
        <v>80-100%</v>
      </c>
      <c r="AO279" s="605">
        <f t="shared" si="190"/>
        <v>0</v>
      </c>
      <c r="AP279" s="574">
        <f t="shared" si="191"/>
        <v>0</v>
      </c>
      <c r="AQ279" s="574" t="str">
        <f t="shared" si="192"/>
        <v>yes</v>
      </c>
      <c r="AR279" s="574">
        <f t="shared" si="193"/>
        <v>0</v>
      </c>
      <c r="AS279" s="574">
        <f t="shared" si="194"/>
        <v>1214</v>
      </c>
      <c r="AT279" s="574">
        <f t="shared" si="195"/>
        <v>849.8</v>
      </c>
      <c r="AU279" s="589">
        <v>1</v>
      </c>
      <c r="AV279" s="635">
        <f t="shared" si="196"/>
        <v>1214</v>
      </c>
      <c r="AW279" s="636"/>
      <c r="AX279" s="740">
        <v>0</v>
      </c>
      <c r="AY279" s="428">
        <v>44</v>
      </c>
      <c r="AZ279" s="428">
        <v>6</v>
      </c>
      <c r="BA279" s="473" t="s">
        <v>963</v>
      </c>
      <c r="BB279" s="548">
        <f t="shared" si="197"/>
        <v>0.21746293245469522</v>
      </c>
      <c r="BC279" s="606">
        <f t="shared" si="198"/>
        <v>264</v>
      </c>
      <c r="BD279" s="548">
        <f t="shared" si="199"/>
        <v>0.21746293245469522</v>
      </c>
      <c r="BE279" s="606">
        <f t="shared" si="200"/>
        <v>264</v>
      </c>
      <c r="BF279" s="549">
        <f t="shared" si="201"/>
        <v>0</v>
      </c>
      <c r="BG279" s="606">
        <f t="shared" si="202"/>
        <v>0</v>
      </c>
      <c r="BH279" s="578" t="s">
        <v>494</v>
      </c>
      <c r="BI279" s="429">
        <v>1</v>
      </c>
      <c r="BJ279" s="606">
        <f t="shared" si="221"/>
        <v>1214</v>
      </c>
      <c r="BK279" s="606" t="str">
        <f t="shared" si="203"/>
        <v>n/a</v>
      </c>
      <c r="BL279" s="428" t="s">
        <v>475</v>
      </c>
      <c r="BM279" s="548" t="str">
        <f t="shared" si="204"/>
        <v>n/a</v>
      </c>
      <c r="BN279" s="606" t="str">
        <f t="shared" si="205"/>
        <v>n/a</v>
      </c>
      <c r="BO279" s="606" t="str">
        <f t="shared" si="206"/>
        <v>n/a</v>
      </c>
      <c r="BP279" s="578" t="s">
        <v>475</v>
      </c>
      <c r="BQ279" s="606" t="s">
        <v>475</v>
      </c>
      <c r="BR279" s="519">
        <v>235</v>
      </c>
      <c r="BS279" s="548" t="str">
        <f t="shared" si="207"/>
        <v>n/a</v>
      </c>
      <c r="BT279" s="607" t="str">
        <f t="shared" si="208"/>
        <v>n/a</v>
      </c>
      <c r="BU279" s="651">
        <v>1</v>
      </c>
      <c r="BV279" s="650" t="str">
        <f t="shared" si="223"/>
        <v>n/a</v>
      </c>
      <c r="BW279" s="325" t="s">
        <v>1167</v>
      </c>
      <c r="BX279" s="430">
        <v>42271</v>
      </c>
      <c r="BY279" s="1190"/>
      <c r="BZ279" s="1190"/>
      <c r="CA279" s="608" t="str">
        <f t="shared" si="209"/>
        <v>n/a</v>
      </c>
      <c r="CB279" s="428" t="s">
        <v>475</v>
      </c>
      <c r="CC279" s="428" t="s">
        <v>475</v>
      </c>
      <c r="CD279" s="609" t="str">
        <f t="shared" si="210"/>
        <v>n/a</v>
      </c>
      <c r="CE279" s="610" t="str">
        <f t="shared" si="211"/>
        <v>n/a</v>
      </c>
      <c r="CF279" s="609" t="str">
        <f t="shared" si="212"/>
        <v>n/a</v>
      </c>
      <c r="CG279" s="658" t="str">
        <f t="shared" si="213"/>
        <v>n/a</v>
      </c>
      <c r="CH279" s="328" t="s">
        <v>475</v>
      </c>
      <c r="CI279" s="330">
        <v>1</v>
      </c>
      <c r="CJ279" s="664">
        <f t="shared" si="214"/>
        <v>1214</v>
      </c>
      <c r="CK279" s="328">
        <v>2</v>
      </c>
      <c r="CL279" s="611" t="s">
        <v>668</v>
      </c>
      <c r="CM279" s="428" t="s">
        <v>41</v>
      </c>
      <c r="CN279" s="428" t="s">
        <v>43</v>
      </c>
      <c r="CO279" s="428" t="s">
        <v>169</v>
      </c>
      <c r="CP279" s="570" t="s">
        <v>38</v>
      </c>
      <c r="CQ279" s="666"/>
      <c r="CS279" s="1069">
        <f t="shared" si="215"/>
        <v>1</v>
      </c>
      <c r="CT279" s="1069">
        <f t="shared" si="216"/>
        <v>1</v>
      </c>
      <c r="CU279" s="1066">
        <f t="shared" si="217"/>
        <v>1</v>
      </c>
      <c r="CV279" s="1066">
        <f t="shared" si="218"/>
        <v>1</v>
      </c>
      <c r="CW279" s="1082">
        <f t="shared" si="219"/>
        <v>0</v>
      </c>
      <c r="CX279" s="1082">
        <f t="shared" si="220"/>
        <v>0</v>
      </c>
    </row>
    <row r="280" spans="1:102" s="322" customFormat="1" ht="21" customHeight="1">
      <c r="A280" s="575"/>
      <c r="B280" s="402" t="s">
        <v>75</v>
      </c>
      <c r="C280" s="603"/>
      <c r="D280" s="603"/>
      <c r="E280" s="1053">
        <v>196155</v>
      </c>
      <c r="F280" s="402" t="s">
        <v>734</v>
      </c>
      <c r="G280" s="556">
        <v>92.808199999999999</v>
      </c>
      <c r="H280" s="556">
        <v>20.191700000000001</v>
      </c>
      <c r="I280" s="560" t="s">
        <v>33</v>
      </c>
      <c r="J280" s="560" t="s">
        <v>34</v>
      </c>
      <c r="K280" s="604" t="s">
        <v>508</v>
      </c>
      <c r="L280" s="428">
        <v>0</v>
      </c>
      <c r="M280" s="428">
        <v>0</v>
      </c>
      <c r="N280" s="570">
        <v>480</v>
      </c>
      <c r="O280" s="328" t="s">
        <v>983</v>
      </c>
      <c r="P280" s="718" t="str">
        <f t="shared" si="181"/>
        <v>1. Small</v>
      </c>
      <c r="Q280" s="965" t="s">
        <v>323</v>
      </c>
      <c r="R280" s="623"/>
      <c r="S280" s="620" t="s">
        <v>71</v>
      </c>
      <c r="T280" s="323" t="str">
        <f t="shared" si="182"/>
        <v>Covered</v>
      </c>
      <c r="U280" s="561">
        <v>42460</v>
      </c>
      <c r="V280" s="562"/>
      <c r="W280" s="558" t="s">
        <v>152</v>
      </c>
      <c r="X280" s="328">
        <v>0</v>
      </c>
      <c r="Y280" s="428">
        <v>0</v>
      </c>
      <c r="Z280" s="570" t="s">
        <v>475</v>
      </c>
      <c r="AA280" s="328">
        <v>12</v>
      </c>
      <c r="AB280" s="428">
        <v>21</v>
      </c>
      <c r="AC280" s="428">
        <v>0</v>
      </c>
      <c r="AD280" s="428">
        <v>0</v>
      </c>
      <c r="AE280" s="570"/>
      <c r="AF280" s="329">
        <v>0.5</v>
      </c>
      <c r="AG280" s="330">
        <v>1</v>
      </c>
      <c r="AH280" s="630">
        <f t="shared" si="183"/>
        <v>1</v>
      </c>
      <c r="AI280" s="574">
        <f t="shared" si="184"/>
        <v>480</v>
      </c>
      <c r="AJ280" s="605">
        <f t="shared" si="185"/>
        <v>1</v>
      </c>
      <c r="AK280" s="574">
        <f t="shared" si="186"/>
        <v>480</v>
      </c>
      <c r="AL280" s="605">
        <f t="shared" si="187"/>
        <v>1</v>
      </c>
      <c r="AM280" s="574">
        <f t="shared" si="188"/>
        <v>480</v>
      </c>
      <c r="AN280" s="605" t="str">
        <f t="shared" si="189"/>
        <v>80-100%</v>
      </c>
      <c r="AO280" s="605">
        <f t="shared" si="190"/>
        <v>0</v>
      </c>
      <c r="AP280" s="574">
        <f t="shared" si="191"/>
        <v>0</v>
      </c>
      <c r="AQ280" s="574" t="str">
        <f t="shared" si="192"/>
        <v>no</v>
      </c>
      <c r="AR280" s="574">
        <f t="shared" si="193"/>
        <v>0</v>
      </c>
      <c r="AS280" s="574">
        <f t="shared" si="194"/>
        <v>480</v>
      </c>
      <c r="AT280" s="574">
        <f t="shared" si="195"/>
        <v>240</v>
      </c>
      <c r="AU280" s="589">
        <v>1</v>
      </c>
      <c r="AV280" s="635">
        <f t="shared" si="196"/>
        <v>480</v>
      </c>
      <c r="AW280" s="636"/>
      <c r="AX280" s="740">
        <v>0</v>
      </c>
      <c r="AY280" s="428">
        <v>36</v>
      </c>
      <c r="AZ280" s="428">
        <v>6</v>
      </c>
      <c r="BA280" s="473" t="s">
        <v>963</v>
      </c>
      <c r="BB280" s="548">
        <f t="shared" si="197"/>
        <v>0.45</v>
      </c>
      <c r="BC280" s="606">
        <f t="shared" si="198"/>
        <v>216</v>
      </c>
      <c r="BD280" s="548">
        <f t="shared" si="199"/>
        <v>0.45</v>
      </c>
      <c r="BE280" s="606">
        <f t="shared" si="200"/>
        <v>216</v>
      </c>
      <c r="BF280" s="549">
        <f t="shared" si="201"/>
        <v>0</v>
      </c>
      <c r="BG280" s="606">
        <f t="shared" si="202"/>
        <v>0</v>
      </c>
      <c r="BH280" s="578" t="s">
        <v>491</v>
      </c>
      <c r="BI280" s="429">
        <v>0.6</v>
      </c>
      <c r="BJ280" s="606">
        <f t="shared" si="221"/>
        <v>288</v>
      </c>
      <c r="BK280" s="606" t="str">
        <f t="shared" si="203"/>
        <v>n/a</v>
      </c>
      <c r="BL280" s="428" t="s">
        <v>475</v>
      </c>
      <c r="BM280" s="548" t="str">
        <f t="shared" si="204"/>
        <v>n/a</v>
      </c>
      <c r="BN280" s="606" t="str">
        <f t="shared" si="205"/>
        <v>n/a</v>
      </c>
      <c r="BO280" s="606" t="str">
        <f t="shared" si="206"/>
        <v>n/a</v>
      </c>
      <c r="BP280" s="578" t="s">
        <v>475</v>
      </c>
      <c r="BQ280" s="606" t="s">
        <v>475</v>
      </c>
      <c r="BR280" s="519">
        <v>92</v>
      </c>
      <c r="BS280" s="548" t="str">
        <f t="shared" si="207"/>
        <v>n/a</v>
      </c>
      <c r="BT280" s="607" t="str">
        <f t="shared" si="208"/>
        <v>n/a</v>
      </c>
      <c r="BU280" s="651">
        <v>1</v>
      </c>
      <c r="BV280" s="650" t="str">
        <f t="shared" si="223"/>
        <v>n/a</v>
      </c>
      <c r="BW280" s="325" t="s">
        <v>1168</v>
      </c>
      <c r="BX280" s="430">
        <v>42271</v>
      </c>
      <c r="BY280" s="1190"/>
      <c r="BZ280" s="1190"/>
      <c r="CA280" s="608" t="str">
        <f t="shared" si="209"/>
        <v>n/a</v>
      </c>
      <c r="CB280" s="428" t="s">
        <v>475</v>
      </c>
      <c r="CC280" s="428" t="s">
        <v>475</v>
      </c>
      <c r="CD280" s="609" t="str">
        <f t="shared" si="210"/>
        <v>n/a</v>
      </c>
      <c r="CE280" s="610" t="str">
        <f t="shared" si="211"/>
        <v>n/a</v>
      </c>
      <c r="CF280" s="609" t="str">
        <f t="shared" si="212"/>
        <v>n/a</v>
      </c>
      <c r="CG280" s="658" t="str">
        <f t="shared" si="213"/>
        <v>n/a</v>
      </c>
      <c r="CH280" s="328" t="s">
        <v>475</v>
      </c>
      <c r="CI280" s="330">
        <v>1</v>
      </c>
      <c r="CJ280" s="664">
        <f t="shared" si="214"/>
        <v>480</v>
      </c>
      <c r="CK280" s="328">
        <v>2</v>
      </c>
      <c r="CL280" s="611" t="s">
        <v>670</v>
      </c>
      <c r="CM280" s="428" t="s">
        <v>41</v>
      </c>
      <c r="CN280" s="428" t="s">
        <v>43</v>
      </c>
      <c r="CO280" s="428" t="s">
        <v>169</v>
      </c>
      <c r="CP280" s="570" t="s">
        <v>38</v>
      </c>
      <c r="CQ280" s="668"/>
      <c r="CS280" s="1069">
        <f t="shared" si="215"/>
        <v>1</v>
      </c>
      <c r="CT280" s="1069">
        <f t="shared" si="216"/>
        <v>1</v>
      </c>
      <c r="CU280" s="1066">
        <f t="shared" si="217"/>
        <v>1</v>
      </c>
      <c r="CV280" s="1066">
        <f t="shared" si="218"/>
        <v>1</v>
      </c>
      <c r="CW280" s="1082">
        <f t="shared" si="219"/>
        <v>0</v>
      </c>
      <c r="CX280" s="1082">
        <f t="shared" si="220"/>
        <v>0</v>
      </c>
    </row>
    <row r="281" spans="1:102" s="322" customFormat="1" ht="21" customHeight="1">
      <c r="A281" s="575"/>
      <c r="B281" s="402" t="s">
        <v>75</v>
      </c>
      <c r="C281" s="603"/>
      <c r="D281" s="603"/>
      <c r="E281" s="1052" t="s">
        <v>408</v>
      </c>
      <c r="F281" s="402" t="s">
        <v>426</v>
      </c>
      <c r="G281" s="556">
        <v>92.880319999999998</v>
      </c>
      <c r="H281" s="556">
        <v>20.148584</v>
      </c>
      <c r="I281" s="560" t="s">
        <v>44</v>
      </c>
      <c r="J281" s="560" t="s">
        <v>47</v>
      </c>
      <c r="K281" s="604" t="s">
        <v>640</v>
      </c>
      <c r="L281" s="428">
        <v>72</v>
      </c>
      <c r="M281" s="428">
        <v>462</v>
      </c>
      <c r="N281" s="570">
        <v>462</v>
      </c>
      <c r="O281" s="328" t="s">
        <v>983</v>
      </c>
      <c r="P281" s="718" t="str">
        <f t="shared" si="181"/>
        <v>2. Medium</v>
      </c>
      <c r="Q281" s="965" t="s">
        <v>323</v>
      </c>
      <c r="R281" s="623" t="s">
        <v>83</v>
      </c>
      <c r="S281" s="620" t="s">
        <v>71</v>
      </c>
      <c r="T281" s="323" t="str">
        <f t="shared" si="182"/>
        <v>Covered</v>
      </c>
      <c r="U281" s="561">
        <v>42460</v>
      </c>
      <c r="V281" s="562"/>
      <c r="W281" s="558" t="s">
        <v>152</v>
      </c>
      <c r="X281" s="328">
        <v>0</v>
      </c>
      <c r="Y281" s="428">
        <v>0</v>
      </c>
      <c r="Z281" s="570" t="s">
        <v>43</v>
      </c>
      <c r="AA281" s="328">
        <v>0</v>
      </c>
      <c r="AB281" s="428">
        <v>0</v>
      </c>
      <c r="AC281" s="428">
        <v>6.4</v>
      </c>
      <c r="AD281" s="428">
        <v>1</v>
      </c>
      <c r="AE281" s="570"/>
      <c r="AF281" s="329">
        <v>0</v>
      </c>
      <c r="AG281" s="330">
        <v>1</v>
      </c>
      <c r="AH281" s="630">
        <f t="shared" si="183"/>
        <v>0.92352092352092352</v>
      </c>
      <c r="AI281" s="574">
        <f t="shared" si="184"/>
        <v>426.66666666666669</v>
      </c>
      <c r="AJ281" s="605">
        <f t="shared" si="185"/>
        <v>0.92352092352092352</v>
      </c>
      <c r="AK281" s="574">
        <f t="shared" si="186"/>
        <v>426.66666666666669</v>
      </c>
      <c r="AL281" s="605">
        <f t="shared" si="187"/>
        <v>1</v>
      </c>
      <c r="AM281" s="574">
        <f t="shared" si="188"/>
        <v>462</v>
      </c>
      <c r="AN281" s="605" t="str">
        <f t="shared" si="189"/>
        <v>80-100%</v>
      </c>
      <c r="AO281" s="605">
        <f t="shared" si="190"/>
        <v>0</v>
      </c>
      <c r="AP281" s="574">
        <f t="shared" si="191"/>
        <v>0</v>
      </c>
      <c r="AQ281" s="574" t="str">
        <f t="shared" si="192"/>
        <v>yes</v>
      </c>
      <c r="AR281" s="574">
        <f t="shared" si="193"/>
        <v>1.155</v>
      </c>
      <c r="AS281" s="574">
        <f t="shared" si="194"/>
        <v>462</v>
      </c>
      <c r="AT281" s="574">
        <f t="shared" si="195"/>
        <v>0</v>
      </c>
      <c r="AU281" s="589">
        <v>1</v>
      </c>
      <c r="AV281" s="635">
        <f t="shared" si="196"/>
        <v>462</v>
      </c>
      <c r="AW281" s="636" t="s">
        <v>411</v>
      </c>
      <c r="AX281" s="740">
        <v>0</v>
      </c>
      <c r="AY281" s="428">
        <v>72</v>
      </c>
      <c r="AZ281" s="428">
        <v>20</v>
      </c>
      <c r="BA281" s="473" t="s">
        <v>973</v>
      </c>
      <c r="BB281" s="548">
        <f t="shared" si="197"/>
        <v>1</v>
      </c>
      <c r="BC281" s="606">
        <f t="shared" si="198"/>
        <v>462</v>
      </c>
      <c r="BD281" s="548">
        <f t="shared" si="199"/>
        <v>1</v>
      </c>
      <c r="BE281" s="606">
        <f t="shared" si="200"/>
        <v>462</v>
      </c>
      <c r="BF281" s="549">
        <f t="shared" si="201"/>
        <v>0</v>
      </c>
      <c r="BG281" s="606">
        <f t="shared" si="202"/>
        <v>0</v>
      </c>
      <c r="BH281" s="429" t="s">
        <v>494</v>
      </c>
      <c r="BI281" s="429">
        <v>1</v>
      </c>
      <c r="BJ281" s="606">
        <f t="shared" si="221"/>
        <v>462</v>
      </c>
      <c r="BK281" s="606">
        <f t="shared" si="203"/>
        <v>0</v>
      </c>
      <c r="BL281" s="428">
        <v>0</v>
      </c>
      <c r="BM281" s="548">
        <f t="shared" si="204"/>
        <v>0</v>
      </c>
      <c r="BN281" s="606">
        <f t="shared" si="205"/>
        <v>0</v>
      </c>
      <c r="BO281" s="606">
        <f t="shared" si="206"/>
        <v>82.5</v>
      </c>
      <c r="BP281" s="578">
        <v>0</v>
      </c>
      <c r="BQ281" s="606">
        <v>0</v>
      </c>
      <c r="BR281" s="519">
        <v>72</v>
      </c>
      <c r="BS281" s="548">
        <f t="shared" si="207"/>
        <v>1</v>
      </c>
      <c r="BT281" s="607">
        <f t="shared" si="208"/>
        <v>0</v>
      </c>
      <c r="BU281" s="651">
        <v>1</v>
      </c>
      <c r="BV281" s="650">
        <f t="shared" si="223"/>
        <v>462</v>
      </c>
      <c r="BW281" s="325" t="s">
        <v>1166</v>
      </c>
      <c r="BX281" s="430">
        <v>42271</v>
      </c>
      <c r="BY281" s="1190"/>
      <c r="BZ281" s="1190"/>
      <c r="CA281" s="608">
        <f t="shared" si="209"/>
        <v>42636</v>
      </c>
      <c r="CB281" s="428">
        <v>74</v>
      </c>
      <c r="CC281" s="428">
        <v>15</v>
      </c>
      <c r="CD281" s="609">
        <f t="shared" si="210"/>
        <v>0</v>
      </c>
      <c r="CE281" s="610">
        <f t="shared" si="211"/>
        <v>1</v>
      </c>
      <c r="CF281" s="609">
        <f t="shared" si="212"/>
        <v>462</v>
      </c>
      <c r="CG281" s="658">
        <f t="shared" si="213"/>
        <v>0</v>
      </c>
      <c r="CH281" s="328" t="s">
        <v>238</v>
      </c>
      <c r="CI281" s="330">
        <v>1</v>
      </c>
      <c r="CJ281" s="664">
        <f t="shared" si="214"/>
        <v>462</v>
      </c>
      <c r="CK281" s="328">
        <v>2</v>
      </c>
      <c r="CL281" s="611" t="s">
        <v>670</v>
      </c>
      <c r="CM281" s="428" t="s">
        <v>41</v>
      </c>
      <c r="CN281" s="428" t="s">
        <v>43</v>
      </c>
      <c r="CO281" s="428" t="s">
        <v>169</v>
      </c>
      <c r="CP281" s="570" t="s">
        <v>41</v>
      </c>
      <c r="CQ281" s="666" t="s">
        <v>504</v>
      </c>
      <c r="CS281" s="1069">
        <f t="shared" si="215"/>
        <v>0.92352092352092352</v>
      </c>
      <c r="CT281" s="1069">
        <f t="shared" si="216"/>
        <v>0.92352092352092352</v>
      </c>
      <c r="CU281" s="1066">
        <f t="shared" si="217"/>
        <v>0.92352092352092352</v>
      </c>
      <c r="CV281" s="1066">
        <f t="shared" si="218"/>
        <v>0.92352092352092352</v>
      </c>
      <c r="CW281" s="1082">
        <f t="shared" si="219"/>
        <v>1.155</v>
      </c>
      <c r="CX281" s="1082">
        <f t="shared" si="220"/>
        <v>1.8480000000000001</v>
      </c>
    </row>
    <row r="282" spans="1:102" ht="21" customHeight="1">
      <c r="A282" s="358"/>
      <c r="B282" s="402" t="s">
        <v>75</v>
      </c>
      <c r="C282" s="603"/>
      <c r="D282" s="603"/>
      <c r="E282" s="1052" t="s">
        <v>458</v>
      </c>
      <c r="F282" s="402" t="s">
        <v>409</v>
      </c>
      <c r="G282" s="556">
        <v>92.879138999999995</v>
      </c>
      <c r="H282" s="556">
        <v>20.155805999999998</v>
      </c>
      <c r="I282" s="560" t="s">
        <v>44</v>
      </c>
      <c r="J282" s="560" t="s">
        <v>45</v>
      </c>
      <c r="K282" s="604" t="s">
        <v>640</v>
      </c>
      <c r="L282" s="428">
        <v>151</v>
      </c>
      <c r="M282" s="428">
        <v>640</v>
      </c>
      <c r="N282" s="570">
        <v>640</v>
      </c>
      <c r="O282" s="328" t="s">
        <v>983</v>
      </c>
      <c r="P282" s="718" t="str">
        <f t="shared" si="181"/>
        <v>2. Medium</v>
      </c>
      <c r="Q282" s="965" t="s">
        <v>323</v>
      </c>
      <c r="R282" s="623" t="s">
        <v>83</v>
      </c>
      <c r="S282" s="620" t="s">
        <v>71</v>
      </c>
      <c r="T282" s="323" t="str">
        <f t="shared" si="182"/>
        <v>Covered</v>
      </c>
      <c r="U282" s="561">
        <v>42460</v>
      </c>
      <c r="V282" s="562"/>
      <c r="W282" s="558" t="s">
        <v>152</v>
      </c>
      <c r="X282" s="328">
        <v>0</v>
      </c>
      <c r="Y282" s="428">
        <v>0</v>
      </c>
      <c r="Z282" s="570" t="s">
        <v>43</v>
      </c>
      <c r="AA282" s="328">
        <v>0</v>
      </c>
      <c r="AB282" s="428">
        <v>0</v>
      </c>
      <c r="AC282" s="428">
        <v>4.4000000000000004</v>
      </c>
      <c r="AD282" s="428">
        <v>1</v>
      </c>
      <c r="AE282" s="570"/>
      <c r="AF282" s="329">
        <v>1</v>
      </c>
      <c r="AG282" s="330">
        <v>1</v>
      </c>
      <c r="AH282" s="630">
        <f t="shared" si="183"/>
        <v>0.45833333333333331</v>
      </c>
      <c r="AI282" s="574">
        <f t="shared" si="184"/>
        <v>293.33333333333331</v>
      </c>
      <c r="AJ282" s="605">
        <f t="shared" si="185"/>
        <v>0.45833333333333331</v>
      </c>
      <c r="AK282" s="574">
        <f t="shared" si="186"/>
        <v>293.33333333333331</v>
      </c>
      <c r="AL282" s="605">
        <f t="shared" si="187"/>
        <v>1</v>
      </c>
      <c r="AM282" s="574">
        <f t="shared" si="188"/>
        <v>640</v>
      </c>
      <c r="AN282" s="605" t="str">
        <f t="shared" si="189"/>
        <v>45-60%</v>
      </c>
      <c r="AO282" s="605">
        <f t="shared" si="190"/>
        <v>0</v>
      </c>
      <c r="AP282" s="574">
        <f t="shared" si="191"/>
        <v>0</v>
      </c>
      <c r="AQ282" s="574" t="str">
        <f t="shared" si="192"/>
        <v>yes</v>
      </c>
      <c r="AR282" s="574">
        <f t="shared" si="193"/>
        <v>1.6</v>
      </c>
      <c r="AS282" s="574">
        <f t="shared" si="194"/>
        <v>640</v>
      </c>
      <c r="AT282" s="574">
        <f t="shared" si="195"/>
        <v>640</v>
      </c>
      <c r="AU282" s="589">
        <v>1</v>
      </c>
      <c r="AV282" s="635">
        <f t="shared" si="196"/>
        <v>640</v>
      </c>
      <c r="AW282" s="636"/>
      <c r="AX282" s="740">
        <v>0</v>
      </c>
      <c r="AY282" s="428">
        <v>104</v>
      </c>
      <c r="AZ282" s="428">
        <v>20</v>
      </c>
      <c r="BA282" s="473" t="s">
        <v>973</v>
      </c>
      <c r="BB282" s="548">
        <f t="shared" si="197"/>
        <v>1</v>
      </c>
      <c r="BC282" s="606">
        <f t="shared" si="198"/>
        <v>640</v>
      </c>
      <c r="BD282" s="548">
        <f t="shared" si="199"/>
        <v>1</v>
      </c>
      <c r="BE282" s="606">
        <f t="shared" si="200"/>
        <v>640</v>
      </c>
      <c r="BF282" s="549">
        <f t="shared" si="201"/>
        <v>0</v>
      </c>
      <c r="BG282" s="606">
        <f t="shared" si="202"/>
        <v>0</v>
      </c>
      <c r="BH282" s="429" t="s">
        <v>494</v>
      </c>
      <c r="BI282" s="429">
        <v>1</v>
      </c>
      <c r="BJ282" s="606">
        <f t="shared" si="221"/>
        <v>640</v>
      </c>
      <c r="BK282" s="606">
        <f t="shared" si="203"/>
        <v>0</v>
      </c>
      <c r="BL282" s="428">
        <v>0</v>
      </c>
      <c r="BM282" s="548">
        <f t="shared" si="204"/>
        <v>0</v>
      </c>
      <c r="BN282" s="606">
        <f t="shared" si="205"/>
        <v>0</v>
      </c>
      <c r="BO282" s="606">
        <f t="shared" si="206"/>
        <v>114.28571428571429</v>
      </c>
      <c r="BP282" s="578">
        <v>0</v>
      </c>
      <c r="BQ282" s="606">
        <v>200</v>
      </c>
      <c r="BR282" s="519">
        <v>152</v>
      </c>
      <c r="BS282" s="548">
        <f t="shared" si="207"/>
        <v>1</v>
      </c>
      <c r="BT282" s="607">
        <f t="shared" si="208"/>
        <v>0</v>
      </c>
      <c r="BU282" s="651">
        <v>1</v>
      </c>
      <c r="BV282" s="650">
        <f t="shared" si="223"/>
        <v>640</v>
      </c>
      <c r="BW282" s="325" t="s">
        <v>1166</v>
      </c>
      <c r="BX282" s="430">
        <v>42271</v>
      </c>
      <c r="BY282" s="1190"/>
      <c r="BZ282" s="1190"/>
      <c r="CA282" s="608">
        <f t="shared" si="209"/>
        <v>42636</v>
      </c>
      <c r="CB282" s="428">
        <v>174</v>
      </c>
      <c r="CC282" s="428">
        <v>15</v>
      </c>
      <c r="CD282" s="609">
        <f t="shared" si="210"/>
        <v>0</v>
      </c>
      <c r="CE282" s="610">
        <f t="shared" si="211"/>
        <v>1</v>
      </c>
      <c r="CF282" s="609">
        <f t="shared" si="212"/>
        <v>640</v>
      </c>
      <c r="CG282" s="658">
        <f t="shared" si="213"/>
        <v>0</v>
      </c>
      <c r="CH282" s="328" t="s">
        <v>238</v>
      </c>
      <c r="CI282" s="330">
        <v>1</v>
      </c>
      <c r="CJ282" s="664">
        <f t="shared" si="214"/>
        <v>640</v>
      </c>
      <c r="CK282" s="328">
        <v>2</v>
      </c>
      <c r="CL282" s="611" t="s">
        <v>670</v>
      </c>
      <c r="CM282" s="428" t="s">
        <v>41</v>
      </c>
      <c r="CN282" s="428" t="s">
        <v>43</v>
      </c>
      <c r="CO282" s="428" t="s">
        <v>169</v>
      </c>
      <c r="CP282" s="570" t="s">
        <v>41</v>
      </c>
      <c r="CQ282" s="665" t="s">
        <v>504</v>
      </c>
      <c r="CS282" s="1069">
        <f t="shared" si="215"/>
        <v>0.45833333333333331</v>
      </c>
      <c r="CT282" s="1069">
        <f t="shared" si="216"/>
        <v>0.45833333333333331</v>
      </c>
      <c r="CU282" s="1066">
        <f t="shared" si="217"/>
        <v>0.45833333333333331</v>
      </c>
      <c r="CV282" s="1066">
        <f t="shared" si="218"/>
        <v>0.45833333333333331</v>
      </c>
      <c r="CW282" s="1082">
        <f t="shared" si="219"/>
        <v>1.6</v>
      </c>
      <c r="CX282" s="1082">
        <f t="shared" si="220"/>
        <v>2.56</v>
      </c>
    </row>
    <row r="283" spans="1:102" ht="21" customHeight="1">
      <c r="A283" s="358"/>
      <c r="B283" s="402" t="s">
        <v>75</v>
      </c>
      <c r="C283" s="603"/>
      <c r="D283" s="603"/>
      <c r="E283" s="1052" t="s">
        <v>241</v>
      </c>
      <c r="F283" s="402" t="s">
        <v>80</v>
      </c>
      <c r="G283" s="556">
        <v>92.839416999999997</v>
      </c>
      <c r="H283" s="556">
        <v>20.1585</v>
      </c>
      <c r="I283" s="560" t="s">
        <v>44</v>
      </c>
      <c r="J283" s="560" t="s">
        <v>34</v>
      </c>
      <c r="K283" s="604" t="s">
        <v>640</v>
      </c>
      <c r="L283" s="428">
        <v>2145</v>
      </c>
      <c r="M283" s="428">
        <v>11663</v>
      </c>
      <c r="N283" s="570">
        <v>11663</v>
      </c>
      <c r="O283" s="328" t="s">
        <v>983</v>
      </c>
      <c r="P283" s="718" t="str">
        <f t="shared" si="181"/>
        <v>5. Massive</v>
      </c>
      <c r="Q283" s="965" t="s">
        <v>323</v>
      </c>
      <c r="R283" s="623" t="s">
        <v>83</v>
      </c>
      <c r="S283" s="620" t="s">
        <v>54</v>
      </c>
      <c r="T283" s="323" t="str">
        <f t="shared" si="182"/>
        <v>Covered</v>
      </c>
      <c r="U283" s="561">
        <v>42460</v>
      </c>
      <c r="V283" s="562" t="s">
        <v>52</v>
      </c>
      <c r="W283" s="558" t="s">
        <v>152</v>
      </c>
      <c r="X283" s="328">
        <v>0</v>
      </c>
      <c r="Y283" s="428">
        <v>0</v>
      </c>
      <c r="Z283" s="570" t="s">
        <v>43</v>
      </c>
      <c r="AA283" s="328">
        <v>0</v>
      </c>
      <c r="AB283" s="428">
        <v>49</v>
      </c>
      <c r="AC283" s="571">
        <v>0</v>
      </c>
      <c r="AD283" s="571">
        <v>0</v>
      </c>
      <c r="AE283" s="1076"/>
      <c r="AF283" s="329">
        <v>0</v>
      </c>
      <c r="AG283" s="330">
        <v>1</v>
      </c>
      <c r="AH283" s="630">
        <f t="shared" si="183"/>
        <v>1</v>
      </c>
      <c r="AI283" s="574">
        <f t="shared" si="184"/>
        <v>11663</v>
      </c>
      <c r="AJ283" s="605">
        <f t="shared" si="185"/>
        <v>1</v>
      </c>
      <c r="AK283" s="574">
        <f t="shared" si="186"/>
        <v>11663</v>
      </c>
      <c r="AL283" s="605">
        <f t="shared" si="187"/>
        <v>1</v>
      </c>
      <c r="AM283" s="574">
        <f t="shared" si="188"/>
        <v>11663</v>
      </c>
      <c r="AN283" s="605" t="str">
        <f t="shared" si="189"/>
        <v>80-100%</v>
      </c>
      <c r="AO283" s="605">
        <f t="shared" si="190"/>
        <v>0</v>
      </c>
      <c r="AP283" s="574">
        <f t="shared" si="191"/>
        <v>0</v>
      </c>
      <c r="AQ283" s="574" t="str">
        <f t="shared" si="192"/>
        <v>no</v>
      </c>
      <c r="AR283" s="574">
        <f t="shared" si="193"/>
        <v>0</v>
      </c>
      <c r="AS283" s="574">
        <f t="shared" si="194"/>
        <v>11663</v>
      </c>
      <c r="AT283" s="574">
        <f t="shared" si="195"/>
        <v>0</v>
      </c>
      <c r="AU283" s="589">
        <v>1</v>
      </c>
      <c r="AV283" s="635">
        <f t="shared" si="196"/>
        <v>11663</v>
      </c>
      <c r="AW283" s="636"/>
      <c r="AX283" s="740">
        <v>0</v>
      </c>
      <c r="AY283" s="428">
        <v>171</v>
      </c>
      <c r="AZ283" s="428">
        <v>20</v>
      </c>
      <c r="BA283" s="473" t="s">
        <v>960</v>
      </c>
      <c r="BB283" s="548">
        <f t="shared" si="197"/>
        <v>0.29323501671954044</v>
      </c>
      <c r="BC283" s="606">
        <f t="shared" si="198"/>
        <v>3420</v>
      </c>
      <c r="BD283" s="548">
        <f t="shared" si="199"/>
        <v>0.29323501671954044</v>
      </c>
      <c r="BE283" s="606">
        <f t="shared" si="200"/>
        <v>3420</v>
      </c>
      <c r="BF283" s="549">
        <f t="shared" si="201"/>
        <v>0</v>
      </c>
      <c r="BG283" s="606">
        <f t="shared" si="202"/>
        <v>0</v>
      </c>
      <c r="BH283" s="519" t="s">
        <v>475</v>
      </c>
      <c r="BI283" s="429">
        <v>0.9</v>
      </c>
      <c r="BJ283" s="606">
        <f t="shared" si="221"/>
        <v>10496.7</v>
      </c>
      <c r="BK283" s="606">
        <f t="shared" si="203"/>
        <v>412.15</v>
      </c>
      <c r="BL283" s="428">
        <v>10</v>
      </c>
      <c r="BM283" s="548">
        <f t="shared" si="204"/>
        <v>4.8015090457000772E-3</v>
      </c>
      <c r="BN283" s="606">
        <f t="shared" si="205"/>
        <v>56</v>
      </c>
      <c r="BO283" s="606">
        <f t="shared" si="206"/>
        <v>2072.6785714285716</v>
      </c>
      <c r="BP283" s="578">
        <v>0.09</v>
      </c>
      <c r="BQ283" s="606">
        <v>490.14</v>
      </c>
      <c r="BR283" s="519">
        <v>10</v>
      </c>
      <c r="BS283" s="548">
        <f t="shared" si="207"/>
        <v>8.574123295892995E-2</v>
      </c>
      <c r="BT283" s="607">
        <f t="shared" si="208"/>
        <v>106.63</v>
      </c>
      <c r="BU283" s="651">
        <v>1</v>
      </c>
      <c r="BV283" s="650">
        <f t="shared" si="223"/>
        <v>11663</v>
      </c>
      <c r="BW283" s="325"/>
      <c r="BX283" s="470">
        <v>41604</v>
      </c>
      <c r="BY283" s="1192"/>
      <c r="BZ283" s="1192"/>
      <c r="CA283" s="608" t="str">
        <f t="shared" si="209"/>
        <v>To be done</v>
      </c>
      <c r="CB283" s="428">
        <v>1000</v>
      </c>
      <c r="CC283" s="428">
        <v>1</v>
      </c>
      <c r="CD283" s="609">
        <f t="shared" si="210"/>
        <v>2145</v>
      </c>
      <c r="CE283" s="610">
        <f t="shared" si="211"/>
        <v>0</v>
      </c>
      <c r="CF283" s="609">
        <f t="shared" si="212"/>
        <v>0</v>
      </c>
      <c r="CG283" s="658">
        <f t="shared" si="213"/>
        <v>21</v>
      </c>
      <c r="CH283" s="328"/>
      <c r="CI283" s="330">
        <v>0.95</v>
      </c>
      <c r="CJ283" s="664">
        <f t="shared" si="214"/>
        <v>11079.85</v>
      </c>
      <c r="CK283" s="328" t="s">
        <v>670</v>
      </c>
      <c r="CL283" s="611" t="s">
        <v>670</v>
      </c>
      <c r="CM283" s="428" t="s">
        <v>43</v>
      </c>
      <c r="CN283" s="428" t="s">
        <v>38</v>
      </c>
      <c r="CO283" s="428" t="s">
        <v>38</v>
      </c>
      <c r="CP283" s="570"/>
      <c r="CQ283" s="666"/>
      <c r="CS283" s="1069">
        <f t="shared" si="215"/>
        <v>1</v>
      </c>
      <c r="CT283" s="1069">
        <f t="shared" si="216"/>
        <v>1</v>
      </c>
      <c r="CU283" s="1066">
        <f t="shared" si="217"/>
        <v>1</v>
      </c>
      <c r="CV283" s="1066">
        <f t="shared" si="218"/>
        <v>1</v>
      </c>
      <c r="CW283" s="1082">
        <f t="shared" si="219"/>
        <v>0</v>
      </c>
      <c r="CX283" s="1082">
        <f t="shared" si="220"/>
        <v>0</v>
      </c>
    </row>
    <row r="284" spans="1:102" ht="21" customHeight="1">
      <c r="A284" s="358"/>
      <c r="B284" s="402" t="s">
        <v>75</v>
      </c>
      <c r="C284" s="603"/>
      <c r="D284" s="603"/>
      <c r="E284" s="1053">
        <v>196210</v>
      </c>
      <c r="F284" s="402" t="s">
        <v>244</v>
      </c>
      <c r="G284" s="556">
        <v>92.847284999999999</v>
      </c>
      <c r="H284" s="556">
        <v>20.153136</v>
      </c>
      <c r="I284" s="560" t="s">
        <v>33</v>
      </c>
      <c r="J284" s="560" t="s">
        <v>45</v>
      </c>
      <c r="K284" s="603" t="s">
        <v>642</v>
      </c>
      <c r="L284" s="428">
        <v>155</v>
      </c>
      <c r="M284" s="428">
        <v>716</v>
      </c>
      <c r="N284" s="570">
        <v>716</v>
      </c>
      <c r="O284" s="328" t="s">
        <v>983</v>
      </c>
      <c r="P284" s="718" t="str">
        <f t="shared" si="181"/>
        <v>2. Medium</v>
      </c>
      <c r="Q284" s="965" t="s">
        <v>323</v>
      </c>
      <c r="R284" s="625"/>
      <c r="S284" s="620" t="s">
        <v>54</v>
      </c>
      <c r="T284" s="323" t="str">
        <f t="shared" si="182"/>
        <v>Covered</v>
      </c>
      <c r="U284" s="561">
        <v>42460</v>
      </c>
      <c r="V284" s="562" t="s">
        <v>52</v>
      </c>
      <c r="W284" s="558" t="s">
        <v>152</v>
      </c>
      <c r="X284" s="328">
        <v>0</v>
      </c>
      <c r="Y284" s="428">
        <v>0</v>
      </c>
      <c r="Z284" s="570" t="s">
        <v>43</v>
      </c>
      <c r="AA284" s="328">
        <v>0</v>
      </c>
      <c r="AB284" s="428">
        <v>49</v>
      </c>
      <c r="AC284" s="571">
        <v>0</v>
      </c>
      <c r="AD284" s="571">
        <v>0</v>
      </c>
      <c r="AE284" s="1076"/>
      <c r="AF284" s="329">
        <v>0</v>
      </c>
      <c r="AG284" s="330">
        <v>1</v>
      </c>
      <c r="AH284" s="630">
        <f t="shared" si="183"/>
        <v>1</v>
      </c>
      <c r="AI284" s="574">
        <f t="shared" si="184"/>
        <v>716</v>
      </c>
      <c r="AJ284" s="605">
        <f t="shared" si="185"/>
        <v>1</v>
      </c>
      <c r="AK284" s="574">
        <f t="shared" si="186"/>
        <v>716</v>
      </c>
      <c r="AL284" s="605">
        <f t="shared" si="187"/>
        <v>1</v>
      </c>
      <c r="AM284" s="574">
        <f t="shared" si="188"/>
        <v>716</v>
      </c>
      <c r="AN284" s="605" t="str">
        <f t="shared" si="189"/>
        <v>80-100%</v>
      </c>
      <c r="AO284" s="605">
        <f t="shared" si="190"/>
        <v>0</v>
      </c>
      <c r="AP284" s="574">
        <f t="shared" si="191"/>
        <v>0</v>
      </c>
      <c r="AQ284" s="574" t="str">
        <f t="shared" si="192"/>
        <v>no</v>
      </c>
      <c r="AR284" s="574">
        <f t="shared" si="193"/>
        <v>0</v>
      </c>
      <c r="AS284" s="574">
        <f t="shared" si="194"/>
        <v>716</v>
      </c>
      <c r="AT284" s="574">
        <f t="shared" si="195"/>
        <v>0</v>
      </c>
      <c r="AU284" s="589">
        <v>1</v>
      </c>
      <c r="AV284" s="635">
        <f t="shared" si="196"/>
        <v>716</v>
      </c>
      <c r="AW284" s="636"/>
      <c r="AX284" s="740">
        <v>0</v>
      </c>
      <c r="AY284" s="428">
        <v>50</v>
      </c>
      <c r="AZ284" s="428">
        <v>6</v>
      </c>
      <c r="BA284" s="473" t="s">
        <v>963</v>
      </c>
      <c r="BB284" s="548">
        <f t="shared" si="197"/>
        <v>0.41899441340782123</v>
      </c>
      <c r="BC284" s="606">
        <f t="shared" si="198"/>
        <v>300</v>
      </c>
      <c r="BD284" s="548">
        <f t="shared" si="199"/>
        <v>0.41899441340782123</v>
      </c>
      <c r="BE284" s="606">
        <f t="shared" si="200"/>
        <v>300</v>
      </c>
      <c r="BF284" s="549">
        <f t="shared" si="201"/>
        <v>0</v>
      </c>
      <c r="BG284" s="606">
        <f t="shared" si="202"/>
        <v>0</v>
      </c>
      <c r="BH284" s="519" t="s">
        <v>475</v>
      </c>
      <c r="BI284" s="429">
        <v>0.8</v>
      </c>
      <c r="BJ284" s="606">
        <f t="shared" si="221"/>
        <v>572.80000000000007</v>
      </c>
      <c r="BK284" s="606" t="str">
        <f t="shared" si="203"/>
        <v>n/a</v>
      </c>
      <c r="BL284" s="428" t="s">
        <v>475</v>
      </c>
      <c r="BM284" s="548" t="str">
        <f t="shared" si="204"/>
        <v>n/a</v>
      </c>
      <c r="BN284" s="606" t="str">
        <f t="shared" si="205"/>
        <v>n/a</v>
      </c>
      <c r="BO284" s="606" t="str">
        <f t="shared" si="206"/>
        <v>n/a</v>
      </c>
      <c r="BP284" s="578" t="s">
        <v>475</v>
      </c>
      <c r="BQ284" s="606" t="s">
        <v>475</v>
      </c>
      <c r="BR284" s="519" t="s">
        <v>475</v>
      </c>
      <c r="BS284" s="548" t="str">
        <f t="shared" si="207"/>
        <v>n/a</v>
      </c>
      <c r="BT284" s="607" t="str">
        <f t="shared" si="208"/>
        <v>n/a</v>
      </c>
      <c r="BU284" s="651" t="s">
        <v>475</v>
      </c>
      <c r="BV284" s="650" t="str">
        <f t="shared" si="223"/>
        <v>n/a</v>
      </c>
      <c r="BW284" s="325"/>
      <c r="BX284" s="470" t="s">
        <v>475</v>
      </c>
      <c r="BY284" s="1192"/>
      <c r="BZ284" s="1192"/>
      <c r="CA284" s="608" t="str">
        <f t="shared" si="209"/>
        <v>n/a</v>
      </c>
      <c r="CB284" s="428" t="s">
        <v>475</v>
      </c>
      <c r="CC284" s="428" t="s">
        <v>475</v>
      </c>
      <c r="CD284" s="609" t="str">
        <f t="shared" si="210"/>
        <v>n/a</v>
      </c>
      <c r="CE284" s="610" t="str">
        <f t="shared" si="211"/>
        <v>n/a</v>
      </c>
      <c r="CF284" s="609" t="str">
        <f t="shared" si="212"/>
        <v>n/a</v>
      </c>
      <c r="CG284" s="658" t="str">
        <f t="shared" si="213"/>
        <v>n/a</v>
      </c>
      <c r="CH284" s="328"/>
      <c r="CI284" s="330">
        <v>0.25</v>
      </c>
      <c r="CJ284" s="664">
        <f t="shared" si="214"/>
        <v>179</v>
      </c>
      <c r="CK284" s="328" t="s">
        <v>670</v>
      </c>
      <c r="CL284" s="611" t="s">
        <v>670</v>
      </c>
      <c r="CM284" s="428" t="s">
        <v>475</v>
      </c>
      <c r="CN284" s="428" t="s">
        <v>170</v>
      </c>
      <c r="CO284" s="428" t="s">
        <v>170</v>
      </c>
      <c r="CP284" s="570"/>
      <c r="CQ284" s="666"/>
      <c r="CS284" s="1069">
        <f t="shared" si="215"/>
        <v>1</v>
      </c>
      <c r="CT284" s="1069">
        <f t="shared" si="216"/>
        <v>1</v>
      </c>
      <c r="CU284" s="1066">
        <f t="shared" si="217"/>
        <v>1</v>
      </c>
      <c r="CV284" s="1066">
        <f t="shared" si="218"/>
        <v>1</v>
      </c>
      <c r="CW284" s="1082">
        <f t="shared" si="219"/>
        <v>0</v>
      </c>
      <c r="CX284" s="1082">
        <f t="shared" si="220"/>
        <v>0</v>
      </c>
    </row>
    <row r="285" spans="1:102" ht="21" customHeight="1">
      <c r="A285" s="358"/>
      <c r="B285" s="402" t="s">
        <v>75</v>
      </c>
      <c r="C285" s="603"/>
      <c r="D285" s="603"/>
      <c r="E285" s="1052" t="s">
        <v>240</v>
      </c>
      <c r="F285" s="402" t="s">
        <v>244</v>
      </c>
      <c r="G285" s="556">
        <v>92.837576999999996</v>
      </c>
      <c r="H285" s="556">
        <v>20.156842000000001</v>
      </c>
      <c r="I285" s="560" t="s">
        <v>33</v>
      </c>
      <c r="J285" s="560" t="s">
        <v>34</v>
      </c>
      <c r="K285" s="604" t="s">
        <v>641</v>
      </c>
      <c r="L285" s="428">
        <v>2260</v>
      </c>
      <c r="M285" s="428">
        <v>5443</v>
      </c>
      <c r="N285" s="570">
        <v>13774</v>
      </c>
      <c r="O285" s="328" t="s">
        <v>983</v>
      </c>
      <c r="P285" s="718" t="str">
        <f t="shared" si="181"/>
        <v>3. Large</v>
      </c>
      <c r="Q285" s="965" t="s">
        <v>323</v>
      </c>
      <c r="R285" s="623"/>
      <c r="S285" s="620" t="s">
        <v>54</v>
      </c>
      <c r="T285" s="323" t="str">
        <f t="shared" si="182"/>
        <v>Covered</v>
      </c>
      <c r="U285" s="561">
        <v>42460</v>
      </c>
      <c r="V285" s="562"/>
      <c r="W285" s="558" t="s">
        <v>152</v>
      </c>
      <c r="X285" s="328">
        <v>0</v>
      </c>
      <c r="Y285" s="428">
        <v>0</v>
      </c>
      <c r="Z285" s="570" t="s">
        <v>43</v>
      </c>
      <c r="AA285" s="328">
        <v>0</v>
      </c>
      <c r="AB285" s="428">
        <v>239</v>
      </c>
      <c r="AC285" s="428">
        <v>0</v>
      </c>
      <c r="AD285" s="428">
        <v>0</v>
      </c>
      <c r="AE285" s="570"/>
      <c r="AF285" s="329">
        <v>0</v>
      </c>
      <c r="AG285" s="330">
        <v>0.65</v>
      </c>
      <c r="AH285" s="630">
        <f t="shared" si="183"/>
        <v>1</v>
      </c>
      <c r="AI285" s="574">
        <f t="shared" si="184"/>
        <v>13774</v>
      </c>
      <c r="AJ285" s="605">
        <f t="shared" si="185"/>
        <v>1</v>
      </c>
      <c r="AK285" s="574">
        <f t="shared" si="186"/>
        <v>13774</v>
      </c>
      <c r="AL285" s="605">
        <f t="shared" si="187"/>
        <v>1</v>
      </c>
      <c r="AM285" s="574">
        <f t="shared" si="188"/>
        <v>13774</v>
      </c>
      <c r="AN285" s="605" t="str">
        <f t="shared" si="189"/>
        <v>80-100%</v>
      </c>
      <c r="AO285" s="605">
        <f t="shared" si="190"/>
        <v>0</v>
      </c>
      <c r="AP285" s="574">
        <f t="shared" si="191"/>
        <v>0</v>
      </c>
      <c r="AQ285" s="574" t="str">
        <f t="shared" si="192"/>
        <v>no</v>
      </c>
      <c r="AR285" s="574">
        <f t="shared" si="193"/>
        <v>0</v>
      </c>
      <c r="AS285" s="574">
        <f t="shared" si="194"/>
        <v>8953.1</v>
      </c>
      <c r="AT285" s="574">
        <f t="shared" si="195"/>
        <v>0</v>
      </c>
      <c r="AU285" s="589">
        <v>1</v>
      </c>
      <c r="AV285" s="635">
        <f t="shared" si="196"/>
        <v>13774</v>
      </c>
      <c r="AW285" s="636"/>
      <c r="AX285" s="740">
        <v>0</v>
      </c>
      <c r="AY285" s="428">
        <v>75</v>
      </c>
      <c r="AZ285" s="428">
        <v>6</v>
      </c>
      <c r="BA285" s="473" t="s">
        <v>963</v>
      </c>
      <c r="BB285" s="548">
        <f t="shared" si="197"/>
        <v>3.2670248293887032E-2</v>
      </c>
      <c r="BC285" s="606">
        <f t="shared" si="198"/>
        <v>450</v>
      </c>
      <c r="BD285" s="548">
        <f t="shared" si="199"/>
        <v>3.2670248293887032E-2</v>
      </c>
      <c r="BE285" s="606">
        <f t="shared" si="200"/>
        <v>450</v>
      </c>
      <c r="BF285" s="549">
        <f t="shared" si="201"/>
        <v>0</v>
      </c>
      <c r="BG285" s="606">
        <f t="shared" si="202"/>
        <v>0</v>
      </c>
      <c r="BH285" s="519" t="s">
        <v>475</v>
      </c>
      <c r="BI285" s="429">
        <v>0.5</v>
      </c>
      <c r="BJ285" s="606">
        <f t="shared" si="221"/>
        <v>6887</v>
      </c>
      <c r="BK285" s="606" t="str">
        <f t="shared" si="203"/>
        <v>n/a</v>
      </c>
      <c r="BL285" s="428" t="s">
        <v>475</v>
      </c>
      <c r="BM285" s="548" t="str">
        <f t="shared" si="204"/>
        <v>n/a</v>
      </c>
      <c r="BN285" s="606" t="str">
        <f t="shared" si="205"/>
        <v>n/a</v>
      </c>
      <c r="BO285" s="606" t="str">
        <f t="shared" si="206"/>
        <v>n/a</v>
      </c>
      <c r="BP285" s="578" t="s">
        <v>475</v>
      </c>
      <c r="BQ285" s="606" t="s">
        <v>475</v>
      </c>
      <c r="BR285" s="519" t="s">
        <v>475</v>
      </c>
      <c r="BS285" s="548" t="str">
        <f t="shared" si="207"/>
        <v>n/a</v>
      </c>
      <c r="BT285" s="607" t="str">
        <f t="shared" si="208"/>
        <v>n/a</v>
      </c>
      <c r="BU285" s="651" t="s">
        <v>475</v>
      </c>
      <c r="BV285" s="650" t="str">
        <f t="shared" si="223"/>
        <v>n/a</v>
      </c>
      <c r="BW285" s="325"/>
      <c r="BX285" s="470">
        <v>41579</v>
      </c>
      <c r="BY285" s="1192"/>
      <c r="BZ285" s="1192"/>
      <c r="CA285" s="608" t="str">
        <f t="shared" si="209"/>
        <v>n/a</v>
      </c>
      <c r="CB285" s="428">
        <v>1371</v>
      </c>
      <c r="CC285" s="428">
        <v>1</v>
      </c>
      <c r="CD285" s="609" t="str">
        <f t="shared" si="210"/>
        <v>n/a</v>
      </c>
      <c r="CE285" s="610" t="str">
        <f t="shared" si="211"/>
        <v>n/a</v>
      </c>
      <c r="CF285" s="609" t="str">
        <f t="shared" si="212"/>
        <v>n/a</v>
      </c>
      <c r="CG285" s="658" t="str">
        <f t="shared" si="213"/>
        <v>n/a</v>
      </c>
      <c r="CH285" s="328"/>
      <c r="CI285" s="330">
        <v>0.25</v>
      </c>
      <c r="CJ285" s="664">
        <f t="shared" si="214"/>
        <v>3443.5</v>
      </c>
      <c r="CK285" s="328" t="s">
        <v>671</v>
      </c>
      <c r="CL285" s="611" t="s">
        <v>671</v>
      </c>
      <c r="CM285" s="428" t="s">
        <v>475</v>
      </c>
      <c r="CN285" s="428" t="s">
        <v>475</v>
      </c>
      <c r="CO285" s="428" t="s">
        <v>38</v>
      </c>
      <c r="CP285" s="570"/>
      <c r="CQ285" s="666"/>
      <c r="CS285" s="1069">
        <f t="shared" si="215"/>
        <v>1</v>
      </c>
      <c r="CT285" s="1069">
        <f t="shared" si="216"/>
        <v>1</v>
      </c>
      <c r="CU285" s="1066">
        <f t="shared" si="217"/>
        <v>1</v>
      </c>
      <c r="CV285" s="1066">
        <f t="shared" si="218"/>
        <v>1</v>
      </c>
      <c r="CW285" s="1082">
        <f t="shared" si="219"/>
        <v>0</v>
      </c>
      <c r="CX285" s="1082">
        <f t="shared" si="220"/>
        <v>0</v>
      </c>
    </row>
    <row r="286" spans="1:102" ht="21" customHeight="1">
      <c r="A286" s="358"/>
      <c r="B286" s="402" t="s">
        <v>75</v>
      </c>
      <c r="C286" s="603"/>
      <c r="D286" s="603"/>
      <c r="E286" s="1052" t="s">
        <v>233</v>
      </c>
      <c r="F286" s="402" t="s">
        <v>81</v>
      </c>
      <c r="G286" s="556">
        <v>92.831879000000001</v>
      </c>
      <c r="H286" s="556">
        <v>20.179939999999998</v>
      </c>
      <c r="I286" s="560" t="s">
        <v>33</v>
      </c>
      <c r="J286" s="560" t="s">
        <v>34</v>
      </c>
      <c r="K286" s="604" t="s">
        <v>641</v>
      </c>
      <c r="L286" s="428">
        <v>496</v>
      </c>
      <c r="M286" s="428">
        <v>2942</v>
      </c>
      <c r="N286" s="570">
        <v>13367</v>
      </c>
      <c r="O286" s="328" t="s">
        <v>983</v>
      </c>
      <c r="P286" s="718" t="str">
        <f t="shared" si="181"/>
        <v>3. Large</v>
      </c>
      <c r="Q286" s="965" t="s">
        <v>323</v>
      </c>
      <c r="R286" s="623"/>
      <c r="S286" s="620" t="s">
        <v>52</v>
      </c>
      <c r="T286" s="323" t="str">
        <f t="shared" si="182"/>
        <v>Covered</v>
      </c>
      <c r="U286" s="561">
        <v>42460</v>
      </c>
      <c r="V286" s="562"/>
      <c r="W286" s="558" t="s">
        <v>152</v>
      </c>
      <c r="X286" s="328">
        <v>0</v>
      </c>
      <c r="Y286" s="428">
        <v>0</v>
      </c>
      <c r="Z286" s="570" t="s">
        <v>43</v>
      </c>
      <c r="AA286" s="328">
        <v>5</v>
      </c>
      <c r="AB286" s="428">
        <v>55</v>
      </c>
      <c r="AC286" s="428">
        <v>0</v>
      </c>
      <c r="AD286" s="428">
        <v>3</v>
      </c>
      <c r="AE286" s="570"/>
      <c r="AF286" s="329">
        <v>0</v>
      </c>
      <c r="AG286" s="330">
        <v>1</v>
      </c>
      <c r="AH286" s="630">
        <f t="shared" si="183"/>
        <v>1</v>
      </c>
      <c r="AI286" s="574">
        <f t="shared" si="184"/>
        <v>13367</v>
      </c>
      <c r="AJ286" s="605">
        <f t="shared" si="185"/>
        <v>1</v>
      </c>
      <c r="AK286" s="574">
        <f t="shared" si="186"/>
        <v>13367</v>
      </c>
      <c r="AL286" s="605">
        <f t="shared" si="187"/>
        <v>1</v>
      </c>
      <c r="AM286" s="574">
        <f t="shared" si="188"/>
        <v>13367</v>
      </c>
      <c r="AN286" s="605" t="str">
        <f t="shared" si="189"/>
        <v>80-100%</v>
      </c>
      <c r="AO286" s="605">
        <f t="shared" si="190"/>
        <v>0</v>
      </c>
      <c r="AP286" s="574">
        <f t="shared" si="191"/>
        <v>0</v>
      </c>
      <c r="AQ286" s="574" t="str">
        <f t="shared" si="192"/>
        <v>yes</v>
      </c>
      <c r="AR286" s="574">
        <f t="shared" si="193"/>
        <v>0</v>
      </c>
      <c r="AS286" s="574">
        <f t="shared" si="194"/>
        <v>13367</v>
      </c>
      <c r="AT286" s="574">
        <f t="shared" si="195"/>
        <v>0</v>
      </c>
      <c r="AU286" s="589">
        <v>1</v>
      </c>
      <c r="AV286" s="635">
        <f t="shared" si="196"/>
        <v>13367</v>
      </c>
      <c r="AW286" s="636"/>
      <c r="AX286" s="740">
        <v>0</v>
      </c>
      <c r="AY286" s="428">
        <v>400</v>
      </c>
      <c r="AZ286" s="428">
        <v>20.067499999999999</v>
      </c>
      <c r="BA286" s="473" t="s">
        <v>963</v>
      </c>
      <c r="BB286" s="548">
        <f t="shared" si="197"/>
        <v>0.60050871549337925</v>
      </c>
      <c r="BC286" s="606">
        <f t="shared" si="198"/>
        <v>8027.0000000000009</v>
      </c>
      <c r="BD286" s="548">
        <f t="shared" si="199"/>
        <v>0.60050871549337925</v>
      </c>
      <c r="BE286" s="606">
        <f t="shared" si="200"/>
        <v>8027.0000000000009</v>
      </c>
      <c r="BF286" s="549">
        <f t="shared" si="201"/>
        <v>0</v>
      </c>
      <c r="BG286" s="606">
        <f t="shared" si="202"/>
        <v>0</v>
      </c>
      <c r="BH286" s="428" t="s">
        <v>475</v>
      </c>
      <c r="BI286" s="429">
        <v>0.6</v>
      </c>
      <c r="BJ286" s="606">
        <f t="shared" si="221"/>
        <v>8020.2</v>
      </c>
      <c r="BK286" s="606" t="str">
        <f t="shared" si="203"/>
        <v>n/a</v>
      </c>
      <c r="BL286" s="428">
        <v>420</v>
      </c>
      <c r="BM286" s="548" t="str">
        <f t="shared" si="204"/>
        <v>n/a</v>
      </c>
      <c r="BN286" s="606" t="str">
        <f t="shared" si="205"/>
        <v>n/a</v>
      </c>
      <c r="BO286" s="606" t="str">
        <f t="shared" si="206"/>
        <v>n/a</v>
      </c>
      <c r="BP286" s="578">
        <v>1</v>
      </c>
      <c r="BQ286" s="606" t="s">
        <v>475</v>
      </c>
      <c r="BR286" s="519">
        <v>38</v>
      </c>
      <c r="BS286" s="548" t="str">
        <f t="shared" si="207"/>
        <v>n/a</v>
      </c>
      <c r="BT286" s="607" t="str">
        <f t="shared" si="208"/>
        <v>n/a</v>
      </c>
      <c r="BU286" s="651" t="s">
        <v>475</v>
      </c>
      <c r="BV286" s="650" t="str">
        <f t="shared" si="223"/>
        <v>n/a</v>
      </c>
      <c r="BW286" s="325" t="s">
        <v>946</v>
      </c>
      <c r="BX286" s="430">
        <v>41995</v>
      </c>
      <c r="BY286" s="1190"/>
      <c r="BZ286" s="1190"/>
      <c r="CA286" s="608" t="str">
        <f t="shared" si="209"/>
        <v>n/a</v>
      </c>
      <c r="CB286" s="428">
        <v>420</v>
      </c>
      <c r="CC286" s="428">
        <v>4</v>
      </c>
      <c r="CD286" s="609" t="str">
        <f t="shared" si="210"/>
        <v>n/a</v>
      </c>
      <c r="CE286" s="610" t="str">
        <f t="shared" si="211"/>
        <v>n/a</v>
      </c>
      <c r="CF286" s="609" t="str">
        <f t="shared" si="212"/>
        <v>n/a</v>
      </c>
      <c r="CG286" s="658" t="str">
        <f t="shared" si="213"/>
        <v>n/a</v>
      </c>
      <c r="CH286" s="328" t="s">
        <v>610</v>
      </c>
      <c r="CI286" s="330">
        <v>0.25</v>
      </c>
      <c r="CJ286" s="664">
        <f t="shared" si="214"/>
        <v>3341.75</v>
      </c>
      <c r="CK286" s="328">
        <v>28</v>
      </c>
      <c r="CL286" s="611" t="s">
        <v>670</v>
      </c>
      <c r="CM286" s="428" t="s">
        <v>41</v>
      </c>
      <c r="CN286" s="428" t="s">
        <v>35</v>
      </c>
      <c r="CO286" s="428" t="s">
        <v>170</v>
      </c>
      <c r="CP286" s="570" t="s">
        <v>38</v>
      </c>
      <c r="CQ286" s="666"/>
      <c r="CR286" s="70"/>
      <c r="CS286" s="1069">
        <f t="shared" si="215"/>
        <v>1</v>
      </c>
      <c r="CT286" s="1069">
        <f t="shared" si="216"/>
        <v>1</v>
      </c>
      <c r="CU286" s="1066">
        <f t="shared" si="217"/>
        <v>1</v>
      </c>
      <c r="CV286" s="1066">
        <f t="shared" si="218"/>
        <v>1</v>
      </c>
      <c r="CW286" s="1082">
        <f t="shared" si="219"/>
        <v>0</v>
      </c>
      <c r="CX286" s="1082">
        <f t="shared" si="220"/>
        <v>0</v>
      </c>
    </row>
    <row r="287" spans="1:102" s="322" customFormat="1" ht="21" customHeight="1">
      <c r="A287" s="358"/>
      <c r="B287" s="402" t="s">
        <v>75</v>
      </c>
      <c r="C287" s="603"/>
      <c r="D287" s="603"/>
      <c r="E287" s="1052" t="s">
        <v>234</v>
      </c>
      <c r="F287" s="402" t="s">
        <v>988</v>
      </c>
      <c r="G287" s="556">
        <v>92.831879000000001</v>
      </c>
      <c r="H287" s="556">
        <v>20.179939999999998</v>
      </c>
      <c r="I287" s="560" t="s">
        <v>44</v>
      </c>
      <c r="J287" s="560" t="s">
        <v>34</v>
      </c>
      <c r="K287" s="604" t="s">
        <v>640</v>
      </c>
      <c r="L287" s="428">
        <v>984</v>
      </c>
      <c r="M287" s="428">
        <v>5656</v>
      </c>
      <c r="N287" s="570">
        <v>5656</v>
      </c>
      <c r="O287" s="328" t="s">
        <v>983</v>
      </c>
      <c r="P287" s="718" t="str">
        <f t="shared" si="181"/>
        <v>4. Big</v>
      </c>
      <c r="Q287" s="965" t="s">
        <v>323</v>
      </c>
      <c r="R287" s="623" t="s">
        <v>52</v>
      </c>
      <c r="S287" s="620" t="s">
        <v>52</v>
      </c>
      <c r="T287" s="323" t="str">
        <f t="shared" si="182"/>
        <v>Covered</v>
      </c>
      <c r="U287" s="561">
        <v>42460</v>
      </c>
      <c r="V287" s="562"/>
      <c r="W287" s="558" t="s">
        <v>152</v>
      </c>
      <c r="X287" s="328">
        <v>0</v>
      </c>
      <c r="Y287" s="428">
        <v>0</v>
      </c>
      <c r="Z287" s="570" t="s">
        <v>43</v>
      </c>
      <c r="AA287" s="328">
        <v>0</v>
      </c>
      <c r="AB287" s="428">
        <v>76</v>
      </c>
      <c r="AC287" s="428">
        <v>0</v>
      </c>
      <c r="AD287" s="428">
        <v>0</v>
      </c>
      <c r="AE287" s="570"/>
      <c r="AF287" s="329">
        <v>0</v>
      </c>
      <c r="AG287" s="330">
        <v>1</v>
      </c>
      <c r="AH287" s="630">
        <f t="shared" si="183"/>
        <v>1</v>
      </c>
      <c r="AI287" s="574">
        <f t="shared" si="184"/>
        <v>5656</v>
      </c>
      <c r="AJ287" s="605">
        <f t="shared" si="185"/>
        <v>1</v>
      </c>
      <c r="AK287" s="574">
        <f t="shared" si="186"/>
        <v>5656</v>
      </c>
      <c r="AL287" s="605">
        <f t="shared" si="187"/>
        <v>1</v>
      </c>
      <c r="AM287" s="574">
        <f t="shared" si="188"/>
        <v>5656</v>
      </c>
      <c r="AN287" s="605" t="str">
        <f t="shared" si="189"/>
        <v>80-100%</v>
      </c>
      <c r="AO287" s="605">
        <f t="shared" si="190"/>
        <v>0</v>
      </c>
      <c r="AP287" s="574">
        <f t="shared" si="191"/>
        <v>0</v>
      </c>
      <c r="AQ287" s="574" t="str">
        <f t="shared" si="192"/>
        <v>no</v>
      </c>
      <c r="AR287" s="574">
        <f t="shared" si="193"/>
        <v>0</v>
      </c>
      <c r="AS287" s="574">
        <f t="shared" si="194"/>
        <v>5656</v>
      </c>
      <c r="AT287" s="574">
        <f t="shared" si="195"/>
        <v>0</v>
      </c>
      <c r="AU287" s="589">
        <v>1</v>
      </c>
      <c r="AV287" s="635">
        <f t="shared" si="196"/>
        <v>5656</v>
      </c>
      <c r="AW287" s="636"/>
      <c r="AX287" s="740">
        <v>0</v>
      </c>
      <c r="AY287" s="428">
        <v>262</v>
      </c>
      <c r="AZ287" s="428">
        <v>22.103053435114504</v>
      </c>
      <c r="BA287" s="473" t="s">
        <v>960</v>
      </c>
      <c r="BB287" s="548">
        <f t="shared" si="197"/>
        <v>0.92644978783592646</v>
      </c>
      <c r="BC287" s="606">
        <f t="shared" si="198"/>
        <v>5240</v>
      </c>
      <c r="BD287" s="548">
        <f t="shared" si="199"/>
        <v>0.92644978783592646</v>
      </c>
      <c r="BE287" s="606">
        <f t="shared" si="200"/>
        <v>5240</v>
      </c>
      <c r="BF287" s="549">
        <f t="shared" si="201"/>
        <v>0</v>
      </c>
      <c r="BG287" s="606">
        <f t="shared" si="202"/>
        <v>0</v>
      </c>
      <c r="BH287" s="519" t="s">
        <v>494</v>
      </c>
      <c r="BI287" s="429">
        <v>1</v>
      </c>
      <c r="BJ287" s="606">
        <f t="shared" si="221"/>
        <v>5656</v>
      </c>
      <c r="BK287" s="606">
        <f t="shared" si="203"/>
        <v>20.800000000000011</v>
      </c>
      <c r="BL287" s="428">
        <v>984</v>
      </c>
      <c r="BM287" s="548">
        <f t="shared" si="204"/>
        <v>0.97425742574257423</v>
      </c>
      <c r="BN287" s="606">
        <f t="shared" si="205"/>
        <v>5510.4</v>
      </c>
      <c r="BO287" s="606">
        <f t="shared" si="206"/>
        <v>26.000000000000114</v>
      </c>
      <c r="BP287" s="578">
        <v>1</v>
      </c>
      <c r="BQ287" s="606">
        <v>5974</v>
      </c>
      <c r="BR287" s="519">
        <v>69</v>
      </c>
      <c r="BS287" s="548">
        <f t="shared" si="207"/>
        <v>1</v>
      </c>
      <c r="BT287" s="607">
        <f t="shared" si="208"/>
        <v>0</v>
      </c>
      <c r="BU287" s="651">
        <v>1</v>
      </c>
      <c r="BV287" s="650">
        <f t="shared" si="223"/>
        <v>5656</v>
      </c>
      <c r="BW287" s="325" t="s">
        <v>946</v>
      </c>
      <c r="BX287" s="430">
        <v>41996</v>
      </c>
      <c r="BY287" s="1190"/>
      <c r="BZ287" s="1190"/>
      <c r="CA287" s="608">
        <f t="shared" si="209"/>
        <v>42361</v>
      </c>
      <c r="CB287" s="428">
        <v>1022</v>
      </c>
      <c r="CC287" s="428">
        <v>4</v>
      </c>
      <c r="CD287" s="609">
        <f t="shared" si="210"/>
        <v>0</v>
      </c>
      <c r="CE287" s="610">
        <f t="shared" si="211"/>
        <v>1</v>
      </c>
      <c r="CF287" s="609">
        <f t="shared" si="212"/>
        <v>5656</v>
      </c>
      <c r="CG287" s="658">
        <f t="shared" si="213"/>
        <v>5</v>
      </c>
      <c r="CH287" s="328" t="s">
        <v>610</v>
      </c>
      <c r="CI287" s="330">
        <v>0.75</v>
      </c>
      <c r="CJ287" s="664">
        <f t="shared" si="214"/>
        <v>4242</v>
      </c>
      <c r="CK287" s="328">
        <v>18</v>
      </c>
      <c r="CL287" s="611" t="s">
        <v>670</v>
      </c>
      <c r="CM287" s="428" t="s">
        <v>41</v>
      </c>
      <c r="CN287" s="428" t="s">
        <v>35</v>
      </c>
      <c r="CO287" s="428" t="s">
        <v>41</v>
      </c>
      <c r="CP287" s="570" t="s">
        <v>170</v>
      </c>
      <c r="CQ287" s="666"/>
      <c r="CR287" s="70"/>
      <c r="CS287" s="1069">
        <f t="shared" si="215"/>
        <v>1</v>
      </c>
      <c r="CT287" s="1069">
        <f t="shared" si="216"/>
        <v>1</v>
      </c>
      <c r="CU287" s="1066">
        <f t="shared" si="217"/>
        <v>1</v>
      </c>
      <c r="CV287" s="1066">
        <f t="shared" si="218"/>
        <v>1</v>
      </c>
      <c r="CW287" s="1082">
        <f t="shared" si="219"/>
        <v>0</v>
      </c>
      <c r="CX287" s="1082">
        <f t="shared" si="220"/>
        <v>0</v>
      </c>
    </row>
    <row r="288" spans="1:102" s="322" customFormat="1" ht="21" customHeight="1">
      <c r="A288" s="358"/>
      <c r="B288" s="402" t="s">
        <v>75</v>
      </c>
      <c r="C288" s="603"/>
      <c r="D288" s="603"/>
      <c r="E288" s="1052" t="s">
        <v>227</v>
      </c>
      <c r="F288" s="402" t="s">
        <v>76</v>
      </c>
      <c r="G288" s="556">
        <v>92.836860999999999</v>
      </c>
      <c r="H288" s="556">
        <v>20.226865</v>
      </c>
      <c r="I288" s="560" t="s">
        <v>33</v>
      </c>
      <c r="J288" s="560" t="s">
        <v>45</v>
      </c>
      <c r="K288" s="603" t="s">
        <v>642</v>
      </c>
      <c r="L288" s="428">
        <v>7</v>
      </c>
      <c r="M288" s="428">
        <v>27</v>
      </c>
      <c r="N288" s="570">
        <v>1231</v>
      </c>
      <c r="O288" s="328" t="s">
        <v>983</v>
      </c>
      <c r="P288" s="720" t="str">
        <f t="shared" si="181"/>
        <v>3. Large</v>
      </c>
      <c r="Q288" s="968" t="s">
        <v>323</v>
      </c>
      <c r="R288" s="625"/>
      <c r="S288" s="620" t="s">
        <v>143</v>
      </c>
      <c r="T288" s="323" t="str">
        <f t="shared" si="182"/>
        <v>Covered</v>
      </c>
      <c r="U288" s="561">
        <v>42460</v>
      </c>
      <c r="V288" s="618"/>
      <c r="W288" s="558" t="s">
        <v>152</v>
      </c>
      <c r="X288" s="328">
        <v>0</v>
      </c>
      <c r="Y288" s="428">
        <v>0</v>
      </c>
      <c r="Z288" s="570" t="s">
        <v>43</v>
      </c>
      <c r="AA288" s="328">
        <v>30</v>
      </c>
      <c r="AB288" s="428">
        <v>6</v>
      </c>
      <c r="AC288" s="428">
        <v>0</v>
      </c>
      <c r="AD288" s="428">
        <v>1</v>
      </c>
      <c r="AE288" s="570"/>
      <c r="AF288" s="329">
        <v>0</v>
      </c>
      <c r="AG288" s="330">
        <v>1</v>
      </c>
      <c r="AH288" s="630">
        <f t="shared" si="183"/>
        <v>1</v>
      </c>
      <c r="AI288" s="574">
        <f t="shared" si="184"/>
        <v>1231</v>
      </c>
      <c r="AJ288" s="605">
        <f t="shared" si="185"/>
        <v>1</v>
      </c>
      <c r="AK288" s="574">
        <f t="shared" si="186"/>
        <v>1231</v>
      </c>
      <c r="AL288" s="605">
        <f t="shared" si="187"/>
        <v>1</v>
      </c>
      <c r="AM288" s="574">
        <f t="shared" si="188"/>
        <v>1231</v>
      </c>
      <c r="AN288" s="605" t="str">
        <f t="shared" si="189"/>
        <v>80-100%</v>
      </c>
      <c r="AO288" s="605">
        <f t="shared" si="190"/>
        <v>0</v>
      </c>
      <c r="AP288" s="574">
        <f t="shared" si="191"/>
        <v>0</v>
      </c>
      <c r="AQ288" s="574" t="str">
        <f t="shared" si="192"/>
        <v>yes</v>
      </c>
      <c r="AR288" s="574">
        <f t="shared" si="193"/>
        <v>0</v>
      </c>
      <c r="AS288" s="574">
        <f t="shared" si="194"/>
        <v>1231</v>
      </c>
      <c r="AT288" s="574">
        <f t="shared" si="195"/>
        <v>0</v>
      </c>
      <c r="AU288" s="589">
        <v>1</v>
      </c>
      <c r="AV288" s="635">
        <f t="shared" si="196"/>
        <v>1231</v>
      </c>
      <c r="AW288" s="636" t="s">
        <v>582</v>
      </c>
      <c r="AX288" s="740">
        <v>0</v>
      </c>
      <c r="AY288" s="428">
        <v>68</v>
      </c>
      <c r="AZ288" s="428">
        <v>6</v>
      </c>
      <c r="BA288" s="473" t="s">
        <v>526</v>
      </c>
      <c r="BB288" s="548">
        <f t="shared" si="197"/>
        <v>0.33143785540211212</v>
      </c>
      <c r="BC288" s="606">
        <f t="shared" si="198"/>
        <v>408</v>
      </c>
      <c r="BD288" s="548">
        <f t="shared" si="199"/>
        <v>0.33143785540211212</v>
      </c>
      <c r="BE288" s="606">
        <f t="shared" si="200"/>
        <v>408</v>
      </c>
      <c r="BF288" s="549">
        <f t="shared" si="201"/>
        <v>0</v>
      </c>
      <c r="BG288" s="606">
        <f t="shared" si="202"/>
        <v>0</v>
      </c>
      <c r="BH288" s="519" t="s">
        <v>475</v>
      </c>
      <c r="BI288" s="429">
        <v>0.35</v>
      </c>
      <c r="BJ288" s="606">
        <f t="shared" si="221"/>
        <v>430.84999999999997</v>
      </c>
      <c r="BK288" s="606" t="str">
        <f t="shared" si="203"/>
        <v>n/a</v>
      </c>
      <c r="BL288" s="428">
        <v>56</v>
      </c>
      <c r="BM288" s="548" t="str">
        <f t="shared" si="204"/>
        <v>n/a</v>
      </c>
      <c r="BN288" s="606" t="str">
        <f t="shared" si="205"/>
        <v>n/a</v>
      </c>
      <c r="BO288" s="606" t="str">
        <f t="shared" si="206"/>
        <v>n/a</v>
      </c>
      <c r="BP288" s="578" t="s">
        <v>475</v>
      </c>
      <c r="BQ288" s="606" t="s">
        <v>475</v>
      </c>
      <c r="BR288" s="519" t="s">
        <v>475</v>
      </c>
      <c r="BS288" s="548" t="str">
        <f t="shared" si="207"/>
        <v>n/a</v>
      </c>
      <c r="BT288" s="607" t="str">
        <f t="shared" si="208"/>
        <v>n/a</v>
      </c>
      <c r="BU288" s="651" t="s">
        <v>475</v>
      </c>
      <c r="BV288" s="650" t="str">
        <f t="shared" si="223"/>
        <v>n/a</v>
      </c>
      <c r="BW288" s="325"/>
      <c r="BX288" s="470" t="s">
        <v>475</v>
      </c>
      <c r="BY288" s="1192"/>
      <c r="BZ288" s="1192"/>
      <c r="CA288" s="608" t="str">
        <f t="shared" si="209"/>
        <v>n/a</v>
      </c>
      <c r="CB288" s="428"/>
      <c r="CC288" s="428"/>
      <c r="CD288" s="609" t="str">
        <f t="shared" si="210"/>
        <v>n/a</v>
      </c>
      <c r="CE288" s="610" t="str">
        <f t="shared" si="211"/>
        <v>n/a</v>
      </c>
      <c r="CF288" s="609" t="str">
        <f t="shared" si="212"/>
        <v>n/a</v>
      </c>
      <c r="CG288" s="658" t="str">
        <f t="shared" si="213"/>
        <v>n/a</v>
      </c>
      <c r="CH288" s="328"/>
      <c r="CI288" s="330">
        <v>0.25</v>
      </c>
      <c r="CJ288" s="664">
        <f t="shared" si="214"/>
        <v>307.75</v>
      </c>
      <c r="CK288" s="328">
        <v>6</v>
      </c>
      <c r="CL288" s="611" t="str">
        <f>IF(CK288=0,"No coverage",IF(N288/CK288&gt;1000,"Low coverage",IF(N288/CK288&gt;750,"Average coverage",IF(N288/CK288&gt;500,"Good coverage","Excellent coverage"))))</f>
        <v>Excellent coverage</v>
      </c>
      <c r="CM288" s="428" t="s">
        <v>38</v>
      </c>
      <c r="CN288" s="428" t="s">
        <v>475</v>
      </c>
      <c r="CO288" s="428" t="s">
        <v>38</v>
      </c>
      <c r="CP288" s="570" t="s">
        <v>38</v>
      </c>
      <c r="CQ288" s="665"/>
      <c r="CS288" s="1069">
        <f t="shared" si="215"/>
        <v>1</v>
      </c>
      <c r="CT288" s="1069">
        <f t="shared" si="216"/>
        <v>1</v>
      </c>
      <c r="CU288" s="1066">
        <f t="shared" si="217"/>
        <v>1</v>
      </c>
      <c r="CV288" s="1066">
        <f t="shared" si="218"/>
        <v>1</v>
      </c>
      <c r="CW288" s="1082">
        <f t="shared" si="219"/>
        <v>0</v>
      </c>
      <c r="CX288" s="1082">
        <f t="shared" si="220"/>
        <v>0</v>
      </c>
    </row>
    <row r="289" spans="1:102" s="322" customFormat="1" ht="21" customHeight="1">
      <c r="A289" s="358"/>
      <c r="B289" s="402" t="s">
        <v>75</v>
      </c>
      <c r="C289" s="603"/>
      <c r="D289" s="603"/>
      <c r="E289" s="1053">
        <v>196159</v>
      </c>
      <c r="F289" s="402" t="s">
        <v>375</v>
      </c>
      <c r="G289" s="556">
        <v>92.812799999999996</v>
      </c>
      <c r="H289" s="556">
        <v>20.202400000000001</v>
      </c>
      <c r="I289" s="560" t="s">
        <v>33</v>
      </c>
      <c r="J289" s="560" t="s">
        <v>45</v>
      </c>
      <c r="K289" s="604" t="s">
        <v>455</v>
      </c>
      <c r="L289" s="428">
        <v>0</v>
      </c>
      <c r="M289" s="428">
        <v>0</v>
      </c>
      <c r="N289" s="570">
        <v>363</v>
      </c>
      <c r="O289" s="328" t="s">
        <v>983</v>
      </c>
      <c r="P289" s="720" t="str">
        <f t="shared" si="181"/>
        <v>1. Small</v>
      </c>
      <c r="Q289" s="968" t="s">
        <v>323</v>
      </c>
      <c r="R289" s="625"/>
      <c r="S289" s="620" t="s">
        <v>143</v>
      </c>
      <c r="T289" s="323" t="str">
        <f t="shared" si="182"/>
        <v>Covered</v>
      </c>
      <c r="U289" s="561">
        <v>42460</v>
      </c>
      <c r="V289" s="618"/>
      <c r="W289" s="558" t="s">
        <v>152</v>
      </c>
      <c r="X289" s="428">
        <v>0</v>
      </c>
      <c r="Y289" s="428">
        <v>0</v>
      </c>
      <c r="Z289" s="570" t="s">
        <v>43</v>
      </c>
      <c r="AA289" s="328">
        <v>8</v>
      </c>
      <c r="AB289" s="428">
        <v>1</v>
      </c>
      <c r="AC289" s="428">
        <v>0</v>
      </c>
      <c r="AD289" s="428">
        <v>1</v>
      </c>
      <c r="AE289" s="570"/>
      <c r="AF289" s="329">
        <v>0</v>
      </c>
      <c r="AG289" s="330">
        <v>1</v>
      </c>
      <c r="AH289" s="630">
        <f t="shared" si="183"/>
        <v>1</v>
      </c>
      <c r="AI289" s="574">
        <f t="shared" si="184"/>
        <v>363</v>
      </c>
      <c r="AJ289" s="605">
        <f t="shared" si="185"/>
        <v>1</v>
      </c>
      <c r="AK289" s="574">
        <f t="shared" si="186"/>
        <v>363</v>
      </c>
      <c r="AL289" s="605">
        <f t="shared" si="187"/>
        <v>1</v>
      </c>
      <c r="AM289" s="574">
        <f t="shared" si="188"/>
        <v>363</v>
      </c>
      <c r="AN289" s="605" t="str">
        <f t="shared" si="189"/>
        <v>80-100%</v>
      </c>
      <c r="AO289" s="605">
        <f t="shared" si="190"/>
        <v>0</v>
      </c>
      <c r="AP289" s="574">
        <f t="shared" si="191"/>
        <v>0</v>
      </c>
      <c r="AQ289" s="574" t="str">
        <f t="shared" si="192"/>
        <v>yes</v>
      </c>
      <c r="AR289" s="574">
        <f t="shared" si="193"/>
        <v>0</v>
      </c>
      <c r="AS289" s="574">
        <f t="shared" si="194"/>
        <v>363</v>
      </c>
      <c r="AT289" s="574">
        <f t="shared" si="195"/>
        <v>0</v>
      </c>
      <c r="AU289" s="589">
        <v>1</v>
      </c>
      <c r="AV289" s="635">
        <f t="shared" si="196"/>
        <v>363</v>
      </c>
      <c r="AW289" s="636" t="s">
        <v>589</v>
      </c>
      <c r="AX289" s="740">
        <v>0</v>
      </c>
      <c r="AY289" s="428">
        <v>75</v>
      </c>
      <c r="AZ289" s="428">
        <v>6</v>
      </c>
      <c r="BA289" s="473" t="s">
        <v>526</v>
      </c>
      <c r="BB289" s="548">
        <f t="shared" si="197"/>
        <v>1</v>
      </c>
      <c r="BC289" s="606">
        <f t="shared" si="198"/>
        <v>363</v>
      </c>
      <c r="BD289" s="548">
        <f t="shared" si="199"/>
        <v>1</v>
      </c>
      <c r="BE289" s="606">
        <f t="shared" si="200"/>
        <v>363</v>
      </c>
      <c r="BF289" s="549">
        <f t="shared" si="201"/>
        <v>0</v>
      </c>
      <c r="BG289" s="606">
        <f t="shared" si="202"/>
        <v>0</v>
      </c>
      <c r="BH289" s="519" t="s">
        <v>475</v>
      </c>
      <c r="BI289" s="429">
        <v>1</v>
      </c>
      <c r="BJ289" s="606">
        <f t="shared" si="221"/>
        <v>363</v>
      </c>
      <c r="BK289" s="606" t="str">
        <f t="shared" si="203"/>
        <v>n/a</v>
      </c>
      <c r="BL289" s="428">
        <v>17</v>
      </c>
      <c r="BM289" s="548" t="str">
        <f t="shared" si="204"/>
        <v>n/a</v>
      </c>
      <c r="BN289" s="606" t="str">
        <f t="shared" si="205"/>
        <v>n/a</v>
      </c>
      <c r="BO289" s="606" t="str">
        <f t="shared" si="206"/>
        <v>n/a</v>
      </c>
      <c r="BP289" s="578" t="s">
        <v>475</v>
      </c>
      <c r="BQ289" s="606" t="s">
        <v>475</v>
      </c>
      <c r="BR289" s="519" t="s">
        <v>475</v>
      </c>
      <c r="BS289" s="548" t="str">
        <f t="shared" si="207"/>
        <v>n/a</v>
      </c>
      <c r="BT289" s="607" t="str">
        <f t="shared" si="208"/>
        <v>n/a</v>
      </c>
      <c r="BU289" s="651" t="s">
        <v>475</v>
      </c>
      <c r="BV289" s="650" t="str">
        <f t="shared" si="223"/>
        <v>n/a</v>
      </c>
      <c r="BW289" s="325"/>
      <c r="BX289" s="470" t="s">
        <v>475</v>
      </c>
      <c r="BY289" s="1192"/>
      <c r="BZ289" s="1192"/>
      <c r="CA289" s="608" t="str">
        <f t="shared" si="209"/>
        <v>n/a</v>
      </c>
      <c r="CB289" s="428"/>
      <c r="CC289" s="428"/>
      <c r="CD289" s="609" t="str">
        <f t="shared" si="210"/>
        <v>n/a</v>
      </c>
      <c r="CE289" s="610" t="str">
        <f t="shared" si="211"/>
        <v>n/a</v>
      </c>
      <c r="CF289" s="609" t="str">
        <f t="shared" si="212"/>
        <v>n/a</v>
      </c>
      <c r="CG289" s="658" t="str">
        <f t="shared" si="213"/>
        <v>n/a</v>
      </c>
      <c r="CH289" s="328"/>
      <c r="CI289" s="330">
        <v>0.25</v>
      </c>
      <c r="CJ289" s="664">
        <f t="shared" si="214"/>
        <v>90.75</v>
      </c>
      <c r="CK289" s="328">
        <v>6</v>
      </c>
      <c r="CL289" s="611" t="str">
        <f>IF(CK289=0,"No coverage",IF(N289/CK289&gt;1000,"Low coverage",IF(N289/CK289&gt;750,"Average coverage",IF(N289/CK289&gt;500,"Good coverage","Excellent coverage"))))</f>
        <v>Excellent coverage</v>
      </c>
      <c r="CM289" s="428" t="s">
        <v>38</v>
      </c>
      <c r="CN289" s="428" t="s">
        <v>475</v>
      </c>
      <c r="CO289" s="428" t="s">
        <v>38</v>
      </c>
      <c r="CP289" s="570" t="s">
        <v>38</v>
      </c>
      <c r="CQ289" s="665"/>
      <c r="CS289" s="1069">
        <f t="shared" si="215"/>
        <v>1</v>
      </c>
      <c r="CT289" s="1069">
        <f t="shared" si="216"/>
        <v>1</v>
      </c>
      <c r="CU289" s="1066">
        <f t="shared" si="217"/>
        <v>1</v>
      </c>
      <c r="CV289" s="1066">
        <f t="shared" si="218"/>
        <v>1</v>
      </c>
      <c r="CW289" s="1082">
        <f t="shared" si="219"/>
        <v>0</v>
      </c>
      <c r="CX289" s="1082">
        <f t="shared" si="220"/>
        <v>0</v>
      </c>
    </row>
    <row r="290" spans="1:102" ht="18" customHeight="1">
      <c r="CS290" s="1069" t="e">
        <f t="shared" ref="CS290:CS291" si="224">IF((((1000*X290/15)+(1000*(Y290/30)/15)+AA290*400+AB290*500+(1000*AC290/15))/N290)&gt;1,1,(((1000*X290/15)+(1000*(Y290/30)/15)+AA290*400+AB290*500+(1000*AC290/15))/N290))</f>
        <v>#DIV/0!</v>
      </c>
      <c r="CT290" s="1069" t="e">
        <f t="shared" ref="CT290:CT291" si="225">IF((((1000*X290/15)+(1000*(Y290/30)/15)+AA290*250+AB290*250+(1000*AC290/15))/N290)&gt;1,1,(((1000*X290/15)+(1000*(Y290/30)/15)+AA290*250+AB290*250+(1000*AC290/15))/N290))</f>
        <v>#DIV/0!</v>
      </c>
      <c r="CU290" s="1066" t="e">
        <f t="shared" ref="CU290:CU291" si="226">IF(((AA290*400+AB290*500+(1000*AC290/15))/N290)&gt;1,1,(AA290*400+AB290*500+(1000*AC290/15))/N290)</f>
        <v>#DIV/0!</v>
      </c>
      <c r="CV290" s="1066" t="e">
        <f t="shared" ref="CV290:CV291" si="227">IF(((AA290*250+AB290*250+(1000*AC290/15))/N290)&gt;1,1,(AA290*250+AB290*250+(1000*AC290/15))/N290)</f>
        <v>#DIV/0!</v>
      </c>
      <c r="CW290" s="1082">
        <f t="shared" ref="CW290:CW291" si="228">IF(N290/400-(AA290+AB290)&lt;0,0,N290/400-(AA290+AB290))</f>
        <v>0</v>
      </c>
      <c r="CX290" s="1082">
        <f t="shared" ref="CX290:CX291" si="229">IF(N290/250-(AA290+AB290)&lt;0,0,N290/250-(AA290+AB290))</f>
        <v>0</v>
      </c>
    </row>
    <row r="291" spans="1:102" ht="18" customHeight="1">
      <c r="CS291" s="1069" t="e">
        <f t="shared" si="224"/>
        <v>#DIV/0!</v>
      </c>
      <c r="CT291" s="1069" t="e">
        <f t="shared" si="225"/>
        <v>#DIV/0!</v>
      </c>
      <c r="CU291" s="1066" t="e">
        <f t="shared" si="226"/>
        <v>#DIV/0!</v>
      </c>
      <c r="CV291" s="1066" t="e">
        <f t="shared" si="227"/>
        <v>#DIV/0!</v>
      </c>
      <c r="CW291" s="1082">
        <f t="shared" si="228"/>
        <v>0</v>
      </c>
      <c r="CX291" s="1082">
        <f t="shared" si="229"/>
        <v>0</v>
      </c>
    </row>
    <row r="292" spans="1:102" ht="18" customHeight="1">
      <c r="CS292" s="1069"/>
      <c r="CT292" s="1069"/>
      <c r="CU292" s="1066"/>
      <c r="CV292" s="1066"/>
    </row>
    <row r="293" spans="1:102" ht="18" customHeight="1">
      <c r="CS293" s="1069"/>
      <c r="CT293" s="1069"/>
      <c r="CU293" s="1066"/>
      <c r="CV293" s="1066"/>
    </row>
    <row r="294" spans="1:102" ht="18" customHeight="1">
      <c r="CS294" s="1069"/>
      <c r="CT294" s="1069"/>
      <c r="CU294" s="1066"/>
      <c r="CV294" s="1066"/>
    </row>
    <row r="295" spans="1:102" ht="18" customHeight="1">
      <c r="CS295" s="1069"/>
      <c r="CT295" s="1069"/>
      <c r="CU295" s="1066"/>
      <c r="CV295" s="1066"/>
    </row>
    <row r="296" spans="1:102" ht="18" customHeight="1">
      <c r="CS296" s="1069"/>
      <c r="CT296" s="1069"/>
      <c r="CU296" s="1066"/>
      <c r="CV296" s="1066"/>
    </row>
    <row r="297" spans="1:102" ht="18" customHeight="1">
      <c r="CS297" s="1069"/>
      <c r="CT297" s="1069"/>
      <c r="CU297" s="1066"/>
      <c r="CV297" s="1066"/>
    </row>
    <row r="298" spans="1:102" ht="18" customHeight="1">
      <c r="CS298" s="1069"/>
      <c r="CT298" s="1069"/>
      <c r="CU298" s="1066"/>
      <c r="CV298" s="1066"/>
    </row>
    <row r="299" spans="1:102" ht="18" customHeight="1">
      <c r="CS299" s="1069"/>
      <c r="CT299" s="1069"/>
      <c r="CU299" s="1066"/>
      <c r="CV299" s="1066"/>
    </row>
    <row r="300" spans="1:102" ht="18" customHeight="1">
      <c r="CS300" s="1069"/>
      <c r="CT300" s="1069"/>
      <c r="CU300" s="1066"/>
      <c r="CV300" s="1066"/>
    </row>
    <row r="301" spans="1:102" ht="18" customHeight="1">
      <c r="CS301" s="1069"/>
      <c r="CT301" s="1069"/>
      <c r="CU301" s="1066"/>
      <c r="CV301" s="1066"/>
    </row>
    <row r="302" spans="1:102" ht="18" customHeight="1">
      <c r="CS302" s="1069"/>
      <c r="CT302" s="1069"/>
      <c r="CU302" s="1066"/>
      <c r="CV302" s="1066"/>
    </row>
    <row r="303" spans="1:102" ht="18" customHeight="1">
      <c r="CS303" s="1069"/>
      <c r="CT303" s="1069"/>
      <c r="CU303" s="1066"/>
      <c r="CV303" s="1066"/>
    </row>
    <row r="304" spans="1:102" ht="18" customHeight="1">
      <c r="CS304" s="1069"/>
      <c r="CT304" s="1069"/>
      <c r="CU304" s="1066"/>
      <c r="CV304" s="1066"/>
    </row>
    <row r="305" spans="97:100" ht="18" customHeight="1">
      <c r="CS305" s="1069"/>
      <c r="CT305" s="1069"/>
      <c r="CU305" s="1066"/>
      <c r="CV305" s="1066"/>
    </row>
    <row r="306" spans="97:100" ht="18" customHeight="1">
      <c r="CS306" s="1069"/>
      <c r="CT306" s="1069"/>
      <c r="CU306" s="1066"/>
      <c r="CV306" s="1066"/>
    </row>
    <row r="307" spans="97:100" ht="18" customHeight="1">
      <c r="CS307" s="1069"/>
      <c r="CT307" s="1069"/>
      <c r="CU307" s="1066"/>
      <c r="CV307" s="1066"/>
    </row>
    <row r="308" spans="97:100" ht="18" customHeight="1">
      <c r="CS308" s="1069"/>
      <c r="CT308" s="1069"/>
      <c r="CU308" s="1066"/>
      <c r="CV308" s="1066"/>
    </row>
    <row r="309" spans="97:100" ht="18" customHeight="1">
      <c r="CS309" s="1069"/>
      <c r="CT309" s="1069"/>
      <c r="CU309" s="1066"/>
      <c r="CV309" s="1066"/>
    </row>
    <row r="310" spans="97:100" ht="18" customHeight="1">
      <c r="CS310" s="1069"/>
      <c r="CT310" s="1069"/>
      <c r="CU310" s="1066"/>
      <c r="CV310" s="1066"/>
    </row>
    <row r="311" spans="97:100" ht="18" customHeight="1">
      <c r="CS311" s="1069"/>
      <c r="CT311" s="1069"/>
      <c r="CU311" s="1066"/>
      <c r="CV311" s="1066"/>
    </row>
    <row r="312" spans="97:100" ht="18" customHeight="1">
      <c r="CS312" s="1069"/>
      <c r="CT312" s="1069"/>
      <c r="CU312" s="1066"/>
      <c r="CV312" s="1066"/>
    </row>
    <row r="313" spans="97:100" ht="18" customHeight="1">
      <c r="CS313" s="1069"/>
      <c r="CT313" s="1069"/>
      <c r="CU313" s="1066"/>
      <c r="CV313" s="1066"/>
    </row>
    <row r="314" spans="97:100" ht="18" customHeight="1">
      <c r="CS314" s="1069"/>
      <c r="CT314" s="1069"/>
      <c r="CU314" s="1066"/>
      <c r="CV314" s="1066"/>
    </row>
    <row r="315" spans="97:100" ht="18" customHeight="1">
      <c r="CS315" s="1069"/>
      <c r="CT315" s="1069"/>
      <c r="CU315" s="1066"/>
      <c r="CV315" s="1066"/>
    </row>
    <row r="316" spans="97:100" ht="18" customHeight="1">
      <c r="CS316" s="1069"/>
      <c r="CT316" s="1069"/>
      <c r="CU316" s="1066"/>
      <c r="CV316" s="1066"/>
    </row>
    <row r="317" spans="97:100" ht="18" customHeight="1">
      <c r="CS317" s="1069"/>
      <c r="CT317" s="1069"/>
      <c r="CU317" s="1066"/>
      <c r="CV317" s="1066"/>
    </row>
    <row r="318" spans="97:100" ht="18" customHeight="1">
      <c r="CS318" s="1069"/>
      <c r="CT318" s="1069"/>
      <c r="CU318" s="1066"/>
      <c r="CV318" s="1066"/>
    </row>
    <row r="319" spans="97:100" ht="18" customHeight="1">
      <c r="CS319" s="1069"/>
      <c r="CT319" s="1069"/>
      <c r="CU319" s="1066"/>
      <c r="CV319" s="1066"/>
    </row>
    <row r="320" spans="97:100" ht="18" customHeight="1">
      <c r="CS320" s="1069"/>
      <c r="CT320" s="1069"/>
      <c r="CU320" s="1066"/>
      <c r="CV320" s="1066"/>
    </row>
    <row r="321" spans="97:100" ht="18" customHeight="1">
      <c r="CS321" s="1069"/>
      <c r="CT321" s="1069"/>
      <c r="CU321" s="1066"/>
      <c r="CV321" s="1066"/>
    </row>
    <row r="322" spans="97:100" ht="18" customHeight="1">
      <c r="CS322" s="1069"/>
      <c r="CT322" s="1069"/>
      <c r="CU322" s="1066"/>
      <c r="CV322" s="1066"/>
    </row>
    <row r="323" spans="97:100" ht="18" customHeight="1">
      <c r="CS323" s="1069"/>
      <c r="CT323" s="1069"/>
      <c r="CU323" s="1066"/>
      <c r="CV323" s="1066"/>
    </row>
    <row r="324" spans="97:100" ht="18" customHeight="1">
      <c r="CS324" s="1069"/>
      <c r="CT324" s="1069"/>
      <c r="CU324" s="1066"/>
      <c r="CV324" s="1066"/>
    </row>
    <row r="325" spans="97:100" ht="18" customHeight="1">
      <c r="CS325" s="1069"/>
      <c r="CT325" s="1069"/>
      <c r="CU325" s="1066"/>
      <c r="CV325" s="1066"/>
    </row>
    <row r="326" spans="97:100" ht="18" customHeight="1">
      <c r="CS326" s="1069"/>
      <c r="CT326" s="1069"/>
      <c r="CU326" s="1066"/>
      <c r="CV326" s="1066"/>
    </row>
    <row r="327" spans="97:100" ht="18" customHeight="1">
      <c r="CS327" s="1069"/>
      <c r="CT327" s="1069"/>
      <c r="CU327" s="1066"/>
      <c r="CV327" s="1066"/>
    </row>
    <row r="328" spans="97:100" ht="18" customHeight="1">
      <c r="CS328" s="1069"/>
      <c r="CT328" s="1069"/>
      <c r="CU328" s="1066"/>
      <c r="CV328" s="1066"/>
    </row>
    <row r="329" spans="97:100" ht="18" customHeight="1">
      <c r="CS329" s="1069"/>
      <c r="CT329" s="1069"/>
      <c r="CU329" s="1066"/>
      <c r="CV329" s="1066"/>
    </row>
    <row r="330" spans="97:100" ht="18" customHeight="1">
      <c r="CS330" s="1069"/>
      <c r="CT330" s="1069"/>
      <c r="CU330" s="1066"/>
      <c r="CV330" s="1066"/>
    </row>
    <row r="331" spans="97:100" ht="18" customHeight="1">
      <c r="CS331" s="1069"/>
      <c r="CT331" s="1069"/>
      <c r="CU331" s="1066"/>
      <c r="CV331" s="1066"/>
    </row>
    <row r="332" spans="97:100" ht="18" customHeight="1">
      <c r="CS332" s="1069"/>
      <c r="CT332" s="1069"/>
      <c r="CU332" s="1066"/>
      <c r="CV332" s="1066"/>
    </row>
    <row r="333" spans="97:100" ht="18" customHeight="1">
      <c r="CS333" s="1069"/>
      <c r="CT333" s="1069"/>
      <c r="CU333" s="1066"/>
      <c r="CV333" s="1066"/>
    </row>
    <row r="334" spans="97:100" ht="18" customHeight="1">
      <c r="CS334" s="1069"/>
      <c r="CT334" s="1069"/>
      <c r="CU334" s="1066"/>
      <c r="CV334" s="1066"/>
    </row>
    <row r="335" spans="97:100" ht="18" customHeight="1">
      <c r="CS335" s="1069"/>
      <c r="CT335" s="1069"/>
      <c r="CU335" s="1066"/>
      <c r="CV335" s="1066"/>
    </row>
    <row r="336" spans="97:100" ht="18" customHeight="1">
      <c r="CS336" s="1069"/>
      <c r="CT336" s="1069"/>
      <c r="CU336" s="1066"/>
      <c r="CV336" s="1066"/>
    </row>
    <row r="337" spans="97:100" ht="18" customHeight="1">
      <c r="CS337" s="1069"/>
      <c r="CT337" s="1069"/>
      <c r="CU337" s="1066"/>
      <c r="CV337" s="1066"/>
    </row>
    <row r="338" spans="97:100" ht="18" customHeight="1">
      <c r="CS338" s="1069"/>
      <c r="CT338" s="1069"/>
      <c r="CU338" s="1066"/>
      <c r="CV338" s="1066"/>
    </row>
    <row r="339" spans="97:100" ht="18" customHeight="1">
      <c r="CS339" s="1069"/>
      <c r="CT339" s="1069"/>
      <c r="CU339" s="1066"/>
      <c r="CV339" s="1066"/>
    </row>
    <row r="340" spans="97:100" ht="18" customHeight="1">
      <c r="CS340" s="1069"/>
      <c r="CT340" s="1069"/>
      <c r="CU340" s="1066"/>
      <c r="CV340" s="1066"/>
    </row>
    <row r="341" spans="97:100" ht="18" customHeight="1">
      <c r="CS341" s="1069"/>
      <c r="CT341" s="1069"/>
      <c r="CU341" s="1066"/>
      <c r="CV341" s="1066"/>
    </row>
    <row r="342" spans="97:100" ht="18" customHeight="1">
      <c r="CS342" s="1069"/>
      <c r="CT342" s="1069"/>
      <c r="CU342" s="1066"/>
      <c r="CV342" s="1066"/>
    </row>
    <row r="343" spans="97:100" ht="18" customHeight="1">
      <c r="CS343" s="1069"/>
      <c r="CT343" s="1069"/>
      <c r="CU343" s="1066"/>
      <c r="CV343" s="1066"/>
    </row>
    <row r="344" spans="97:100" ht="18" customHeight="1">
      <c r="CS344" s="1069"/>
      <c r="CT344" s="1069"/>
      <c r="CU344" s="1066"/>
      <c r="CV344" s="1066"/>
    </row>
    <row r="345" spans="97:100" ht="18" customHeight="1">
      <c r="CS345" s="1069"/>
      <c r="CT345" s="1069"/>
      <c r="CU345" s="1066"/>
      <c r="CV345" s="1066"/>
    </row>
    <row r="346" spans="97:100" ht="18" customHeight="1">
      <c r="CS346" s="1069"/>
      <c r="CT346" s="1069"/>
      <c r="CU346" s="1066"/>
      <c r="CV346" s="1066"/>
    </row>
    <row r="347" spans="97:100" ht="18" customHeight="1">
      <c r="CS347" s="1069"/>
      <c r="CT347" s="1069"/>
      <c r="CU347" s="1066"/>
      <c r="CV347" s="1066"/>
    </row>
    <row r="348" spans="97:100" ht="18" customHeight="1">
      <c r="CS348" s="1069"/>
      <c r="CT348" s="1069"/>
      <c r="CU348" s="1066"/>
      <c r="CV348" s="1066"/>
    </row>
    <row r="349" spans="97:100" ht="18" customHeight="1">
      <c r="CS349" s="1069"/>
      <c r="CT349" s="1069"/>
      <c r="CU349" s="1066"/>
      <c r="CV349" s="1066"/>
    </row>
    <row r="350" spans="97:100" ht="18" customHeight="1">
      <c r="CS350" s="1069"/>
      <c r="CT350" s="1069"/>
      <c r="CU350" s="1066"/>
      <c r="CV350" s="1066"/>
    </row>
    <row r="351" spans="97:100" ht="18" customHeight="1">
      <c r="CS351" s="1069"/>
      <c r="CT351" s="1069"/>
      <c r="CU351" s="1066"/>
      <c r="CV351" s="1066"/>
    </row>
    <row r="352" spans="97:100" ht="18" customHeight="1">
      <c r="CS352" s="1069"/>
      <c r="CT352" s="1069"/>
      <c r="CU352" s="1066"/>
      <c r="CV352" s="1066"/>
    </row>
    <row r="353" spans="97:100" ht="18" customHeight="1">
      <c r="CS353" s="1069"/>
      <c r="CT353" s="1069"/>
      <c r="CU353" s="1066"/>
      <c r="CV353" s="1066"/>
    </row>
    <row r="354" spans="97:100" ht="18" customHeight="1">
      <c r="CS354" s="1069"/>
      <c r="CT354" s="1069"/>
      <c r="CU354" s="1066"/>
      <c r="CV354" s="1066"/>
    </row>
    <row r="355" spans="97:100" ht="18" customHeight="1">
      <c r="CS355" s="1069"/>
      <c r="CT355" s="1069"/>
      <c r="CU355" s="1066"/>
      <c r="CV355" s="1066"/>
    </row>
    <row r="356" spans="97:100" ht="18" customHeight="1">
      <c r="CS356" s="1069"/>
      <c r="CT356" s="1069"/>
      <c r="CU356" s="1066"/>
      <c r="CV356" s="1066"/>
    </row>
    <row r="357" spans="97:100" ht="18" customHeight="1">
      <c r="CS357" s="1069"/>
      <c r="CT357" s="1069"/>
      <c r="CU357" s="1066"/>
      <c r="CV357" s="1066"/>
    </row>
    <row r="358" spans="97:100" ht="18" customHeight="1">
      <c r="CS358" s="1069"/>
      <c r="CT358" s="1069"/>
      <c r="CU358" s="1066"/>
      <c r="CV358" s="1066"/>
    </row>
    <row r="359" spans="97:100" ht="18" customHeight="1">
      <c r="CS359" s="1069"/>
      <c r="CT359" s="1069"/>
      <c r="CU359" s="1066"/>
      <c r="CV359" s="1066"/>
    </row>
    <row r="360" spans="97:100" ht="18" customHeight="1">
      <c r="CS360" s="1069"/>
      <c r="CT360" s="1069"/>
      <c r="CU360" s="1066"/>
      <c r="CV360" s="1066"/>
    </row>
    <row r="361" spans="97:100" ht="18" customHeight="1">
      <c r="CS361" s="1069"/>
      <c r="CT361" s="1069"/>
      <c r="CU361" s="1066"/>
      <c r="CV361" s="1066"/>
    </row>
    <row r="362" spans="97:100" ht="18" customHeight="1">
      <c r="CS362" s="1069"/>
      <c r="CT362" s="1069"/>
      <c r="CU362" s="1066"/>
      <c r="CV362" s="1066"/>
    </row>
    <row r="363" spans="97:100" ht="18" customHeight="1">
      <c r="CS363" s="1069"/>
      <c r="CT363" s="1069"/>
      <c r="CU363" s="1066"/>
      <c r="CV363" s="1066"/>
    </row>
    <row r="364" spans="97:100" ht="18" customHeight="1">
      <c r="CS364" s="1069"/>
      <c r="CT364" s="1069"/>
      <c r="CU364" s="1066"/>
      <c r="CV364" s="1066"/>
    </row>
    <row r="365" spans="97:100" ht="18" customHeight="1">
      <c r="CS365" s="1069"/>
      <c r="CT365" s="1069"/>
      <c r="CU365" s="1066"/>
      <c r="CV365" s="1066"/>
    </row>
    <row r="366" spans="97:100" ht="18" customHeight="1">
      <c r="CS366" s="1069"/>
      <c r="CT366" s="1069"/>
      <c r="CU366" s="1066"/>
      <c r="CV366" s="1066"/>
    </row>
    <row r="367" spans="97:100" ht="18" customHeight="1">
      <c r="CS367" s="1069"/>
      <c r="CT367" s="1069"/>
      <c r="CU367" s="1066"/>
      <c r="CV367" s="1066"/>
    </row>
    <row r="368" spans="97:100" ht="18" customHeight="1">
      <c r="CS368" s="1069"/>
      <c r="CT368" s="1069"/>
      <c r="CU368" s="1066"/>
      <c r="CV368" s="1066"/>
    </row>
    <row r="369" spans="97:100" ht="18" customHeight="1">
      <c r="CS369" s="1069"/>
      <c r="CT369" s="1069"/>
      <c r="CU369" s="1066"/>
      <c r="CV369" s="1066"/>
    </row>
    <row r="370" spans="97:100" ht="18" customHeight="1">
      <c r="CS370" s="1069"/>
      <c r="CT370" s="1069"/>
      <c r="CU370" s="1066"/>
      <c r="CV370" s="1066"/>
    </row>
    <row r="371" spans="97:100" ht="18" customHeight="1">
      <c r="CS371" s="1069"/>
      <c r="CT371" s="1069"/>
      <c r="CU371" s="1066"/>
      <c r="CV371" s="1066"/>
    </row>
    <row r="372" spans="97:100" ht="18" customHeight="1">
      <c r="CS372" s="1069"/>
      <c r="CT372" s="1069"/>
      <c r="CU372" s="1066"/>
      <c r="CV372" s="1066"/>
    </row>
    <row r="373" spans="97:100" ht="18" customHeight="1">
      <c r="CS373" s="1069"/>
      <c r="CT373" s="1069"/>
      <c r="CU373" s="1066"/>
      <c r="CV373" s="1066"/>
    </row>
    <row r="374" spans="97:100" ht="18" customHeight="1">
      <c r="CS374" s="1069"/>
      <c r="CT374" s="1069"/>
      <c r="CU374" s="1066"/>
      <c r="CV374" s="1066"/>
    </row>
    <row r="375" spans="97:100" ht="18" customHeight="1">
      <c r="CS375" s="1069"/>
      <c r="CT375" s="1069"/>
      <c r="CU375" s="1066"/>
      <c r="CV375" s="1066"/>
    </row>
    <row r="376" spans="97:100" ht="18" customHeight="1">
      <c r="CS376" s="1069"/>
      <c r="CT376" s="1069"/>
      <c r="CU376" s="1066"/>
      <c r="CV376" s="1066"/>
    </row>
    <row r="377" spans="97:100" ht="18" customHeight="1">
      <c r="CS377" s="1069"/>
      <c r="CT377" s="1069"/>
      <c r="CU377" s="1066"/>
      <c r="CV377" s="1066"/>
    </row>
    <row r="378" spans="97:100" ht="18" customHeight="1">
      <c r="CS378" s="1069"/>
      <c r="CT378" s="1069"/>
      <c r="CU378" s="1066"/>
      <c r="CV378" s="1066"/>
    </row>
    <row r="379" spans="97:100" ht="18" customHeight="1">
      <c r="CS379" s="1069"/>
      <c r="CT379" s="1069"/>
      <c r="CU379" s="1066"/>
      <c r="CV379" s="1066"/>
    </row>
    <row r="380" spans="97:100" ht="18" customHeight="1">
      <c r="CS380" s="1069"/>
      <c r="CT380" s="1069"/>
      <c r="CU380" s="1066"/>
      <c r="CV380" s="1066"/>
    </row>
    <row r="381" spans="97:100" ht="18" customHeight="1">
      <c r="CS381" s="1069"/>
      <c r="CT381" s="1069"/>
      <c r="CU381" s="1066"/>
      <c r="CV381" s="1066"/>
    </row>
    <row r="382" spans="97:100" ht="18" customHeight="1">
      <c r="CS382" s="1069"/>
      <c r="CT382" s="1069"/>
      <c r="CU382" s="1066"/>
      <c r="CV382" s="1066"/>
    </row>
    <row r="383" spans="97:100" ht="18" customHeight="1">
      <c r="CS383" s="1069"/>
      <c r="CT383" s="1069"/>
      <c r="CU383" s="1066"/>
      <c r="CV383" s="1066"/>
    </row>
    <row r="384" spans="97:100" ht="18" customHeight="1">
      <c r="CS384" s="1069"/>
      <c r="CT384" s="1069"/>
      <c r="CU384" s="1066"/>
      <c r="CV384" s="1066"/>
    </row>
    <row r="385" spans="97:100" ht="18" customHeight="1">
      <c r="CS385" s="1069"/>
      <c r="CT385" s="1069"/>
      <c r="CU385" s="1066"/>
      <c r="CV385" s="1066"/>
    </row>
    <row r="386" spans="97:100" ht="18" customHeight="1">
      <c r="CS386" s="1069"/>
      <c r="CT386" s="1069"/>
      <c r="CU386" s="1066"/>
      <c r="CV386" s="1066"/>
    </row>
    <row r="387" spans="97:100" ht="18" customHeight="1">
      <c r="CS387" s="1069"/>
      <c r="CT387" s="1069"/>
      <c r="CU387" s="1066"/>
      <c r="CV387" s="1066"/>
    </row>
    <row r="388" spans="97:100" ht="18" customHeight="1">
      <c r="CS388" s="1069"/>
      <c r="CT388" s="1069"/>
      <c r="CU388" s="1066"/>
      <c r="CV388" s="1066"/>
    </row>
    <row r="389" spans="97:100" ht="18" customHeight="1">
      <c r="CS389" s="1069"/>
      <c r="CT389" s="1069"/>
      <c r="CU389" s="1066"/>
      <c r="CV389" s="1066"/>
    </row>
    <row r="390" spans="97:100" ht="18" customHeight="1">
      <c r="CS390" s="1069"/>
      <c r="CT390" s="1069"/>
      <c r="CU390" s="1066"/>
      <c r="CV390" s="1066"/>
    </row>
    <row r="391" spans="97:100" ht="18" customHeight="1">
      <c r="CS391" s="1069"/>
      <c r="CT391" s="1069"/>
      <c r="CU391" s="1066"/>
      <c r="CV391" s="1066"/>
    </row>
    <row r="392" spans="97:100" ht="18" customHeight="1">
      <c r="CS392" s="1069"/>
      <c r="CT392" s="1069"/>
      <c r="CU392" s="1066"/>
      <c r="CV392" s="1066"/>
    </row>
    <row r="393" spans="97:100" ht="18" customHeight="1">
      <c r="CS393" s="1069"/>
      <c r="CT393" s="1069"/>
      <c r="CU393" s="1066"/>
      <c r="CV393" s="1066"/>
    </row>
    <row r="394" spans="97:100" ht="18" customHeight="1">
      <c r="CS394" s="1069"/>
      <c r="CT394" s="1069"/>
      <c r="CU394" s="1066"/>
      <c r="CV394" s="1066"/>
    </row>
    <row r="395" spans="97:100" ht="18" customHeight="1">
      <c r="CS395" s="1069"/>
      <c r="CT395" s="1069"/>
      <c r="CU395" s="1066"/>
      <c r="CV395" s="1066"/>
    </row>
    <row r="396" spans="97:100" ht="18" customHeight="1">
      <c r="CS396" s="1069"/>
      <c r="CT396" s="1069"/>
      <c r="CU396" s="1066"/>
      <c r="CV396" s="1066"/>
    </row>
    <row r="397" spans="97:100" ht="18" customHeight="1">
      <c r="CS397" s="1069"/>
      <c r="CT397" s="1069"/>
      <c r="CU397" s="1066"/>
      <c r="CV397" s="1066"/>
    </row>
    <row r="398" spans="97:100" ht="18" customHeight="1">
      <c r="CS398" s="1069"/>
      <c r="CT398" s="1069"/>
      <c r="CU398" s="1066"/>
      <c r="CV398" s="1066"/>
    </row>
    <row r="399" spans="97:100" ht="18" customHeight="1">
      <c r="CS399" s="1069"/>
      <c r="CT399" s="1069"/>
      <c r="CU399" s="1066"/>
      <c r="CV399" s="1066"/>
    </row>
    <row r="400" spans="97:100" ht="18" customHeight="1">
      <c r="CS400" s="1069"/>
      <c r="CT400" s="1069"/>
      <c r="CU400" s="1066"/>
      <c r="CV400" s="1066"/>
    </row>
    <row r="401" spans="97:100" ht="18" customHeight="1">
      <c r="CS401" s="1069"/>
      <c r="CT401" s="1069"/>
      <c r="CU401" s="1066"/>
      <c r="CV401" s="1066"/>
    </row>
    <row r="402" spans="97:100" ht="18" customHeight="1">
      <c r="CS402" s="1069"/>
      <c r="CT402" s="1069"/>
      <c r="CU402" s="1066"/>
      <c r="CV402" s="1066"/>
    </row>
    <row r="403" spans="97:100" ht="18" customHeight="1">
      <c r="CS403" s="1069"/>
      <c r="CT403" s="1069"/>
      <c r="CU403" s="1066"/>
      <c r="CV403" s="1066"/>
    </row>
    <row r="404" spans="97:100" ht="18" customHeight="1">
      <c r="CS404" s="1069"/>
      <c r="CT404" s="1069"/>
      <c r="CU404" s="1066"/>
      <c r="CV404" s="1066"/>
    </row>
    <row r="405" spans="97:100" ht="18" customHeight="1">
      <c r="CS405" s="1069"/>
      <c r="CT405" s="1069"/>
      <c r="CU405" s="1066"/>
      <c r="CV405" s="1066"/>
    </row>
    <row r="406" spans="97:100" ht="18" customHeight="1">
      <c r="CS406" s="1069"/>
      <c r="CT406" s="1069"/>
      <c r="CU406" s="1066"/>
      <c r="CV406" s="1066"/>
    </row>
    <row r="407" spans="97:100" ht="18" customHeight="1">
      <c r="CS407" s="1069"/>
      <c r="CT407" s="1069"/>
      <c r="CU407" s="1066"/>
      <c r="CV407" s="1066"/>
    </row>
    <row r="408" spans="97:100" ht="18" customHeight="1">
      <c r="CS408" s="1069"/>
      <c r="CT408" s="1069"/>
      <c r="CU408" s="1066"/>
      <c r="CV408" s="1066"/>
    </row>
    <row r="409" spans="97:100" ht="18" customHeight="1">
      <c r="CS409" s="1069"/>
      <c r="CT409" s="1069"/>
      <c r="CU409" s="1066"/>
      <c r="CV409" s="1066"/>
    </row>
    <row r="410" spans="97:100" ht="18" customHeight="1">
      <c r="CS410" s="1069"/>
      <c r="CT410" s="1069"/>
      <c r="CU410" s="1066"/>
      <c r="CV410" s="1066"/>
    </row>
    <row r="411" spans="97:100" ht="18" customHeight="1">
      <c r="CS411" s="1069"/>
      <c r="CT411" s="1069"/>
      <c r="CU411" s="1066"/>
      <c r="CV411" s="1066"/>
    </row>
    <row r="412" spans="97:100" ht="18" customHeight="1">
      <c r="CS412" s="1069"/>
      <c r="CT412" s="1069"/>
      <c r="CU412" s="1066"/>
      <c r="CV412" s="1066"/>
    </row>
    <row r="413" spans="97:100" ht="18" customHeight="1">
      <c r="CS413" s="1069"/>
      <c r="CT413" s="1069"/>
      <c r="CU413" s="1066"/>
      <c r="CV413" s="1066"/>
    </row>
    <row r="414" spans="97:100" ht="18" customHeight="1">
      <c r="CS414" s="1069"/>
      <c r="CT414" s="1069"/>
      <c r="CU414" s="1066"/>
      <c r="CV414" s="1066"/>
    </row>
    <row r="415" spans="97:100" ht="18" customHeight="1">
      <c r="CS415" s="1069"/>
      <c r="CT415" s="1069"/>
      <c r="CU415" s="1066"/>
      <c r="CV415" s="1066"/>
    </row>
    <row r="416" spans="97:100" ht="18" customHeight="1">
      <c r="CS416" s="1069"/>
      <c r="CT416" s="1069"/>
      <c r="CU416" s="1066"/>
      <c r="CV416" s="1066"/>
    </row>
    <row r="417" spans="97:100" ht="18" customHeight="1">
      <c r="CS417" s="1069"/>
      <c r="CT417" s="1069"/>
      <c r="CU417" s="1066"/>
      <c r="CV417" s="1066"/>
    </row>
  </sheetData>
  <sheetProtection pivotTables="0"/>
  <autoFilter ref="A4:CX289"/>
  <sortState ref="B5:CV289">
    <sortCondition ref="B5:B289"/>
    <sortCondition ref="F5:F289"/>
  </sortState>
  <dataConsolidate/>
  <mergeCells count="16">
    <mergeCell ref="AA3:AE3"/>
    <mergeCell ref="CI3:CJ3"/>
    <mergeCell ref="BX3:CH3"/>
    <mergeCell ref="B3:E3"/>
    <mergeCell ref="B2:E2"/>
    <mergeCell ref="AX3:BU3"/>
    <mergeCell ref="G2:N2"/>
    <mergeCell ref="X2:AW2"/>
    <mergeCell ref="AX2:BW2"/>
    <mergeCell ref="G3:J3"/>
    <mergeCell ref="S3:W3"/>
    <mergeCell ref="X3:Z3"/>
    <mergeCell ref="AF3:AG3"/>
    <mergeCell ref="AH3:AU3"/>
    <mergeCell ref="BX2:CQ2"/>
    <mergeCell ref="CK3:CP3"/>
  </mergeCells>
  <conditionalFormatting sqref="A5">
    <cfRule type="cellIs" dxfId="1" priority="23" operator="equal">
      <formula>$F5</formula>
    </cfRule>
  </conditionalFormatting>
  <conditionalFormatting sqref="A6:A142 A272:A289">
    <cfRule type="cellIs" dxfId="0" priority="1" operator="equal">
      <formula>$F6</formula>
    </cfRule>
  </conditionalFormatting>
  <dataValidations count="5">
    <dataValidation type="custom" allowBlank="1" showInputMessage="1" showErrorMessage="1" error="Estimated coverage is less than actual coverage." sqref="AU272:AU276 AU278:AU281">
      <formula1>AU272&gt;=AH272</formula1>
    </dataValidation>
    <dataValidation type="custom" allowBlank="1" showInputMessage="1" showErrorMessage="1" error="Estimated coverage is less than actual coverage." sqref="BP143:BP201 BP278:BP281 BP272:BP276 BQ5:BQ289">
      <formula1>BP5&gt;=BM5</formula1>
    </dataValidation>
    <dataValidation type="custom" allowBlank="1" showInputMessage="1" showErrorMessage="1" error="Estimated coverage is less than actual coverage." sqref="BI15 BI127:BI132 BI272:BI281">
      <formula1>BI15&gt;=BB15</formula1>
    </dataValidation>
    <dataValidation type="custom" allowBlank="1" showInputMessage="1" showErrorMessage="1" error="Estimated coverage is less than actual coverage." sqref="BU272:BU277">
      <formula1>BU272&gt;=BS272</formula1>
    </dataValidation>
    <dataValidation type="list" allowBlank="1" showInputMessage="1" showErrorMessage="1" sqref="W8:W21 F146:F159">
      <formula1>#REF!</formula1>
    </dataValidation>
  </dataValidations>
  <printOptions horizontalCentered="1"/>
  <pageMargins left="0.25" right="0.16" top="0.75" bottom="0.75" header="0.3" footer="0.3"/>
  <pageSetup paperSize="9" scale="47" fitToWidth="3" fitToHeight="5" orientation="landscape" r:id="rId1"/>
  <rowBreaks count="3" manualBreakCount="3">
    <brk id="43" min="1" max="86" man="1"/>
    <brk id="75" min="1" max="86" man="1"/>
    <brk id="116" min="1" max="86" man="1"/>
  </rowBreaks>
  <colBreaks count="3" manualBreakCount="3">
    <brk id="49" min="1" max="139" man="1"/>
    <brk id="75" min="1" max="139" man="1"/>
    <brk id="90" min="1" max="139" man="1"/>
  </colBreaks>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List!$E$2:$E$6</xm:f>
          </x14:formula1>
          <xm:sqref>CO5:CP90 CO91:CQ91 CM5:CM289 CO92:CP289</xm:sqref>
        </x14:dataValidation>
        <x14:dataValidation type="list" allowBlank="1" showInputMessage="1" showErrorMessage="1">
          <x14:formula1>
            <xm:f>[1]List!#REF!</xm:f>
          </x14:formula1>
          <xm:sqref>W6 W28:W48</xm:sqref>
        </x14:dataValidation>
        <x14:dataValidation type="list" allowBlank="1" showInputMessage="1" showErrorMessage="1">
          <x14:formula1>
            <xm:f>List!$O$2:$O$4</xm:f>
          </x14:formula1>
          <xm:sqref>W22:W25 W5 W7 W49:W289</xm:sqref>
        </x14:dataValidation>
        <x14:dataValidation type="list" allowBlank="1" showInputMessage="1" showErrorMessage="1">
          <x14:formula1>
            <xm:f>List!$H$14:$H$15</xm:f>
          </x14:formula1>
          <xm:sqref>I5:I289</xm:sqref>
        </x14:dataValidation>
        <x14:dataValidation type="list" allowBlank="1" showInputMessage="1" showErrorMessage="1">
          <x14:formula1>
            <xm:f>List!$J$14:$J$17</xm:f>
          </x14:formula1>
          <xm:sqref>J1:J4 J290:J1048576</xm:sqref>
        </x14:dataValidation>
        <x14:dataValidation type="list" allowBlank="1" showInputMessage="1" showErrorMessage="1">
          <x14:formula1>
            <xm:f>List!$L$13:$L$17</xm:f>
          </x14:formula1>
          <xm:sqref>K5:K289</xm:sqref>
        </x14:dataValidation>
        <x14:dataValidation type="list" allowBlank="1" showInputMessage="1" showErrorMessage="1">
          <x14:formula1>
            <xm:f>List!$B$16:$B$20</xm:f>
          </x14:formula1>
          <xm:sqref>BH5:BH289</xm:sqref>
        </x14:dataValidation>
        <x14:dataValidation type="list" allowBlank="1" showInputMessage="1" showErrorMessage="1">
          <x14:formula1>
            <xm:f>[2]List!#REF!</xm:f>
          </x14:formula1>
          <xm:sqref>F143:F145 F160:F173</xm:sqref>
        </x14:dataValidation>
        <x14:dataValidation type="list" allowBlank="1" showInputMessage="1" showErrorMessage="1">
          <x14:formula1>
            <xm:f>List!$B$12:$B$14</xm:f>
          </x14:formula1>
          <xm:sqref>Z5:Z289 CN5:CN289</xm:sqref>
        </x14:dataValidation>
        <x14:dataValidation type="list" allowBlank="1" showInputMessage="1" showErrorMessage="1">
          <x14:formula1>
            <xm:f>CHOOSE(VLOOKUP($I5,List!$H$14:$I$15,2,FALSE),Camp,Village)</xm:f>
          </x14:formula1>
          <xm:sqref>BA5:BA289</xm:sqref>
        </x14:dataValidation>
        <x14:dataValidation type="list" allowBlank="1" showInputMessage="1" showErrorMessage="1">
          <x14:formula1>
            <xm:f>List!$J$14:$J$20</xm:f>
          </x14:formula1>
          <xm:sqref>J5:J289</xm:sqref>
        </x14:dataValidation>
        <x14:dataValidation type="list" allowBlank="1" showInputMessage="1" showErrorMessage="1">
          <x14:formula1>
            <xm:f>List!$G$13:$G$15</xm:f>
          </x14:formula1>
          <xm:sqref>O5:O289</xm:sqref>
        </x14:dataValidation>
        <x14:dataValidation type="list" allowBlank="1" showInputMessage="1" showErrorMessage="1">
          <x14:formula1>
            <xm:f>List!$B$30:$B$37</xm:f>
          </x14:formula1>
          <xm:sqref>BY5:BZ289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election activeCell="B16" sqref="B16"/>
    </sheetView>
  </sheetViews>
  <sheetFormatPr defaultRowHeight="15"/>
  <cols>
    <col min="1" max="1" width="30.140625" bestFit="1" customWidth="1"/>
    <col min="2" max="2" width="10.42578125" style="1131" bestFit="1" customWidth="1"/>
  </cols>
  <sheetData>
    <row r="1" spans="1:2">
      <c r="A1" t="s">
        <v>9</v>
      </c>
      <c r="B1" s="1131" t="s">
        <v>1173</v>
      </c>
    </row>
    <row r="2" spans="1:2">
      <c r="A2" t="s">
        <v>422</v>
      </c>
      <c r="B2" s="1131">
        <v>42369</v>
      </c>
    </row>
    <row r="3" spans="1:2">
      <c r="A3" t="s">
        <v>733</v>
      </c>
      <c r="B3" s="1131">
        <v>42369</v>
      </c>
    </row>
    <row r="4" spans="1:2">
      <c r="A4" t="s">
        <v>424</v>
      </c>
      <c r="B4" s="1131">
        <v>42369</v>
      </c>
    </row>
    <row r="5" spans="1:2">
      <c r="A5" t="s">
        <v>55</v>
      </c>
      <c r="B5" s="1131">
        <v>42369</v>
      </c>
    </row>
    <row r="6" spans="1:2">
      <c r="A6" t="s">
        <v>637</v>
      </c>
      <c r="B6" s="1131">
        <v>42551</v>
      </c>
    </row>
    <row r="7" spans="1:2">
      <c r="A7" t="s">
        <v>79</v>
      </c>
      <c r="B7" s="1131">
        <v>42551</v>
      </c>
    </row>
    <row r="8" spans="1:2">
      <c r="A8" t="s">
        <v>69</v>
      </c>
      <c r="B8" s="1131">
        <v>42369</v>
      </c>
    </row>
    <row r="9" spans="1:2">
      <c r="A9" t="s">
        <v>638</v>
      </c>
    </row>
    <row r="10" spans="1:2">
      <c r="A10" t="s">
        <v>509</v>
      </c>
      <c r="B10" s="1131">
        <v>42338</v>
      </c>
    </row>
    <row r="11" spans="1:2">
      <c r="A11" t="s">
        <v>381</v>
      </c>
      <c r="B11" s="1131">
        <v>42338</v>
      </c>
    </row>
    <row r="12" spans="1:2">
      <c r="A12" t="s">
        <v>74</v>
      </c>
      <c r="B12" s="1131">
        <v>42338</v>
      </c>
    </row>
    <row r="13" spans="1:2">
      <c r="A13" t="s">
        <v>425</v>
      </c>
      <c r="B13" s="1131">
        <v>42460</v>
      </c>
    </row>
    <row r="14" spans="1:2">
      <c r="A14" t="s">
        <v>407</v>
      </c>
      <c r="B14" s="1131">
        <v>42460</v>
      </c>
    </row>
    <row r="15" spans="1:2">
      <c r="A15" t="s">
        <v>426</v>
      </c>
      <c r="B15" s="1131">
        <v>42460</v>
      </c>
    </row>
    <row r="16" spans="1:2">
      <c r="A16" t="s">
        <v>409</v>
      </c>
      <c r="B16" s="1131">
        <v>42460</v>
      </c>
    </row>
    <row r="17" spans="1:2">
      <c r="A17" t="s">
        <v>50</v>
      </c>
      <c r="B17" s="1131">
        <v>42338</v>
      </c>
    </row>
    <row r="18" spans="1:2">
      <c r="A18" t="s">
        <v>48</v>
      </c>
      <c r="B18" s="1131">
        <v>42338</v>
      </c>
    </row>
    <row r="19" spans="1:2">
      <c r="A19" t="s">
        <v>609</v>
      </c>
      <c r="B19" s="1131">
        <v>42460</v>
      </c>
    </row>
    <row r="20" spans="1:2">
      <c r="A20" t="s">
        <v>421</v>
      </c>
      <c r="B20" s="1131">
        <v>42460</v>
      </c>
    </row>
    <row r="21" spans="1:2">
      <c r="A21" t="s">
        <v>82</v>
      </c>
      <c r="B21" s="1131">
        <v>42460</v>
      </c>
    </row>
    <row r="22" spans="1:2">
      <c r="A22" t="s">
        <v>608</v>
      </c>
      <c r="B22" s="1131">
        <v>42460</v>
      </c>
    </row>
    <row r="23" spans="1:2">
      <c r="A23" t="s">
        <v>988</v>
      </c>
      <c r="B23" s="1131">
        <v>42460</v>
      </c>
    </row>
    <row r="24" spans="1:2">
      <c r="A24" t="s">
        <v>53</v>
      </c>
      <c r="B24" s="1131">
        <v>42521</v>
      </c>
    </row>
    <row r="25" spans="1:2">
      <c r="A25" t="s">
        <v>506</v>
      </c>
      <c r="B25" s="1131">
        <v>42521</v>
      </c>
    </row>
    <row r="26" spans="1:2">
      <c r="A26" t="s">
        <v>507</v>
      </c>
      <c r="B26" s="1131">
        <v>42521</v>
      </c>
    </row>
    <row r="27" spans="1:2">
      <c r="A27" t="s">
        <v>67</v>
      </c>
      <c r="B27" s="1131">
        <v>42490</v>
      </c>
    </row>
    <row r="28" spans="1:2">
      <c r="A28" t="s">
        <v>66</v>
      </c>
      <c r="B28" s="1131">
        <v>42490</v>
      </c>
    </row>
    <row r="29" spans="1:2">
      <c r="A29" t="s">
        <v>78</v>
      </c>
      <c r="B29" s="1131">
        <v>42460</v>
      </c>
    </row>
    <row r="30" spans="1:2">
      <c r="A30" t="s">
        <v>77</v>
      </c>
      <c r="B30" s="1131">
        <v>42460</v>
      </c>
    </row>
    <row r="31" spans="1:2">
      <c r="A31" t="s">
        <v>732</v>
      </c>
      <c r="B31" s="1131">
        <v>42460</v>
      </c>
    </row>
    <row r="32" spans="1:2">
      <c r="A32" t="s">
        <v>80</v>
      </c>
      <c r="B32" s="1131">
        <v>42460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370"/>
  <sheetViews>
    <sheetView zoomScale="75" zoomScaleNormal="75" workbookViewId="0">
      <pane xSplit="6" ySplit="4" topLeftCell="G5" activePane="bottomRight" state="frozen"/>
      <selection activeCell="G5" sqref="G5"/>
      <selection pane="topRight" activeCell="G5" sqref="G5"/>
      <selection pane="bottomLeft" activeCell="G5" sqref="G5"/>
      <selection pane="bottomRight" activeCell="R11" sqref="R11"/>
    </sheetView>
  </sheetViews>
  <sheetFormatPr defaultColWidth="10" defaultRowHeight="14.25"/>
  <cols>
    <col min="1" max="1" width="4.140625" style="290" customWidth="1"/>
    <col min="2" max="2" width="3.7109375" style="290" customWidth="1"/>
    <col min="3" max="3" width="17.42578125" style="305" customWidth="1"/>
    <col min="4" max="6" width="13" style="305" customWidth="1"/>
    <col min="7" max="7" width="52" style="305" customWidth="1"/>
    <col min="8" max="8" width="12.42578125" style="305" customWidth="1"/>
    <col min="9" max="9" width="13" style="305" customWidth="1"/>
    <col min="10" max="11" width="11.140625" style="305" customWidth="1"/>
    <col min="12" max="12" width="13.140625" style="305" customWidth="1"/>
    <col min="13" max="13" width="13.140625" style="306" customWidth="1"/>
    <col min="14" max="14" width="13.140625" style="126" customWidth="1"/>
    <col min="15" max="15" width="13.140625" style="127" customWidth="1"/>
    <col min="16" max="16" width="13.140625" style="128" customWidth="1"/>
    <col min="17" max="22" width="13" style="305" customWidth="1"/>
    <col min="23" max="30" width="18.5703125" style="306" customWidth="1"/>
    <col min="31" max="31" width="58.7109375" style="305" customWidth="1"/>
    <col min="32" max="33" width="18.5703125" style="297" hidden="1" customWidth="1"/>
    <col min="34" max="34" width="18.5703125" style="290" customWidth="1"/>
    <col min="35" max="16384" width="10" style="290"/>
  </cols>
  <sheetData>
    <row r="1" spans="3:33" s="122" customFormat="1" ht="22.5" customHeight="1" thickBot="1">
      <c r="C1" s="123">
        <v>41640</v>
      </c>
      <c r="D1" s="545">
        <v>42004</v>
      </c>
      <c r="E1" s="124"/>
      <c r="F1" s="124"/>
      <c r="G1" s="124"/>
      <c r="H1" s="124"/>
      <c r="I1" s="124"/>
      <c r="J1" s="124"/>
      <c r="K1" s="124"/>
      <c r="L1" s="124"/>
      <c r="M1" s="125"/>
      <c r="N1" s="126"/>
      <c r="O1" s="127"/>
      <c r="P1" s="128"/>
      <c r="Q1" s="124"/>
      <c r="R1" s="124"/>
      <c r="S1" s="124"/>
      <c r="T1" s="124"/>
      <c r="U1" s="124"/>
      <c r="V1" s="124"/>
      <c r="W1" s="125"/>
      <c r="X1" s="125"/>
      <c r="Y1" s="125"/>
      <c r="Z1" s="125"/>
      <c r="AA1" s="125"/>
      <c r="AB1" s="125"/>
      <c r="AC1" s="125"/>
      <c r="AD1" s="125"/>
      <c r="AE1" s="124"/>
      <c r="AF1" s="129"/>
      <c r="AG1" s="129"/>
    </row>
    <row r="2" spans="3:33" s="122" customFormat="1" ht="30" customHeight="1" thickBot="1">
      <c r="C2" s="130" t="s">
        <v>247</v>
      </c>
      <c r="D2" s="131">
        <v>41865</v>
      </c>
      <c r="E2" s="132"/>
      <c r="F2" s="133"/>
      <c r="G2" s="1287" t="s">
        <v>248</v>
      </c>
      <c r="H2" s="1288"/>
      <c r="I2" s="1288"/>
      <c r="J2" s="1288"/>
      <c r="K2" s="1289"/>
      <c r="L2" s="1290" t="s">
        <v>249</v>
      </c>
      <c r="M2" s="1291"/>
      <c r="N2" s="1291"/>
      <c r="O2" s="1291"/>
      <c r="P2" s="1291"/>
      <c r="Q2" s="1291"/>
      <c r="R2" s="1291"/>
      <c r="S2" s="1291"/>
      <c r="T2" s="1291"/>
      <c r="U2" s="1291"/>
      <c r="V2" s="1292"/>
      <c r="W2" s="125"/>
      <c r="X2" s="125"/>
      <c r="Y2" s="125"/>
      <c r="Z2" s="125"/>
      <c r="AA2" s="125"/>
      <c r="AB2" s="125"/>
      <c r="AC2" s="125"/>
      <c r="AD2" s="125"/>
      <c r="AE2" s="124"/>
      <c r="AF2" s="129"/>
      <c r="AG2" s="129"/>
    </row>
    <row r="3" spans="3:33" s="134" customFormat="1" ht="40.15" customHeight="1" thickBot="1">
      <c r="C3" s="1293" t="s">
        <v>250</v>
      </c>
      <c r="D3" s="1294"/>
      <c r="E3" s="1294"/>
      <c r="F3" s="1294"/>
      <c r="G3" s="1295"/>
      <c r="H3" s="1296" t="s">
        <v>251</v>
      </c>
      <c r="I3" s="1297"/>
      <c r="J3" s="1297"/>
      <c r="K3" s="1298"/>
      <c r="L3" s="1290" t="s">
        <v>252</v>
      </c>
      <c r="M3" s="1291"/>
      <c r="N3" s="1291"/>
      <c r="O3" s="1291"/>
      <c r="P3" s="1292"/>
      <c r="Q3" s="1299" t="s">
        <v>165</v>
      </c>
      <c r="R3" s="1299"/>
      <c r="S3" s="1299"/>
      <c r="T3" s="1300" t="s">
        <v>253</v>
      </c>
      <c r="U3" s="1300"/>
      <c r="V3" s="1301"/>
      <c r="W3" s="1282" t="s">
        <v>254</v>
      </c>
      <c r="X3" s="1282"/>
      <c r="Y3" s="1282"/>
      <c r="Z3" s="1282"/>
      <c r="AA3" s="1282"/>
      <c r="AB3" s="1282"/>
      <c r="AC3" s="1282"/>
      <c r="AD3" s="1282"/>
      <c r="AE3" s="135" t="s">
        <v>20</v>
      </c>
      <c r="AF3" s="136"/>
      <c r="AG3" s="136"/>
    </row>
    <row r="4" spans="3:33" s="122" customFormat="1" ht="101.25" customHeight="1">
      <c r="C4" s="137" t="s">
        <v>255</v>
      </c>
      <c r="D4" s="138" t="s">
        <v>256</v>
      </c>
      <c r="E4" s="138" t="s">
        <v>257</v>
      </c>
      <c r="F4" s="138" t="s">
        <v>258</v>
      </c>
      <c r="G4" s="139" t="s">
        <v>259</v>
      </c>
      <c r="H4" s="137" t="s">
        <v>260</v>
      </c>
      <c r="I4" s="138" t="s">
        <v>261</v>
      </c>
      <c r="J4" s="140" t="s">
        <v>262</v>
      </c>
      <c r="K4" s="139" t="s">
        <v>263</v>
      </c>
      <c r="L4" s="141" t="s">
        <v>264</v>
      </c>
      <c r="M4" s="142" t="s">
        <v>896</v>
      </c>
      <c r="N4" s="143" t="s">
        <v>265</v>
      </c>
      <c r="O4" s="144" t="s">
        <v>427</v>
      </c>
      <c r="P4" s="145" t="s">
        <v>428</v>
      </c>
      <c r="Q4" s="137" t="s">
        <v>266</v>
      </c>
      <c r="R4" s="138" t="s">
        <v>267</v>
      </c>
      <c r="S4" s="139" t="s">
        <v>268</v>
      </c>
      <c r="T4" s="137" t="s">
        <v>266</v>
      </c>
      <c r="U4" s="138" t="s">
        <v>267</v>
      </c>
      <c r="V4" s="139" t="s">
        <v>268</v>
      </c>
      <c r="W4" s="146" t="s">
        <v>269</v>
      </c>
      <c r="X4" s="147" t="s">
        <v>270</v>
      </c>
      <c r="Y4" s="147" t="s">
        <v>271</v>
      </c>
      <c r="Z4" s="147" t="s">
        <v>693</v>
      </c>
      <c r="AA4" s="148" t="s">
        <v>272</v>
      </c>
      <c r="AB4" s="148" t="s">
        <v>273</v>
      </c>
      <c r="AC4" s="148" t="s">
        <v>274</v>
      </c>
      <c r="AD4" s="149" t="s">
        <v>275</v>
      </c>
      <c r="AE4" s="150" t="s">
        <v>276</v>
      </c>
      <c r="AF4" s="129" t="s">
        <v>44</v>
      </c>
      <c r="AG4" s="129" t="s">
        <v>14</v>
      </c>
    </row>
    <row r="5" spans="3:33" s="122" customFormat="1" ht="54" customHeight="1">
      <c r="C5" s="151" t="s">
        <v>277</v>
      </c>
      <c r="D5" s="152"/>
      <c r="E5" s="153" t="s">
        <v>153</v>
      </c>
      <c r="F5" s="152"/>
      <c r="G5" s="154" t="s">
        <v>279</v>
      </c>
      <c r="H5" s="155">
        <v>41162</v>
      </c>
      <c r="I5" s="156">
        <v>41252</v>
      </c>
      <c r="J5" s="157" t="s">
        <v>303</v>
      </c>
      <c r="K5" s="158">
        <f t="shared" ref="K5:K22" si="0">YEAR(H5)</f>
        <v>2012</v>
      </c>
      <c r="L5" s="159">
        <v>2365</v>
      </c>
      <c r="M5" s="160">
        <v>0</v>
      </c>
      <c r="N5" s="161">
        <v>1</v>
      </c>
      <c r="O5" s="162">
        <v>0</v>
      </c>
      <c r="P5" s="163">
        <v>0</v>
      </c>
      <c r="Q5" s="159">
        <v>2365</v>
      </c>
      <c r="R5" s="164">
        <v>2365</v>
      </c>
      <c r="S5" s="158">
        <v>2365</v>
      </c>
      <c r="T5" s="159">
        <v>0</v>
      </c>
      <c r="U5" s="164">
        <v>0</v>
      </c>
      <c r="V5" s="158">
        <v>0</v>
      </c>
      <c r="W5" s="165">
        <v>80000</v>
      </c>
      <c r="X5" s="166">
        <f>W5-(Y5+Z5)</f>
        <v>80000</v>
      </c>
      <c r="Y5" s="166">
        <f>IF(I5&lt;$C$1,0,IF(H5&gt;$C$1,W5-Z5,(I5-$C$1)/(I5-H5)*W5-Z5))</f>
        <v>0</v>
      </c>
      <c r="Z5" s="166">
        <f>IF(I5&lt;$D$1,0,IF(H5&gt;$D$1,W5,(I5-$D$1)/(I5-H5)*W5))</f>
        <v>0</v>
      </c>
      <c r="AA5" s="167">
        <v>1</v>
      </c>
      <c r="AB5" s="167">
        <f>35000000/58000000</f>
        <v>0.60344827586206895</v>
      </c>
      <c r="AC5" s="167">
        <v>0.4</v>
      </c>
      <c r="AD5" s="168">
        <v>0</v>
      </c>
      <c r="AE5" s="169"/>
      <c r="AF5" s="129"/>
      <c r="AG5" s="129"/>
    </row>
    <row r="6" spans="3:33" s="122" customFormat="1" ht="54" customHeight="1">
      <c r="C6" s="151" t="s">
        <v>277</v>
      </c>
      <c r="D6" s="152"/>
      <c r="E6" s="153" t="s">
        <v>153</v>
      </c>
      <c r="F6" s="152"/>
      <c r="G6" s="154" t="s">
        <v>280</v>
      </c>
      <c r="H6" s="155">
        <v>41295</v>
      </c>
      <c r="I6" s="156">
        <v>41385</v>
      </c>
      <c r="J6" s="157" t="s">
        <v>303</v>
      </c>
      <c r="K6" s="158">
        <f t="shared" si="0"/>
        <v>2013</v>
      </c>
      <c r="L6" s="159">
        <v>3145</v>
      </c>
      <c r="M6" s="160">
        <v>0</v>
      </c>
      <c r="N6" s="170">
        <v>0.95</v>
      </c>
      <c r="O6" s="167">
        <v>0</v>
      </c>
      <c r="P6" s="168">
        <v>0.05</v>
      </c>
      <c r="Q6" s="159">
        <v>3145</v>
      </c>
      <c r="R6" s="164">
        <v>2753</v>
      </c>
      <c r="S6" s="158">
        <v>3145</v>
      </c>
      <c r="T6" s="159">
        <v>0</v>
      </c>
      <c r="U6" s="164">
        <v>0</v>
      </c>
      <c r="V6" s="158">
        <v>0</v>
      </c>
      <c r="W6" s="165">
        <v>107930</v>
      </c>
      <c r="X6" s="166">
        <f t="shared" ref="X6:X62" si="1">W6-(Y6+Z6)</f>
        <v>107930</v>
      </c>
      <c r="Y6" s="166">
        <f t="shared" ref="Y6:Y62" si="2">IF(I6&lt;$C$1,0,IF(H6&gt;$C$1,W6-Z6,(I6-$C$1)/(I6-H6)*W6-Z6))</f>
        <v>0</v>
      </c>
      <c r="Z6" s="166">
        <f t="shared" ref="Z6:Z62" si="3">IF(I6&lt;$D$1,0,IF(H6&gt;$D$1,W6,(I6-$D$1)/(I6-H6)*W6))</f>
        <v>0</v>
      </c>
      <c r="AA6" s="167">
        <v>1</v>
      </c>
      <c r="AB6" s="167">
        <f>(30739200+8700000)/75431900</f>
        <v>0.52284510929726014</v>
      </c>
      <c r="AC6" s="167">
        <f>(16656600+7958400)/75431900</f>
        <v>0.32632082713016641</v>
      </c>
      <c r="AD6" s="168">
        <v>0.15</v>
      </c>
      <c r="AE6" s="169"/>
      <c r="AF6" s="129">
        <v>5</v>
      </c>
      <c r="AG6" s="129">
        <v>552</v>
      </c>
    </row>
    <row r="7" spans="3:33" s="122" customFormat="1" ht="54" customHeight="1">
      <c r="C7" s="151" t="s">
        <v>277</v>
      </c>
      <c r="D7" s="152"/>
      <c r="E7" s="153" t="s">
        <v>153</v>
      </c>
      <c r="F7" s="152"/>
      <c r="G7" s="154" t="s">
        <v>279</v>
      </c>
      <c r="H7" s="155">
        <v>41078</v>
      </c>
      <c r="I7" s="156">
        <v>41274</v>
      </c>
      <c r="J7" s="157" t="s">
        <v>303</v>
      </c>
      <c r="K7" s="158">
        <f t="shared" si="0"/>
        <v>2012</v>
      </c>
      <c r="L7" s="159">
        <v>2365</v>
      </c>
      <c r="M7" s="160">
        <v>0</v>
      </c>
      <c r="N7" s="170">
        <v>1</v>
      </c>
      <c r="O7" s="167">
        <v>0</v>
      </c>
      <c r="P7" s="168">
        <v>0</v>
      </c>
      <c r="Q7" s="159">
        <v>2365</v>
      </c>
      <c r="R7" s="164">
        <v>2365</v>
      </c>
      <c r="S7" s="158">
        <v>0</v>
      </c>
      <c r="T7" s="159">
        <v>0</v>
      </c>
      <c r="U7" s="164">
        <v>0</v>
      </c>
      <c r="V7" s="158">
        <v>0</v>
      </c>
      <c r="W7" s="165">
        <v>20000</v>
      </c>
      <c r="X7" s="166">
        <f t="shared" si="1"/>
        <v>20000</v>
      </c>
      <c r="Y7" s="166">
        <f t="shared" si="2"/>
        <v>0</v>
      </c>
      <c r="Z7" s="166">
        <f t="shared" si="3"/>
        <v>0</v>
      </c>
      <c r="AA7" s="167">
        <v>1</v>
      </c>
      <c r="AB7" s="167">
        <v>1</v>
      </c>
      <c r="AC7" s="167">
        <v>0</v>
      </c>
      <c r="AD7" s="168">
        <v>0</v>
      </c>
      <c r="AE7" s="169"/>
      <c r="AF7" s="129"/>
      <c r="AG7" s="129"/>
    </row>
    <row r="8" spans="3:33" s="122" customFormat="1" ht="54" customHeight="1">
      <c r="C8" s="697" t="s">
        <v>811</v>
      </c>
      <c r="D8" s="698" t="s">
        <v>812</v>
      </c>
      <c r="E8" s="699" t="s">
        <v>813</v>
      </c>
      <c r="F8" s="696" t="s">
        <v>814</v>
      </c>
      <c r="G8" s="700" t="s">
        <v>815</v>
      </c>
      <c r="H8" s="701">
        <v>41189</v>
      </c>
      <c r="I8" s="702">
        <v>42979</v>
      </c>
      <c r="J8" s="703" t="s">
        <v>282</v>
      </c>
      <c r="K8" s="158">
        <f t="shared" si="0"/>
        <v>2012</v>
      </c>
      <c r="L8" s="713">
        <v>65100</v>
      </c>
      <c r="M8" s="706"/>
      <c r="N8" s="712">
        <v>0</v>
      </c>
      <c r="O8" s="709">
        <v>0</v>
      </c>
      <c r="P8" s="710">
        <v>1</v>
      </c>
      <c r="Q8" s="705">
        <v>0</v>
      </c>
      <c r="R8" s="707">
        <v>0</v>
      </c>
      <c r="S8" s="704">
        <v>0</v>
      </c>
      <c r="T8" s="705">
        <v>65100</v>
      </c>
      <c r="U8" s="707">
        <v>65100</v>
      </c>
      <c r="V8" s="704">
        <v>65100</v>
      </c>
      <c r="W8" s="708">
        <v>1157000</v>
      </c>
      <c r="X8" s="166">
        <f t="shared" si="1"/>
        <v>291512.29050279339</v>
      </c>
      <c r="Y8" s="166">
        <f t="shared" si="2"/>
        <v>235278.21229050274</v>
      </c>
      <c r="Z8" s="166">
        <f t="shared" si="3"/>
        <v>630209.49720670388</v>
      </c>
      <c r="AA8" s="709">
        <v>0</v>
      </c>
      <c r="AB8" s="709">
        <v>0.22</v>
      </c>
      <c r="AC8" s="709">
        <v>0.66</v>
      </c>
      <c r="AD8" s="710">
        <v>0.12</v>
      </c>
      <c r="AE8" s="711" t="s">
        <v>816</v>
      </c>
      <c r="AF8" s="129"/>
      <c r="AG8" s="129"/>
    </row>
    <row r="9" spans="3:33" s="122" customFormat="1" ht="54" customHeight="1">
      <c r="C9" s="151" t="s">
        <v>39</v>
      </c>
      <c r="D9" s="152"/>
      <c r="E9" s="153" t="s">
        <v>153</v>
      </c>
      <c r="F9" s="152" t="s">
        <v>901</v>
      </c>
      <c r="G9" s="154" t="s">
        <v>281</v>
      </c>
      <c r="H9" s="171">
        <v>41316</v>
      </c>
      <c r="I9" s="172">
        <v>41851</v>
      </c>
      <c r="J9" s="157" t="s">
        <v>303</v>
      </c>
      <c r="K9" s="158">
        <f t="shared" si="0"/>
        <v>2013</v>
      </c>
      <c r="L9" s="159">
        <v>10983</v>
      </c>
      <c r="M9" s="173">
        <v>1</v>
      </c>
      <c r="N9" s="170">
        <v>1</v>
      </c>
      <c r="O9" s="167">
        <v>0</v>
      </c>
      <c r="P9" s="168">
        <v>0</v>
      </c>
      <c r="Q9" s="159">
        <v>10893</v>
      </c>
      <c r="R9" s="164">
        <v>10893</v>
      </c>
      <c r="S9" s="158">
        <v>10893</v>
      </c>
      <c r="T9" s="159">
        <v>0</v>
      </c>
      <c r="U9" s="164">
        <v>0</v>
      </c>
      <c r="V9" s="158">
        <v>0</v>
      </c>
      <c r="W9" s="165">
        <v>1350818</v>
      </c>
      <c r="X9" s="166">
        <f t="shared" si="1"/>
        <v>818065.48037383182</v>
      </c>
      <c r="Y9" s="166">
        <f t="shared" si="2"/>
        <v>532752.51962616818</v>
      </c>
      <c r="Z9" s="166">
        <f t="shared" si="3"/>
        <v>0</v>
      </c>
      <c r="AA9" s="167">
        <v>1</v>
      </c>
      <c r="AB9" s="167">
        <f>(9629+2100+3100)/59000</f>
        <v>0.25133898305084745</v>
      </c>
      <c r="AC9" s="167">
        <v>0.63</v>
      </c>
      <c r="AD9" s="168">
        <f>(5700+1600)/59000</f>
        <v>0.12372881355932204</v>
      </c>
      <c r="AE9" s="169"/>
      <c r="AF9" s="129">
        <v>3</v>
      </c>
      <c r="AG9" s="129">
        <v>3695</v>
      </c>
    </row>
    <row r="10" spans="3:33" s="174" customFormat="1" ht="54" customHeight="1">
      <c r="C10" s="151" t="s">
        <v>39</v>
      </c>
      <c r="D10" s="152"/>
      <c r="E10" s="153" t="s">
        <v>283</v>
      </c>
      <c r="F10" s="152"/>
      <c r="G10" s="307" t="s">
        <v>454</v>
      </c>
      <c r="H10" s="678">
        <v>41723</v>
      </c>
      <c r="I10" s="677">
        <v>42369</v>
      </c>
      <c r="J10" s="676" t="s">
        <v>282</v>
      </c>
      <c r="K10" s="158">
        <f t="shared" si="0"/>
        <v>2014</v>
      </c>
      <c r="L10" s="309">
        <v>6276</v>
      </c>
      <c r="M10" s="310">
        <v>0.08</v>
      </c>
      <c r="N10" s="314">
        <v>1</v>
      </c>
      <c r="O10" s="315">
        <v>0</v>
      </c>
      <c r="P10" s="342">
        <v>0</v>
      </c>
      <c r="Q10" s="312">
        <v>6276</v>
      </c>
      <c r="R10" s="313">
        <v>5118</v>
      </c>
      <c r="S10" s="344">
        <v>6276</v>
      </c>
      <c r="T10" s="309">
        <v>0</v>
      </c>
      <c r="U10" s="311">
        <v>0</v>
      </c>
      <c r="V10" s="348">
        <v>0</v>
      </c>
      <c r="W10" s="679">
        <v>787976</v>
      </c>
      <c r="X10" s="166">
        <f t="shared" si="1"/>
        <v>0</v>
      </c>
      <c r="Y10" s="166">
        <f t="shared" si="2"/>
        <v>342757.36222910217</v>
      </c>
      <c r="Z10" s="166">
        <f t="shared" si="3"/>
        <v>445218.63777089783</v>
      </c>
      <c r="AA10" s="682">
        <v>1</v>
      </c>
      <c r="AB10" s="682">
        <v>0.3</v>
      </c>
      <c r="AC10" s="682">
        <v>0.03</v>
      </c>
      <c r="AD10" s="683">
        <v>0.55000000000000004</v>
      </c>
      <c r="AE10" s="169"/>
      <c r="AF10" s="175">
        <v>1</v>
      </c>
      <c r="AG10" s="175">
        <v>300</v>
      </c>
    </row>
    <row r="11" spans="3:33" s="174" customFormat="1" ht="54" customHeight="1">
      <c r="C11" s="151" t="s">
        <v>39</v>
      </c>
      <c r="D11" s="152"/>
      <c r="E11" s="153" t="s">
        <v>452</v>
      </c>
      <c r="F11" s="152"/>
      <c r="G11" s="154" t="s">
        <v>286</v>
      </c>
      <c r="H11" s="308">
        <v>41702</v>
      </c>
      <c r="I11" s="677">
        <v>42019</v>
      </c>
      <c r="J11" s="676" t="s">
        <v>303</v>
      </c>
      <c r="K11" s="158">
        <f t="shared" si="0"/>
        <v>2014</v>
      </c>
      <c r="L11" s="684">
        <v>11030</v>
      </c>
      <c r="M11" s="685">
        <v>0.08</v>
      </c>
      <c r="N11" s="680">
        <v>0.89</v>
      </c>
      <c r="O11" s="681">
        <v>0.11</v>
      </c>
      <c r="P11" s="686">
        <v>0</v>
      </c>
      <c r="Q11" s="687">
        <v>9817</v>
      </c>
      <c r="R11" s="688">
        <v>9817</v>
      </c>
      <c r="S11" s="689">
        <v>9817</v>
      </c>
      <c r="T11" s="687">
        <v>1213</v>
      </c>
      <c r="U11" s="688">
        <v>1213</v>
      </c>
      <c r="V11" s="689">
        <v>1213</v>
      </c>
      <c r="W11" s="316">
        <v>261302</v>
      </c>
      <c r="X11" s="166">
        <f t="shared" si="1"/>
        <v>0</v>
      </c>
      <c r="Y11" s="166">
        <f t="shared" si="2"/>
        <v>248937.5520504732</v>
      </c>
      <c r="Z11" s="166">
        <f t="shared" si="3"/>
        <v>12364.447949526813</v>
      </c>
      <c r="AA11" s="317">
        <v>0</v>
      </c>
      <c r="AB11" s="317">
        <v>0.19</v>
      </c>
      <c r="AC11" s="317">
        <v>0.23</v>
      </c>
      <c r="AD11" s="318">
        <v>0.57999999999999996</v>
      </c>
      <c r="AE11" s="169"/>
      <c r="AF11" s="175"/>
      <c r="AG11" s="175"/>
    </row>
    <row r="12" spans="3:33" s="174" customFormat="1" ht="54" customHeight="1">
      <c r="C12" s="151" t="s">
        <v>39</v>
      </c>
      <c r="D12" s="152"/>
      <c r="E12" s="153" t="s">
        <v>452</v>
      </c>
      <c r="F12" s="152"/>
      <c r="G12" s="154" t="s">
        <v>286</v>
      </c>
      <c r="H12" s="155">
        <v>41330</v>
      </c>
      <c r="I12" s="156">
        <v>41695</v>
      </c>
      <c r="J12" s="157" t="s">
        <v>303</v>
      </c>
      <c r="K12" s="158">
        <f t="shared" si="0"/>
        <v>2013</v>
      </c>
      <c r="L12" s="691">
        <v>12420</v>
      </c>
      <c r="M12" s="692">
        <v>0.53</v>
      </c>
      <c r="N12" s="695">
        <v>0.89</v>
      </c>
      <c r="O12" s="694">
        <v>0.11</v>
      </c>
      <c r="P12" s="692">
        <v>0</v>
      </c>
      <c r="Q12" s="691">
        <v>11053</v>
      </c>
      <c r="R12" s="693">
        <v>11053</v>
      </c>
      <c r="S12" s="690">
        <v>11053</v>
      </c>
      <c r="T12" s="691">
        <v>1366</v>
      </c>
      <c r="U12" s="693">
        <v>1366</v>
      </c>
      <c r="V12" s="690">
        <v>1355</v>
      </c>
      <c r="W12" s="165">
        <v>297951</v>
      </c>
      <c r="X12" s="166">
        <f t="shared" si="1"/>
        <v>253054.27397260274</v>
      </c>
      <c r="Y12" s="166">
        <f t="shared" si="2"/>
        <v>44896.726027397257</v>
      </c>
      <c r="Z12" s="166">
        <f t="shared" si="3"/>
        <v>0</v>
      </c>
      <c r="AA12" s="167">
        <v>1</v>
      </c>
      <c r="AB12" s="167">
        <v>1</v>
      </c>
      <c r="AC12" s="167">
        <v>0.6</v>
      </c>
      <c r="AD12" s="168">
        <v>0.05</v>
      </c>
      <c r="AE12" s="169" t="s">
        <v>287</v>
      </c>
      <c r="AF12" s="175"/>
      <c r="AG12" s="175"/>
    </row>
    <row r="13" spans="3:33" s="174" customFormat="1" ht="54" customHeight="1">
      <c r="C13" s="151" t="s">
        <v>39</v>
      </c>
      <c r="D13" s="152"/>
      <c r="E13" s="153" t="s">
        <v>153</v>
      </c>
      <c r="F13" s="152" t="s">
        <v>283</v>
      </c>
      <c r="G13" s="154" t="s">
        <v>284</v>
      </c>
      <c r="H13" s="171">
        <v>41191</v>
      </c>
      <c r="I13" s="172">
        <v>41282</v>
      </c>
      <c r="J13" s="157" t="s">
        <v>303</v>
      </c>
      <c r="K13" s="158">
        <f t="shared" si="0"/>
        <v>2012</v>
      </c>
      <c r="L13" s="159">
        <v>1486</v>
      </c>
      <c r="M13" s="160">
        <v>1</v>
      </c>
      <c r="N13" s="170">
        <v>1</v>
      </c>
      <c r="O13" s="167">
        <v>0</v>
      </c>
      <c r="P13" s="167">
        <v>0</v>
      </c>
      <c r="Q13" s="159">
        <v>1486</v>
      </c>
      <c r="R13" s="164">
        <v>1486</v>
      </c>
      <c r="S13" s="345">
        <v>1486</v>
      </c>
      <c r="T13" s="347">
        <v>0</v>
      </c>
      <c r="U13" s="164">
        <v>0</v>
      </c>
      <c r="V13" s="345">
        <v>0</v>
      </c>
      <c r="W13" s="165">
        <v>65346</v>
      </c>
      <c r="X13" s="166">
        <f t="shared" si="1"/>
        <v>65346</v>
      </c>
      <c r="Y13" s="166">
        <f t="shared" si="2"/>
        <v>0</v>
      </c>
      <c r="Z13" s="166">
        <f t="shared" si="3"/>
        <v>0</v>
      </c>
      <c r="AA13" s="167">
        <v>1</v>
      </c>
      <c r="AB13" s="167">
        <v>0.25</v>
      </c>
      <c r="AC13" s="167">
        <v>0.6</v>
      </c>
      <c r="AD13" s="168">
        <v>0.15</v>
      </c>
      <c r="AE13" s="169"/>
      <c r="AF13" s="175"/>
      <c r="AG13" s="175"/>
    </row>
    <row r="14" spans="3:33" s="174" customFormat="1" ht="54" customHeight="1">
      <c r="C14" s="151" t="s">
        <v>56</v>
      </c>
      <c r="D14" s="152"/>
      <c r="E14" s="153" t="s">
        <v>153</v>
      </c>
      <c r="F14" s="152" t="s">
        <v>288</v>
      </c>
      <c r="G14" s="154" t="s">
        <v>290</v>
      </c>
      <c r="H14" s="171">
        <v>41346</v>
      </c>
      <c r="I14" s="172">
        <v>41882</v>
      </c>
      <c r="J14" s="157" t="s">
        <v>303</v>
      </c>
      <c r="K14" s="158">
        <f t="shared" si="0"/>
        <v>2013</v>
      </c>
      <c r="L14" s="159">
        <v>8100</v>
      </c>
      <c r="M14" s="173">
        <v>1</v>
      </c>
      <c r="N14" s="170">
        <v>1</v>
      </c>
      <c r="O14" s="167">
        <v>0</v>
      </c>
      <c r="P14" s="168">
        <v>0</v>
      </c>
      <c r="Q14" s="159">
        <v>8100</v>
      </c>
      <c r="R14" s="164">
        <v>8100</v>
      </c>
      <c r="S14" s="158">
        <v>8100</v>
      </c>
      <c r="T14" s="159">
        <v>0</v>
      </c>
      <c r="U14" s="164">
        <v>0</v>
      </c>
      <c r="V14" s="158">
        <v>0</v>
      </c>
      <c r="W14" s="165">
        <v>855833</v>
      </c>
      <c r="X14" s="166">
        <f t="shared" si="1"/>
        <v>469430.78731343284</v>
      </c>
      <c r="Y14" s="166">
        <f t="shared" si="2"/>
        <v>386402.21268656716</v>
      </c>
      <c r="Z14" s="166">
        <f t="shared" si="3"/>
        <v>0</v>
      </c>
      <c r="AA14" s="167">
        <v>1</v>
      </c>
      <c r="AB14" s="167">
        <f>248000/700000</f>
        <v>0.35428571428571426</v>
      </c>
      <c r="AC14" s="167">
        <f>20000/700000</f>
        <v>2.8571428571428571E-2</v>
      </c>
      <c r="AD14" s="168">
        <v>0.62</v>
      </c>
      <c r="AE14" s="169" t="s">
        <v>291</v>
      </c>
      <c r="AF14" s="175"/>
      <c r="AG14" s="175"/>
    </row>
    <row r="15" spans="3:33" s="174" customFormat="1" ht="54" customHeight="1">
      <c r="C15" s="151" t="s">
        <v>56</v>
      </c>
      <c r="D15" s="152"/>
      <c r="E15" s="153" t="s">
        <v>435</v>
      </c>
      <c r="F15" s="152"/>
      <c r="G15" s="154" t="s">
        <v>436</v>
      </c>
      <c r="H15" s="171">
        <v>41821</v>
      </c>
      <c r="I15" s="172">
        <v>42185</v>
      </c>
      <c r="J15" s="157" t="s">
        <v>303</v>
      </c>
      <c r="K15" s="158">
        <f t="shared" si="0"/>
        <v>2014</v>
      </c>
      <c r="L15" s="159">
        <v>1890</v>
      </c>
      <c r="M15" s="173">
        <v>1</v>
      </c>
      <c r="N15" s="170">
        <v>1</v>
      </c>
      <c r="O15" s="167">
        <v>0</v>
      </c>
      <c r="P15" s="168">
        <v>0</v>
      </c>
      <c r="Q15" s="159">
        <v>1890</v>
      </c>
      <c r="R15" s="164">
        <v>1890</v>
      </c>
      <c r="S15" s="158">
        <v>1890</v>
      </c>
      <c r="T15" s="159">
        <v>0</v>
      </c>
      <c r="U15" s="164">
        <v>0</v>
      </c>
      <c r="V15" s="158">
        <v>0</v>
      </c>
      <c r="W15" s="165">
        <v>100000</v>
      </c>
      <c r="X15" s="166">
        <f t="shared" si="1"/>
        <v>0</v>
      </c>
      <c r="Y15" s="166">
        <f t="shared" si="2"/>
        <v>50274.725274725271</v>
      </c>
      <c r="Z15" s="166">
        <f t="shared" si="3"/>
        <v>49725.274725274729</v>
      </c>
      <c r="AA15" s="167">
        <v>0.75</v>
      </c>
      <c r="AB15" s="167">
        <v>0.05</v>
      </c>
      <c r="AC15" s="167">
        <v>0.05</v>
      </c>
      <c r="AD15" s="168">
        <v>0.9</v>
      </c>
      <c r="AE15" s="169"/>
      <c r="AF15" s="175"/>
      <c r="AG15" s="175"/>
    </row>
    <row r="16" spans="3:33" s="174" customFormat="1" ht="54" customHeight="1">
      <c r="C16" s="151" t="s">
        <v>56</v>
      </c>
      <c r="D16" s="152"/>
      <c r="E16" s="153" t="s">
        <v>288</v>
      </c>
      <c r="F16" s="152"/>
      <c r="G16" s="154" t="s">
        <v>289</v>
      </c>
      <c r="H16" s="171">
        <v>41214</v>
      </c>
      <c r="I16" s="172">
        <v>41364</v>
      </c>
      <c r="J16" s="157" t="s">
        <v>303</v>
      </c>
      <c r="K16" s="158">
        <f t="shared" si="0"/>
        <v>2012</v>
      </c>
      <c r="L16" s="159"/>
      <c r="M16" s="176"/>
      <c r="N16" s="177"/>
      <c r="O16" s="178"/>
      <c r="P16" s="179"/>
      <c r="Q16" s="159"/>
      <c r="R16" s="164"/>
      <c r="S16" s="158"/>
      <c r="T16" s="159"/>
      <c r="U16" s="164"/>
      <c r="V16" s="158"/>
      <c r="W16" s="180">
        <v>45000</v>
      </c>
      <c r="X16" s="166">
        <f t="shared" si="1"/>
        <v>45000</v>
      </c>
      <c r="Y16" s="166">
        <f t="shared" si="2"/>
        <v>0</v>
      </c>
      <c r="Z16" s="166">
        <f t="shared" si="3"/>
        <v>0</v>
      </c>
      <c r="AA16" s="178"/>
      <c r="AB16" s="178"/>
      <c r="AC16" s="178"/>
      <c r="AD16" s="176"/>
      <c r="AE16" s="1115" t="s">
        <v>289</v>
      </c>
      <c r="AF16" s="175"/>
      <c r="AG16" s="175"/>
    </row>
    <row r="17" spans="1:33" s="174" customFormat="1" ht="54" customHeight="1">
      <c r="B17" s="956"/>
      <c r="C17" s="941" t="s">
        <v>56</v>
      </c>
      <c r="D17" s="942"/>
      <c r="E17" s="943" t="s">
        <v>153</v>
      </c>
      <c r="F17" s="942" t="s">
        <v>917</v>
      </c>
      <c r="G17" s="944" t="s">
        <v>290</v>
      </c>
      <c r="H17" s="950">
        <v>41956</v>
      </c>
      <c r="I17" s="951">
        <v>42228</v>
      </c>
      <c r="J17" s="945" t="s">
        <v>282</v>
      </c>
      <c r="K17" s="158">
        <f t="shared" si="0"/>
        <v>2014</v>
      </c>
      <c r="L17" s="947">
        <v>9067</v>
      </c>
      <c r="M17" s="952"/>
      <c r="N17" s="953">
        <v>0.53611999558839751</v>
      </c>
      <c r="O17" s="954">
        <v>0</v>
      </c>
      <c r="P17" s="955">
        <v>0.46388000441160254</v>
      </c>
      <c r="Q17" s="947">
        <v>4861</v>
      </c>
      <c r="R17" s="948">
        <v>4861</v>
      </c>
      <c r="S17" s="946">
        <v>4861</v>
      </c>
      <c r="T17" s="947">
        <v>4206</v>
      </c>
      <c r="U17" s="948">
        <v>4206</v>
      </c>
      <c r="V17" s="946">
        <v>4206</v>
      </c>
      <c r="W17" s="949">
        <v>420956</v>
      </c>
      <c r="X17" s="166">
        <f t="shared" si="1"/>
        <v>0</v>
      </c>
      <c r="Y17" s="166">
        <f t="shared" si="2"/>
        <v>74286.352941176505</v>
      </c>
      <c r="Z17" s="166">
        <f t="shared" si="3"/>
        <v>346669.6470588235</v>
      </c>
      <c r="AA17" s="954">
        <v>0.54</v>
      </c>
      <c r="AB17" s="954">
        <v>0.33333333333333331</v>
      </c>
      <c r="AC17" s="954">
        <v>0.34</v>
      </c>
      <c r="AD17" s="952">
        <v>0.33333333333333331</v>
      </c>
      <c r="AE17" s="1116"/>
      <c r="AF17" s="175"/>
      <c r="AG17" s="175"/>
    </row>
    <row r="18" spans="1:33" s="174" customFormat="1" ht="54" customHeight="1">
      <c r="B18" s="956"/>
      <c r="C18" s="1099" t="s">
        <v>56</v>
      </c>
      <c r="D18" s="1100"/>
      <c r="E18" s="1101" t="s">
        <v>305</v>
      </c>
      <c r="F18" s="1100"/>
      <c r="G18" s="1102" t="s">
        <v>974</v>
      </c>
      <c r="H18" s="1111">
        <v>41821</v>
      </c>
      <c r="I18" s="1103">
        <v>42247</v>
      </c>
      <c r="J18" s="1104" t="s">
        <v>282</v>
      </c>
      <c r="K18" s="158">
        <f t="shared" si="0"/>
        <v>2014</v>
      </c>
      <c r="L18" s="1106">
        <v>15245</v>
      </c>
      <c r="M18" s="1107">
        <v>0.91571006887504103</v>
      </c>
      <c r="N18" s="1108">
        <v>0.89209576910462451</v>
      </c>
      <c r="O18" s="1112">
        <v>0</v>
      </c>
      <c r="P18" s="1113">
        <v>0.10790423089537553</v>
      </c>
      <c r="Q18" s="1106">
        <v>13600</v>
      </c>
      <c r="R18" s="1109">
        <v>13600</v>
      </c>
      <c r="S18" s="1105">
        <v>13600</v>
      </c>
      <c r="T18" s="1106">
        <v>1645</v>
      </c>
      <c r="U18" s="1109">
        <v>1645</v>
      </c>
      <c r="V18" s="1105">
        <v>1645</v>
      </c>
      <c r="W18" s="1110">
        <v>806585</v>
      </c>
      <c r="X18" s="166">
        <f t="shared" ref="X18" si="4">W18-(Y18+Z18)</f>
        <v>0</v>
      </c>
      <c r="Y18" s="166">
        <f t="shared" ref="Y18" si="5">IF(I18&lt;$C$1,0,IF(H18&gt;$C$1,W18-Z18,(I18-$C$1)/(I18-H18)*W18-Z18))</f>
        <v>346490.73943661968</v>
      </c>
      <c r="Z18" s="166">
        <f t="shared" ref="Z18" si="6">IF(I18&lt;$D$1,0,IF(H18&gt;$D$1,W18,(I18-$D$1)/(I18-H18)*W18))</f>
        <v>460094.26056338032</v>
      </c>
      <c r="AA18" s="1118">
        <v>0.87</v>
      </c>
      <c r="AB18" s="1118">
        <v>0.45</v>
      </c>
      <c r="AC18" s="1118">
        <v>0.1</v>
      </c>
      <c r="AD18" s="1117">
        <v>0.45</v>
      </c>
      <c r="AE18" s="1114" t="s">
        <v>975</v>
      </c>
      <c r="AF18" s="175"/>
      <c r="AG18" s="175"/>
    </row>
    <row r="19" spans="1:33" s="174" customFormat="1" ht="54" customHeight="1">
      <c r="C19" s="151" t="s">
        <v>42</v>
      </c>
      <c r="D19" s="152"/>
      <c r="E19" s="153" t="s">
        <v>153</v>
      </c>
      <c r="F19" s="152" t="s">
        <v>278</v>
      </c>
      <c r="G19" s="154" t="s">
        <v>292</v>
      </c>
      <c r="H19" s="171">
        <v>41456</v>
      </c>
      <c r="I19" s="172">
        <v>41639</v>
      </c>
      <c r="J19" s="157" t="s">
        <v>303</v>
      </c>
      <c r="K19" s="158">
        <f t="shared" si="0"/>
        <v>2013</v>
      </c>
      <c r="L19" s="159"/>
      <c r="M19" s="176">
        <v>0.5</v>
      </c>
      <c r="N19" s="177">
        <v>1</v>
      </c>
      <c r="O19" s="178">
        <v>0</v>
      </c>
      <c r="P19" s="179">
        <v>0</v>
      </c>
      <c r="Q19" s="159"/>
      <c r="R19" s="164"/>
      <c r="S19" s="158"/>
      <c r="T19" s="159"/>
      <c r="U19" s="164"/>
      <c r="V19" s="158"/>
      <c r="W19" s="180">
        <v>133976</v>
      </c>
      <c r="X19" s="166">
        <f t="shared" si="1"/>
        <v>133976</v>
      </c>
      <c r="Y19" s="166">
        <f t="shared" si="2"/>
        <v>0</v>
      </c>
      <c r="Z19" s="166">
        <f t="shared" si="3"/>
        <v>0</v>
      </c>
      <c r="AA19" s="178"/>
      <c r="AB19" s="178"/>
      <c r="AC19" s="178"/>
      <c r="AD19" s="179"/>
      <c r="AE19" s="169"/>
      <c r="AF19" s="175"/>
      <c r="AG19" s="175"/>
    </row>
    <row r="20" spans="1:33" s="174" customFormat="1" ht="54" customHeight="1">
      <c r="C20" s="151" t="s">
        <v>42</v>
      </c>
      <c r="D20" s="152"/>
      <c r="E20" s="153" t="s">
        <v>153</v>
      </c>
      <c r="F20" s="152" t="s">
        <v>283</v>
      </c>
      <c r="G20" s="154" t="s">
        <v>293</v>
      </c>
      <c r="H20" s="171">
        <v>41456</v>
      </c>
      <c r="I20" s="172">
        <v>41639</v>
      </c>
      <c r="J20" s="157" t="s">
        <v>303</v>
      </c>
      <c r="K20" s="158">
        <f t="shared" si="0"/>
        <v>2013</v>
      </c>
      <c r="L20" s="159"/>
      <c r="M20" s="176"/>
      <c r="N20" s="177"/>
      <c r="O20" s="178"/>
      <c r="P20" s="179"/>
      <c r="Q20" s="159"/>
      <c r="R20" s="164"/>
      <c r="S20" s="158"/>
      <c r="T20" s="159"/>
      <c r="U20" s="164"/>
      <c r="V20" s="158"/>
      <c r="W20" s="180">
        <v>32235</v>
      </c>
      <c r="X20" s="166">
        <f t="shared" si="1"/>
        <v>32235</v>
      </c>
      <c r="Y20" s="166">
        <f t="shared" si="2"/>
        <v>0</v>
      </c>
      <c r="Z20" s="166">
        <f t="shared" si="3"/>
        <v>0</v>
      </c>
      <c r="AA20" s="178"/>
      <c r="AB20" s="178"/>
      <c r="AC20" s="178"/>
      <c r="AD20" s="179"/>
      <c r="AE20" s="169"/>
      <c r="AF20" s="175"/>
      <c r="AG20" s="175"/>
    </row>
    <row r="21" spans="1:33" s="174" customFormat="1" ht="54" customHeight="1">
      <c r="C21" s="151" t="s">
        <v>42</v>
      </c>
      <c r="D21" s="152"/>
      <c r="E21" s="153" t="s">
        <v>153</v>
      </c>
      <c r="F21" s="152" t="s">
        <v>278</v>
      </c>
      <c r="G21" s="154" t="s">
        <v>294</v>
      </c>
      <c r="H21" s="171">
        <v>41456</v>
      </c>
      <c r="I21" s="172">
        <v>41639</v>
      </c>
      <c r="J21" s="157" t="s">
        <v>303</v>
      </c>
      <c r="K21" s="158">
        <f t="shared" si="0"/>
        <v>2013</v>
      </c>
      <c r="L21" s="159"/>
      <c r="M21" s="176"/>
      <c r="N21" s="177"/>
      <c r="O21" s="178"/>
      <c r="P21" s="179"/>
      <c r="Q21" s="159"/>
      <c r="R21" s="164"/>
      <c r="S21" s="158"/>
      <c r="T21" s="159"/>
      <c r="U21" s="164"/>
      <c r="V21" s="158"/>
      <c r="W21" s="180">
        <v>7671</v>
      </c>
      <c r="X21" s="166">
        <f t="shared" si="1"/>
        <v>7671</v>
      </c>
      <c r="Y21" s="166">
        <f t="shared" si="2"/>
        <v>0</v>
      </c>
      <c r="Z21" s="166">
        <f t="shared" si="3"/>
        <v>0</v>
      </c>
      <c r="AA21" s="178"/>
      <c r="AB21" s="178"/>
      <c r="AC21" s="178"/>
      <c r="AD21" s="179"/>
      <c r="AE21" s="169"/>
      <c r="AF21" s="175"/>
      <c r="AG21" s="175"/>
    </row>
    <row r="22" spans="1:33" s="174" customFormat="1" ht="54" customHeight="1">
      <c r="C22" s="151" t="s">
        <v>42</v>
      </c>
      <c r="D22" s="152"/>
      <c r="E22" s="153" t="s">
        <v>153</v>
      </c>
      <c r="F22" s="152" t="s">
        <v>283</v>
      </c>
      <c r="G22" s="154" t="s">
        <v>295</v>
      </c>
      <c r="H22" s="171">
        <v>41456</v>
      </c>
      <c r="I22" s="172">
        <v>41639</v>
      </c>
      <c r="J22" s="157" t="s">
        <v>303</v>
      </c>
      <c r="K22" s="158">
        <f t="shared" si="0"/>
        <v>2013</v>
      </c>
      <c r="L22" s="159"/>
      <c r="M22" s="176"/>
      <c r="N22" s="177">
        <v>1</v>
      </c>
      <c r="O22" s="178"/>
      <c r="P22" s="179"/>
      <c r="Q22" s="159"/>
      <c r="R22" s="164"/>
      <c r="S22" s="158"/>
      <c r="T22" s="159"/>
      <c r="U22" s="164"/>
      <c r="V22" s="158"/>
      <c r="W22" s="180">
        <v>1084412</v>
      </c>
      <c r="X22" s="166">
        <f t="shared" si="1"/>
        <v>1084412</v>
      </c>
      <c r="Y22" s="166">
        <f t="shared" si="2"/>
        <v>0</v>
      </c>
      <c r="Z22" s="166">
        <f t="shared" si="3"/>
        <v>0</v>
      </c>
      <c r="AA22" s="178"/>
      <c r="AB22" s="178"/>
      <c r="AC22" s="178"/>
      <c r="AD22" s="179"/>
      <c r="AE22" s="169"/>
      <c r="AF22" s="175"/>
      <c r="AG22" s="175"/>
    </row>
    <row r="23" spans="1:33" s="174" customFormat="1" ht="54" customHeight="1">
      <c r="C23" s="151" t="s">
        <v>296</v>
      </c>
      <c r="D23" s="152"/>
      <c r="E23" s="153" t="s">
        <v>205</v>
      </c>
      <c r="F23" s="152" t="s">
        <v>205</v>
      </c>
      <c r="G23" s="154" t="s">
        <v>297</v>
      </c>
      <c r="H23" s="171"/>
      <c r="I23" s="172"/>
      <c r="J23" s="157" t="s">
        <v>303</v>
      </c>
      <c r="K23" s="158"/>
      <c r="L23" s="159"/>
      <c r="M23" s="160"/>
      <c r="N23" s="170"/>
      <c r="O23" s="167"/>
      <c r="P23" s="168"/>
      <c r="Q23" s="159"/>
      <c r="R23" s="164"/>
      <c r="S23" s="158"/>
      <c r="T23" s="159"/>
      <c r="U23" s="164"/>
      <c r="V23" s="158"/>
      <c r="W23" s="165">
        <v>70000</v>
      </c>
      <c r="X23" s="166">
        <f t="shared" si="1"/>
        <v>70000</v>
      </c>
      <c r="Y23" s="166">
        <f t="shared" si="2"/>
        <v>0</v>
      </c>
      <c r="Z23" s="166">
        <f t="shared" si="3"/>
        <v>0</v>
      </c>
      <c r="AA23" s="167"/>
      <c r="AB23" s="167"/>
      <c r="AC23" s="167"/>
      <c r="AD23" s="168"/>
      <c r="AE23" s="169"/>
      <c r="AF23" s="175"/>
      <c r="AG23" s="175"/>
    </row>
    <row r="24" spans="1:33" s="174" customFormat="1" ht="54" customHeight="1">
      <c r="C24" s="151" t="s">
        <v>296</v>
      </c>
      <c r="D24" s="152"/>
      <c r="E24" s="153" t="s">
        <v>205</v>
      </c>
      <c r="F24" s="152" t="s">
        <v>205</v>
      </c>
      <c r="G24" s="154" t="s">
        <v>298</v>
      </c>
      <c r="H24" s="171"/>
      <c r="I24" s="172"/>
      <c r="J24" s="157" t="s">
        <v>299</v>
      </c>
      <c r="K24" s="158"/>
      <c r="L24" s="159"/>
      <c r="M24" s="160"/>
      <c r="N24" s="170"/>
      <c r="O24" s="167"/>
      <c r="P24" s="168"/>
      <c r="Q24" s="159"/>
      <c r="R24" s="164"/>
      <c r="S24" s="158"/>
      <c r="T24" s="159"/>
      <c r="U24" s="164"/>
      <c r="V24" s="158"/>
      <c r="W24" s="165">
        <v>100000</v>
      </c>
      <c r="X24" s="166">
        <f t="shared" si="1"/>
        <v>100000</v>
      </c>
      <c r="Y24" s="166">
        <f t="shared" si="2"/>
        <v>0</v>
      </c>
      <c r="Z24" s="166">
        <f t="shared" si="3"/>
        <v>0</v>
      </c>
      <c r="AA24" s="167"/>
      <c r="AB24" s="167"/>
      <c r="AC24" s="167"/>
      <c r="AD24" s="168"/>
      <c r="AE24" s="169"/>
      <c r="AF24" s="175"/>
      <c r="AG24" s="175"/>
    </row>
    <row r="25" spans="1:33" s="174" customFormat="1" ht="54" customHeight="1">
      <c r="B25" s="956"/>
      <c r="C25" s="925" t="s">
        <v>429</v>
      </c>
      <c r="D25" s="926"/>
      <c r="E25" s="927" t="s">
        <v>153</v>
      </c>
      <c r="F25" s="926" t="s">
        <v>916</v>
      </c>
      <c r="G25" s="928" t="s">
        <v>810</v>
      </c>
      <c r="H25" s="939">
        <v>41985</v>
      </c>
      <c r="I25" s="940">
        <v>42228</v>
      </c>
      <c r="J25" s="929" t="s">
        <v>282</v>
      </c>
      <c r="K25" s="930">
        <v>2014</v>
      </c>
      <c r="L25" s="931">
        <v>28003</v>
      </c>
      <c r="M25" s="932"/>
      <c r="N25" s="938">
        <v>4.5673677820233544E-2</v>
      </c>
      <c r="O25" s="935">
        <v>0.37024604506660003</v>
      </c>
      <c r="P25" s="936">
        <v>0.58408027711316646</v>
      </c>
      <c r="Q25" s="931">
        <v>1279</v>
      </c>
      <c r="R25" s="933">
        <v>1279</v>
      </c>
      <c r="S25" s="930">
        <v>1279</v>
      </c>
      <c r="T25" s="931">
        <v>17617</v>
      </c>
      <c r="U25" s="933">
        <v>8192</v>
      </c>
      <c r="V25" s="930">
        <v>28003</v>
      </c>
      <c r="W25" s="934">
        <v>208400</v>
      </c>
      <c r="X25" s="166">
        <f t="shared" si="1"/>
        <v>0</v>
      </c>
      <c r="Y25" s="166">
        <f t="shared" si="2"/>
        <v>16294.650205761311</v>
      </c>
      <c r="Z25" s="166">
        <f t="shared" si="3"/>
        <v>192105.34979423869</v>
      </c>
      <c r="AA25" s="935">
        <v>2.3208550327532707E-2</v>
      </c>
      <c r="AB25" s="935">
        <v>0.32000217750276722</v>
      </c>
      <c r="AC25" s="935">
        <v>0.17185940590466167</v>
      </c>
      <c r="AD25" s="936">
        <v>0.50813841659257108</v>
      </c>
      <c r="AE25" s="937"/>
      <c r="AF25" s="175"/>
      <c r="AG25" s="175"/>
    </row>
    <row r="26" spans="1:33" s="174" customFormat="1" ht="54" customHeight="1">
      <c r="C26" s="151" t="s">
        <v>429</v>
      </c>
      <c r="D26" s="152"/>
      <c r="E26" s="153" t="s">
        <v>153</v>
      </c>
      <c r="F26" s="152" t="s">
        <v>902</v>
      </c>
      <c r="G26" s="154" t="s">
        <v>430</v>
      </c>
      <c r="H26" s="171">
        <v>41640</v>
      </c>
      <c r="I26" s="181">
        <v>41973</v>
      </c>
      <c r="J26" s="181" t="s">
        <v>303</v>
      </c>
      <c r="K26" s="158">
        <f>YEAR(H26)</f>
        <v>2014</v>
      </c>
      <c r="L26" s="182">
        <v>15916</v>
      </c>
      <c r="M26" s="160">
        <v>0.59</v>
      </c>
      <c r="N26" s="170">
        <v>0.08</v>
      </c>
      <c r="O26" s="167">
        <v>0.92</v>
      </c>
      <c r="P26" s="168">
        <v>0</v>
      </c>
      <c r="Q26" s="182">
        <v>1199</v>
      </c>
      <c r="R26" s="183">
        <v>1199</v>
      </c>
      <c r="S26" s="184">
        <v>1199</v>
      </c>
      <c r="T26" s="182">
        <v>14717</v>
      </c>
      <c r="U26" s="183">
        <v>14717</v>
      </c>
      <c r="V26" s="184">
        <v>14717</v>
      </c>
      <c r="W26" s="165">
        <v>215757</v>
      </c>
      <c r="X26" s="166">
        <f t="shared" si="1"/>
        <v>0</v>
      </c>
      <c r="Y26" s="166">
        <f t="shared" si="2"/>
        <v>215757</v>
      </c>
      <c r="Z26" s="166">
        <f t="shared" si="3"/>
        <v>0</v>
      </c>
      <c r="AA26" s="167">
        <v>0.08</v>
      </c>
      <c r="AB26" s="167">
        <v>0.33</v>
      </c>
      <c r="AC26" s="167">
        <v>0.34</v>
      </c>
      <c r="AD26" s="168">
        <v>0.33</v>
      </c>
      <c r="AE26" s="169"/>
      <c r="AF26" s="175"/>
      <c r="AG26" s="175"/>
    </row>
    <row r="27" spans="1:33" s="174" customFormat="1" ht="54" customHeight="1">
      <c r="C27" s="151" t="s">
        <v>300</v>
      </c>
      <c r="D27" s="152"/>
      <c r="E27" s="153" t="s">
        <v>305</v>
      </c>
      <c r="F27" s="152"/>
      <c r="G27" s="154" t="s">
        <v>306</v>
      </c>
      <c r="H27" s="171">
        <v>41334</v>
      </c>
      <c r="I27" s="172">
        <v>41698</v>
      </c>
      <c r="J27" s="157" t="s">
        <v>303</v>
      </c>
      <c r="K27" s="158">
        <f>YEAR(H27)</f>
        <v>2013</v>
      </c>
      <c r="L27" s="182">
        <v>10204</v>
      </c>
      <c r="M27" s="160">
        <v>1</v>
      </c>
      <c r="N27" s="170">
        <v>1</v>
      </c>
      <c r="O27" s="167">
        <v>0</v>
      </c>
      <c r="P27" s="168">
        <v>0</v>
      </c>
      <c r="Q27" s="182">
        <v>10204</v>
      </c>
      <c r="R27" s="183">
        <v>10204</v>
      </c>
      <c r="S27" s="184">
        <v>10204</v>
      </c>
      <c r="T27" s="182">
        <v>0</v>
      </c>
      <c r="U27" s="183">
        <v>0</v>
      </c>
      <c r="V27" s="184">
        <v>0</v>
      </c>
      <c r="W27" s="165">
        <v>485000</v>
      </c>
      <c r="X27" s="166">
        <f t="shared" si="1"/>
        <v>407719.78021978022</v>
      </c>
      <c r="Y27" s="166">
        <f t="shared" si="2"/>
        <v>77280.219780219777</v>
      </c>
      <c r="Z27" s="166">
        <f t="shared" si="3"/>
        <v>0</v>
      </c>
      <c r="AA27" s="167">
        <v>1</v>
      </c>
      <c r="AB27" s="167">
        <v>0.6</v>
      </c>
      <c r="AC27" s="167">
        <v>0.25</v>
      </c>
      <c r="AD27" s="168">
        <v>0.15</v>
      </c>
      <c r="AE27" s="185" t="s">
        <v>307</v>
      </c>
      <c r="AF27" s="175"/>
      <c r="AG27" s="175"/>
    </row>
    <row r="28" spans="1:33" s="174" customFormat="1" ht="54" customHeight="1">
      <c r="C28" s="151" t="s">
        <v>300</v>
      </c>
      <c r="D28" s="152"/>
      <c r="E28" s="153" t="s">
        <v>301</v>
      </c>
      <c r="F28" s="152"/>
      <c r="G28" s="154" t="s">
        <v>302</v>
      </c>
      <c r="H28" s="171">
        <v>40909</v>
      </c>
      <c r="I28" s="172">
        <v>41274</v>
      </c>
      <c r="J28" s="181" t="s">
        <v>303</v>
      </c>
      <c r="K28" s="158">
        <f>YEAR(H28)</f>
        <v>2012</v>
      </c>
      <c r="L28" s="182">
        <v>8563</v>
      </c>
      <c r="M28" s="160">
        <v>1</v>
      </c>
      <c r="N28" s="170">
        <v>1</v>
      </c>
      <c r="O28" s="167">
        <v>0</v>
      </c>
      <c r="P28" s="168">
        <v>0</v>
      </c>
      <c r="Q28" s="182"/>
      <c r="R28" s="183"/>
      <c r="S28" s="184"/>
      <c r="T28" s="182"/>
      <c r="U28" s="183"/>
      <c r="V28" s="184"/>
      <c r="W28" s="165">
        <v>185000</v>
      </c>
      <c r="X28" s="166">
        <f t="shared" si="1"/>
        <v>185000</v>
      </c>
      <c r="Y28" s="166">
        <f t="shared" si="2"/>
        <v>0</v>
      </c>
      <c r="Z28" s="166">
        <f t="shared" si="3"/>
        <v>0</v>
      </c>
      <c r="AA28" s="167">
        <v>1</v>
      </c>
      <c r="AB28" s="167"/>
      <c r="AC28" s="167"/>
      <c r="AD28" s="168">
        <v>0</v>
      </c>
      <c r="AE28" s="169" t="s">
        <v>304</v>
      </c>
      <c r="AF28" s="175"/>
      <c r="AG28" s="175"/>
    </row>
    <row r="29" spans="1:33" s="174" customFormat="1" ht="54" customHeight="1">
      <c r="C29" s="151" t="s">
        <v>300</v>
      </c>
      <c r="D29" s="152"/>
      <c r="E29" s="153" t="s">
        <v>308</v>
      </c>
      <c r="F29" s="152"/>
      <c r="G29" s="154"/>
      <c r="H29" s="171"/>
      <c r="I29" s="172"/>
      <c r="J29" s="181"/>
      <c r="K29" s="158"/>
      <c r="L29" s="182"/>
      <c r="M29" s="160"/>
      <c r="N29" s="170"/>
      <c r="O29" s="167"/>
      <c r="P29" s="168"/>
      <c r="Q29" s="182"/>
      <c r="R29" s="183"/>
      <c r="S29" s="184"/>
      <c r="T29" s="182"/>
      <c r="U29" s="183"/>
      <c r="V29" s="184"/>
      <c r="W29" s="165">
        <v>160000</v>
      </c>
      <c r="X29" s="166">
        <f t="shared" si="1"/>
        <v>160000</v>
      </c>
      <c r="Y29" s="166">
        <f t="shared" si="2"/>
        <v>0</v>
      </c>
      <c r="Z29" s="166">
        <f t="shared" si="3"/>
        <v>0</v>
      </c>
      <c r="AA29" s="167"/>
      <c r="AB29" s="167"/>
      <c r="AC29" s="167"/>
      <c r="AD29" s="168"/>
      <c r="AE29" s="169" t="s">
        <v>304</v>
      </c>
      <c r="AF29" s="175"/>
      <c r="AG29" s="175"/>
    </row>
    <row r="30" spans="1:33" s="174" customFormat="1" ht="54" customHeight="1">
      <c r="C30" s="151" t="s">
        <v>309</v>
      </c>
      <c r="D30" s="152"/>
      <c r="E30" s="153" t="s">
        <v>153</v>
      </c>
      <c r="F30" s="152" t="s">
        <v>278</v>
      </c>
      <c r="G30" s="154" t="s">
        <v>310</v>
      </c>
      <c r="H30" s="155">
        <v>41134</v>
      </c>
      <c r="I30" s="156">
        <v>41225</v>
      </c>
      <c r="J30" s="157" t="s">
        <v>303</v>
      </c>
      <c r="K30" s="158">
        <f>YEAR(H30)</f>
        <v>2012</v>
      </c>
      <c r="L30" s="159">
        <v>35000</v>
      </c>
      <c r="M30" s="160" t="s">
        <v>201</v>
      </c>
      <c r="N30" s="170" t="s">
        <v>201</v>
      </c>
      <c r="O30" s="167">
        <v>0</v>
      </c>
      <c r="P30" s="168">
        <v>0</v>
      </c>
      <c r="Q30" s="159">
        <v>0</v>
      </c>
      <c r="R30" s="164">
        <v>0</v>
      </c>
      <c r="S30" s="158">
        <v>35000</v>
      </c>
      <c r="T30" s="159">
        <v>0</v>
      </c>
      <c r="U30" s="164">
        <v>0</v>
      </c>
      <c r="V30" s="158">
        <v>0</v>
      </c>
      <c r="W30" s="165">
        <v>102710</v>
      </c>
      <c r="X30" s="166">
        <f t="shared" si="1"/>
        <v>102710</v>
      </c>
      <c r="Y30" s="166">
        <f t="shared" si="2"/>
        <v>0</v>
      </c>
      <c r="Z30" s="166">
        <f t="shared" si="3"/>
        <v>0</v>
      </c>
      <c r="AA30" s="167">
        <v>1</v>
      </c>
      <c r="AB30" s="167">
        <v>0</v>
      </c>
      <c r="AC30" s="167">
        <v>0</v>
      </c>
      <c r="AD30" s="168">
        <v>1</v>
      </c>
      <c r="AE30" s="169" t="s">
        <v>311</v>
      </c>
      <c r="AF30" s="175"/>
      <c r="AG30" s="175"/>
    </row>
    <row r="31" spans="1:33" s="174" customFormat="1" ht="54" customHeight="1">
      <c r="A31" s="174" t="s">
        <v>285</v>
      </c>
      <c r="C31" s="151" t="s">
        <v>312</v>
      </c>
      <c r="D31" s="152"/>
      <c r="E31" s="153" t="s">
        <v>296</v>
      </c>
      <c r="F31" s="152"/>
      <c r="G31" s="154"/>
      <c r="H31" s="171"/>
      <c r="I31" s="172"/>
      <c r="J31" s="157" t="s">
        <v>303</v>
      </c>
      <c r="K31" s="158"/>
      <c r="L31" s="159"/>
      <c r="M31" s="160"/>
      <c r="N31" s="170"/>
      <c r="O31" s="167"/>
      <c r="P31" s="168"/>
      <c r="Q31" s="159"/>
      <c r="R31" s="164"/>
      <c r="S31" s="158"/>
      <c r="T31" s="159"/>
      <c r="U31" s="164"/>
      <c r="V31" s="158"/>
      <c r="W31" s="165">
        <v>50000</v>
      </c>
      <c r="X31" s="166">
        <f t="shared" si="1"/>
        <v>50000</v>
      </c>
      <c r="Y31" s="166">
        <f t="shared" si="2"/>
        <v>0</v>
      </c>
      <c r="Z31" s="166">
        <f t="shared" si="3"/>
        <v>0</v>
      </c>
      <c r="AA31" s="167"/>
      <c r="AB31" s="167"/>
      <c r="AC31" s="167"/>
      <c r="AD31" s="168"/>
      <c r="AE31" s="169"/>
      <c r="AF31" s="175"/>
      <c r="AG31" s="175"/>
    </row>
    <row r="32" spans="1:33" s="174" customFormat="1" ht="54" customHeight="1">
      <c r="C32" s="151" t="s">
        <v>71</v>
      </c>
      <c r="D32" s="152"/>
      <c r="E32" s="153" t="s">
        <v>153</v>
      </c>
      <c r="F32" s="152" t="s">
        <v>903</v>
      </c>
      <c r="G32" s="154" t="s">
        <v>313</v>
      </c>
      <c r="H32" s="171">
        <v>41432</v>
      </c>
      <c r="I32" s="172">
        <v>41759</v>
      </c>
      <c r="J32" s="157" t="s">
        <v>303</v>
      </c>
      <c r="K32" s="158">
        <f t="shared" ref="K32:K50" si="7">YEAR(H32)</f>
        <v>2013</v>
      </c>
      <c r="L32" s="159">
        <v>2070</v>
      </c>
      <c r="M32" s="186">
        <v>1</v>
      </c>
      <c r="N32" s="170">
        <v>1</v>
      </c>
      <c r="O32" s="167">
        <v>0</v>
      </c>
      <c r="P32" s="168">
        <v>0</v>
      </c>
      <c r="Q32" s="159">
        <v>2070</v>
      </c>
      <c r="R32" s="164">
        <v>2070</v>
      </c>
      <c r="S32" s="158">
        <v>2070</v>
      </c>
      <c r="T32" s="159">
        <v>0</v>
      </c>
      <c r="U32" s="164">
        <v>0</v>
      </c>
      <c r="V32" s="158">
        <v>0</v>
      </c>
      <c r="W32" s="165">
        <v>669357</v>
      </c>
      <c r="X32" s="166">
        <f t="shared" si="1"/>
        <v>425768.36697247706</v>
      </c>
      <c r="Y32" s="166">
        <f t="shared" si="2"/>
        <v>243588.63302752294</v>
      </c>
      <c r="Z32" s="166">
        <f t="shared" si="3"/>
        <v>0</v>
      </c>
      <c r="AA32" s="167">
        <v>1</v>
      </c>
      <c r="AB32" s="167">
        <f>(25550+700+7000+2150+5700+1344+5400)/485765</f>
        <v>9.8492069210420682E-2</v>
      </c>
      <c r="AC32" s="167">
        <f>100294/485765</f>
        <v>0.2064660895700596</v>
      </c>
      <c r="AD32" s="168">
        <v>0.69</v>
      </c>
      <c r="AE32" s="169" t="s">
        <v>314</v>
      </c>
      <c r="AF32" s="175">
        <v>2</v>
      </c>
      <c r="AG32" s="175">
        <v>547</v>
      </c>
    </row>
    <row r="33" spans="2:33" s="174" customFormat="1" ht="54" customHeight="1">
      <c r="C33" s="151" t="s">
        <v>71</v>
      </c>
      <c r="D33" s="152"/>
      <c r="E33" s="153" t="s">
        <v>452</v>
      </c>
      <c r="F33" s="152"/>
      <c r="G33" s="154" t="s">
        <v>450</v>
      </c>
      <c r="H33" s="171">
        <v>41765</v>
      </c>
      <c r="I33" s="172">
        <v>42064</v>
      </c>
      <c r="J33" s="157" t="s">
        <v>303</v>
      </c>
      <c r="K33" s="158">
        <f t="shared" si="7"/>
        <v>2014</v>
      </c>
      <c r="L33" s="159">
        <v>28600</v>
      </c>
      <c r="M33" s="160">
        <v>0.45</v>
      </c>
      <c r="N33" s="170">
        <v>0.23</v>
      </c>
      <c r="O33" s="167">
        <v>0.56000000000000005</v>
      </c>
      <c r="P33" s="168">
        <v>0.21</v>
      </c>
      <c r="Q33" s="159">
        <f>75*50</f>
        <v>3750</v>
      </c>
      <c r="R33" s="164">
        <v>6518</v>
      </c>
      <c r="S33" s="158">
        <v>6518</v>
      </c>
      <c r="T33" s="159">
        <v>1500</v>
      </c>
      <c r="U33" s="164">
        <v>10000</v>
      </c>
      <c r="V33" s="158">
        <v>22082</v>
      </c>
      <c r="W33" s="165">
        <v>334570.52416034281</v>
      </c>
      <c r="X33" s="166">
        <f t="shared" si="1"/>
        <v>0</v>
      </c>
      <c r="Y33" s="166">
        <f t="shared" si="2"/>
        <v>267432.62633552484</v>
      </c>
      <c r="Z33" s="166">
        <f t="shared" si="3"/>
        <v>67137.897824817963</v>
      </c>
      <c r="AA33" s="167">
        <v>0.76</v>
      </c>
      <c r="AB33" s="167">
        <v>0.26</v>
      </c>
      <c r="AC33" s="167">
        <v>0.27</v>
      </c>
      <c r="AD33" s="168">
        <v>0.47</v>
      </c>
      <c r="AE33" s="169" t="s">
        <v>451</v>
      </c>
      <c r="AF33" s="175"/>
      <c r="AG33" s="175"/>
    </row>
    <row r="34" spans="2:33" s="174" customFormat="1" ht="54" customHeight="1">
      <c r="C34" s="151" t="s">
        <v>71</v>
      </c>
      <c r="D34" s="152" t="s">
        <v>317</v>
      </c>
      <c r="E34" s="153" t="s">
        <v>452</v>
      </c>
      <c r="F34" s="152"/>
      <c r="G34" s="154" t="s">
        <v>318</v>
      </c>
      <c r="H34" s="171">
        <v>41438</v>
      </c>
      <c r="I34" s="172">
        <v>41820</v>
      </c>
      <c r="J34" s="157" t="s">
        <v>303</v>
      </c>
      <c r="K34" s="158">
        <f t="shared" si="7"/>
        <v>2013</v>
      </c>
      <c r="L34" s="159">
        <v>67000</v>
      </c>
      <c r="M34" s="160">
        <v>1</v>
      </c>
      <c r="N34" s="170">
        <v>1</v>
      </c>
      <c r="O34" s="167">
        <v>0</v>
      </c>
      <c r="P34" s="168">
        <v>0</v>
      </c>
      <c r="Q34" s="159">
        <v>67000</v>
      </c>
      <c r="R34" s="164">
        <v>0</v>
      </c>
      <c r="S34" s="158">
        <v>0</v>
      </c>
      <c r="T34" s="159">
        <v>0</v>
      </c>
      <c r="U34" s="164">
        <v>0</v>
      </c>
      <c r="V34" s="158">
        <v>0</v>
      </c>
      <c r="W34" s="165">
        <v>472492</v>
      </c>
      <c r="X34" s="166">
        <f t="shared" si="1"/>
        <v>249851.79057591624</v>
      </c>
      <c r="Y34" s="166">
        <f t="shared" si="2"/>
        <v>222640.20942408376</v>
      </c>
      <c r="Z34" s="166">
        <f t="shared" si="3"/>
        <v>0</v>
      </c>
      <c r="AA34" s="167">
        <v>1</v>
      </c>
      <c r="AB34" s="167">
        <v>1</v>
      </c>
      <c r="AC34" s="167">
        <v>0</v>
      </c>
      <c r="AD34" s="168">
        <v>0</v>
      </c>
      <c r="AE34" s="169"/>
      <c r="AF34" s="175"/>
      <c r="AG34" s="175"/>
    </row>
    <row r="35" spans="2:33" s="174" customFormat="1" ht="54" customHeight="1">
      <c r="C35" s="151" t="s">
        <v>71</v>
      </c>
      <c r="D35" s="152"/>
      <c r="E35" s="153" t="s">
        <v>153</v>
      </c>
      <c r="F35" s="152" t="s">
        <v>904</v>
      </c>
      <c r="G35" s="154" t="s">
        <v>315</v>
      </c>
      <c r="H35" s="171">
        <v>41521</v>
      </c>
      <c r="I35" s="172">
        <v>41851</v>
      </c>
      <c r="J35" s="157" t="s">
        <v>303</v>
      </c>
      <c r="K35" s="158">
        <f t="shared" si="7"/>
        <v>2013</v>
      </c>
      <c r="L35" s="159">
        <v>25000</v>
      </c>
      <c r="M35" s="160">
        <v>1</v>
      </c>
      <c r="N35" s="170">
        <v>1</v>
      </c>
      <c r="O35" s="167">
        <v>0</v>
      </c>
      <c r="P35" s="168">
        <v>0</v>
      </c>
      <c r="Q35" s="159">
        <v>3750</v>
      </c>
      <c r="R35" s="164">
        <v>25000</v>
      </c>
      <c r="S35" s="158">
        <v>25000</v>
      </c>
      <c r="T35" s="159">
        <v>0</v>
      </c>
      <c r="U35" s="164">
        <v>0</v>
      </c>
      <c r="V35" s="158">
        <v>0</v>
      </c>
      <c r="W35" s="165">
        <v>307271</v>
      </c>
      <c r="X35" s="166">
        <f t="shared" si="1"/>
        <v>110803.78484848485</v>
      </c>
      <c r="Y35" s="166">
        <f t="shared" si="2"/>
        <v>196467.21515151515</v>
      </c>
      <c r="Z35" s="166">
        <f t="shared" si="3"/>
        <v>0</v>
      </c>
      <c r="AA35" s="167">
        <v>1</v>
      </c>
      <c r="AB35" s="167">
        <f>159981/307271</f>
        <v>0.52065115158931363</v>
      </c>
      <c r="AC35" s="167">
        <v>0</v>
      </c>
      <c r="AD35" s="168">
        <v>0.48</v>
      </c>
      <c r="AE35" s="169" t="s">
        <v>316</v>
      </c>
      <c r="AF35" s="175"/>
      <c r="AG35" s="175"/>
    </row>
    <row r="36" spans="2:33" s="174" customFormat="1" ht="54" customHeight="1">
      <c r="C36" s="151" t="s">
        <v>71</v>
      </c>
      <c r="D36" s="152"/>
      <c r="E36" s="153" t="s">
        <v>153</v>
      </c>
      <c r="F36" s="152" t="s">
        <v>434</v>
      </c>
      <c r="G36" s="154" t="s">
        <v>313</v>
      </c>
      <c r="H36" s="171">
        <v>41866</v>
      </c>
      <c r="I36" s="172">
        <v>42108</v>
      </c>
      <c r="J36" s="157" t="s">
        <v>303</v>
      </c>
      <c r="K36" s="158">
        <f t="shared" si="7"/>
        <v>2014</v>
      </c>
      <c r="L36" s="159">
        <v>19598</v>
      </c>
      <c r="M36" s="160">
        <v>0.25</v>
      </c>
      <c r="N36" s="170">
        <v>0.1</v>
      </c>
      <c r="O36" s="167">
        <v>0</v>
      </c>
      <c r="P36" s="168">
        <v>0.9</v>
      </c>
      <c r="Q36" s="159">
        <v>2020</v>
      </c>
      <c r="R36" s="164">
        <v>2020</v>
      </c>
      <c r="S36" s="157">
        <v>2020</v>
      </c>
      <c r="T36" s="159">
        <v>3868</v>
      </c>
      <c r="U36" s="164">
        <v>7031</v>
      </c>
      <c r="V36" s="158">
        <v>6679</v>
      </c>
      <c r="W36" s="165">
        <v>287381</v>
      </c>
      <c r="X36" s="166">
        <f t="shared" si="1"/>
        <v>0</v>
      </c>
      <c r="Y36" s="166">
        <f t="shared" si="2"/>
        <v>163878.42148760331</v>
      </c>
      <c r="Z36" s="166">
        <f t="shared" si="3"/>
        <v>123502.57851239669</v>
      </c>
      <c r="AA36" s="167">
        <v>0.26</v>
      </c>
      <c r="AB36" s="167">
        <v>0.21</v>
      </c>
      <c r="AC36" s="167">
        <v>0.4</v>
      </c>
      <c r="AD36" s="168">
        <v>0.39</v>
      </c>
      <c r="AE36" s="169"/>
      <c r="AF36" s="175"/>
      <c r="AG36" s="175"/>
    </row>
    <row r="37" spans="2:33" s="174" customFormat="1" ht="54" customHeight="1">
      <c r="C37" s="151" t="s">
        <v>71</v>
      </c>
      <c r="D37" s="152"/>
      <c r="E37" s="153" t="s">
        <v>153</v>
      </c>
      <c r="F37" s="152" t="s">
        <v>288</v>
      </c>
      <c r="G37" s="154" t="s">
        <v>313</v>
      </c>
      <c r="H37" s="171">
        <v>41341</v>
      </c>
      <c r="I37" s="172">
        <v>41432</v>
      </c>
      <c r="J37" s="157" t="s">
        <v>303</v>
      </c>
      <c r="K37" s="158">
        <f t="shared" si="7"/>
        <v>2013</v>
      </c>
      <c r="L37" s="159">
        <v>2200</v>
      </c>
      <c r="M37" s="160">
        <v>0.25</v>
      </c>
      <c r="N37" s="170">
        <v>1</v>
      </c>
      <c r="O37" s="167">
        <v>0</v>
      </c>
      <c r="P37" s="168">
        <v>0</v>
      </c>
      <c r="Q37" s="159">
        <v>2200</v>
      </c>
      <c r="R37" s="164">
        <v>2200</v>
      </c>
      <c r="S37" s="164">
        <v>2200</v>
      </c>
      <c r="T37" s="159">
        <v>0</v>
      </c>
      <c r="U37" s="164">
        <v>0</v>
      </c>
      <c r="V37" s="158">
        <v>0</v>
      </c>
      <c r="W37" s="165">
        <v>217745</v>
      </c>
      <c r="X37" s="166">
        <f t="shared" si="1"/>
        <v>217745</v>
      </c>
      <c r="Y37" s="166">
        <f t="shared" si="2"/>
        <v>0</v>
      </c>
      <c r="Z37" s="166">
        <f t="shared" si="3"/>
        <v>0</v>
      </c>
      <c r="AA37" s="167">
        <v>1</v>
      </c>
      <c r="AB37" s="167">
        <f>45000/173000</f>
        <v>0.26011560693641617</v>
      </c>
      <c r="AC37" s="167">
        <v>0.43</v>
      </c>
      <c r="AD37" s="168">
        <f>53000/173000</f>
        <v>0.30635838150289019</v>
      </c>
      <c r="AE37" s="169" t="s">
        <v>314</v>
      </c>
      <c r="AF37" s="175"/>
      <c r="AG37" s="175"/>
    </row>
    <row r="38" spans="2:33" s="174" customFormat="1" ht="54" customHeight="1">
      <c r="B38" s="956"/>
      <c r="C38" s="151" t="s">
        <v>71</v>
      </c>
      <c r="D38" s="152"/>
      <c r="E38" s="153" t="s">
        <v>153</v>
      </c>
      <c r="F38" s="152" t="s">
        <v>283</v>
      </c>
      <c r="G38" s="154" t="s">
        <v>909</v>
      </c>
      <c r="H38" s="171">
        <v>42146</v>
      </c>
      <c r="I38" s="172">
        <v>42511</v>
      </c>
      <c r="J38" s="157" t="s">
        <v>282</v>
      </c>
      <c r="K38" s="158">
        <f t="shared" ref="K38:K39" si="8">YEAR(H38)</f>
        <v>2015</v>
      </c>
      <c r="L38" s="159">
        <v>5589</v>
      </c>
      <c r="M38" s="160">
        <v>0.27</v>
      </c>
      <c r="N38" s="170">
        <f>1783/5589</f>
        <v>0.31901950259438183</v>
      </c>
      <c r="O38" s="167">
        <v>0</v>
      </c>
      <c r="P38" s="168">
        <f>3806/5589</f>
        <v>0.68098049740561817</v>
      </c>
      <c r="Q38" s="164">
        <v>1783</v>
      </c>
      <c r="R38" s="164">
        <v>1783</v>
      </c>
      <c r="S38" s="164">
        <v>1783</v>
      </c>
      <c r="T38" s="159">
        <v>3806</v>
      </c>
      <c r="U38" s="164">
        <v>3806</v>
      </c>
      <c r="V38" s="158">
        <v>3806</v>
      </c>
      <c r="W38" s="165">
        <v>196799.41</v>
      </c>
      <c r="X38" s="166">
        <f t="shared" si="1"/>
        <v>0</v>
      </c>
      <c r="Y38" s="166">
        <f t="shared" si="2"/>
        <v>0</v>
      </c>
      <c r="Z38" s="166">
        <f t="shared" si="3"/>
        <v>196799.41</v>
      </c>
      <c r="AA38" s="167">
        <v>0.32</v>
      </c>
      <c r="AB38" s="876">
        <v>0.33333333333333331</v>
      </c>
      <c r="AC38" s="876">
        <v>0.34</v>
      </c>
      <c r="AD38" s="876">
        <v>0.33333333333333331</v>
      </c>
      <c r="AE38" s="169" t="s">
        <v>910</v>
      </c>
      <c r="AF38" s="175"/>
      <c r="AG38" s="175"/>
    </row>
    <row r="39" spans="2:33" s="174" customFormat="1" ht="54" customHeight="1">
      <c r="B39" s="956"/>
      <c r="C39" s="1033" t="s">
        <v>71</v>
      </c>
      <c r="D39" s="1034"/>
      <c r="E39" s="1035" t="s">
        <v>452</v>
      </c>
      <c r="F39" s="1034"/>
      <c r="G39" s="1036" t="s">
        <v>936</v>
      </c>
      <c r="H39" s="171">
        <v>42170</v>
      </c>
      <c r="I39" s="172">
        <v>42535</v>
      </c>
      <c r="J39" s="1037" t="s">
        <v>282</v>
      </c>
      <c r="K39" s="158">
        <f t="shared" si="8"/>
        <v>2015</v>
      </c>
      <c r="L39" s="1044">
        <v>21385</v>
      </c>
      <c r="M39" s="1039">
        <v>0.48499999999999999</v>
      </c>
      <c r="N39" s="1043">
        <v>0</v>
      </c>
      <c r="O39" s="1041">
        <v>0.41</v>
      </c>
      <c r="P39" s="1042">
        <v>0.59</v>
      </c>
      <c r="Q39" s="1044">
        <v>6139</v>
      </c>
      <c r="R39" s="1045">
        <v>6139</v>
      </c>
      <c r="S39" s="1046">
        <v>6139</v>
      </c>
      <c r="T39" s="1038">
        <v>575</v>
      </c>
      <c r="U39" s="1045">
        <v>15246</v>
      </c>
      <c r="V39" s="1046">
        <v>15246</v>
      </c>
      <c r="W39" s="1040">
        <v>298002</v>
      </c>
      <c r="X39" s="166">
        <f t="shared" ref="X39" si="9">W39-(Y39+Z39)</f>
        <v>0</v>
      </c>
      <c r="Y39" s="166">
        <f t="shared" ref="Y39" si="10">IF(I39&lt;$C$1,0,IF(H39&gt;$C$1,W39-Z39,(I39-$C$1)/(I39-H39)*W39-Z39))</f>
        <v>0</v>
      </c>
      <c r="Z39" s="166">
        <f t="shared" ref="Z39" si="11">IF(I39&lt;$D$1,0,IF(H39&gt;$D$1,W39,(I39-$D$1)/(I39-H39)*W39))</f>
        <v>298002</v>
      </c>
      <c r="AA39" s="167">
        <v>0.32</v>
      </c>
      <c r="AB39" s="935">
        <v>0.33333333333333331</v>
      </c>
      <c r="AC39" s="935">
        <v>0.34</v>
      </c>
      <c r="AD39" s="935">
        <v>0.33333333333333331</v>
      </c>
      <c r="AE39" s="169" t="s">
        <v>910</v>
      </c>
      <c r="AF39" s="175"/>
      <c r="AG39" s="175"/>
    </row>
    <row r="40" spans="2:33" s="174" customFormat="1" ht="54" customHeight="1">
      <c r="B40" s="956"/>
      <c r="C40" s="893" t="s">
        <v>319</v>
      </c>
      <c r="D40" s="894"/>
      <c r="E40" s="895" t="s">
        <v>153</v>
      </c>
      <c r="F40" s="894" t="s">
        <v>363</v>
      </c>
      <c r="G40" s="896" t="s">
        <v>453</v>
      </c>
      <c r="H40" s="906">
        <v>41848</v>
      </c>
      <c r="I40" s="907">
        <v>42090</v>
      </c>
      <c r="J40" s="897" t="s">
        <v>303</v>
      </c>
      <c r="K40" s="898">
        <v>2014</v>
      </c>
      <c r="L40" s="899">
        <v>9313</v>
      </c>
      <c r="M40" s="908">
        <v>0.32513690540105228</v>
      </c>
      <c r="N40" s="905">
        <v>0.33426393213787181</v>
      </c>
      <c r="O40" s="902">
        <v>0.66573606786212824</v>
      </c>
      <c r="P40" s="903">
        <v>0</v>
      </c>
      <c r="Q40" s="899">
        <v>3113</v>
      </c>
      <c r="R40" s="900">
        <v>3113</v>
      </c>
      <c r="S40" s="898">
        <v>3113</v>
      </c>
      <c r="T40" s="899">
        <v>6200</v>
      </c>
      <c r="U40" s="900">
        <v>6200</v>
      </c>
      <c r="V40" s="898">
        <v>6200</v>
      </c>
      <c r="W40" s="901">
        <v>480000</v>
      </c>
      <c r="X40" s="166">
        <f t="shared" si="1"/>
        <v>0</v>
      </c>
      <c r="Y40" s="166">
        <f t="shared" si="2"/>
        <v>309421.48760330578</v>
      </c>
      <c r="Z40" s="166">
        <f t="shared" si="3"/>
        <v>170578.51239669422</v>
      </c>
      <c r="AA40" s="902">
        <v>0.33426393213787181</v>
      </c>
      <c r="AB40" s="902">
        <v>0.33333333333333331</v>
      </c>
      <c r="AC40" s="902">
        <v>0.34</v>
      </c>
      <c r="AD40" s="903">
        <v>0.33</v>
      </c>
      <c r="AE40" s="904"/>
      <c r="AF40" s="175">
        <v>2</v>
      </c>
      <c r="AG40" s="175">
        <v>749</v>
      </c>
    </row>
    <row r="41" spans="2:33" s="174" customFormat="1" ht="54" customHeight="1">
      <c r="C41" s="151" t="s">
        <v>319</v>
      </c>
      <c r="D41" s="152"/>
      <c r="E41" s="153" t="s">
        <v>153</v>
      </c>
      <c r="F41" s="152" t="s">
        <v>283</v>
      </c>
      <c r="G41" s="154" t="s">
        <v>320</v>
      </c>
      <c r="H41" s="171">
        <v>41409</v>
      </c>
      <c r="I41" s="172">
        <v>41820</v>
      </c>
      <c r="J41" s="157" t="s">
        <v>303</v>
      </c>
      <c r="K41" s="158">
        <f t="shared" si="7"/>
        <v>2013</v>
      </c>
      <c r="L41" s="159">
        <v>5148</v>
      </c>
      <c r="M41" s="173">
        <v>0.94</v>
      </c>
      <c r="N41" s="170">
        <v>1</v>
      </c>
      <c r="O41" s="167">
        <v>0</v>
      </c>
      <c r="P41" s="168">
        <v>0</v>
      </c>
      <c r="Q41" s="159">
        <v>4169</v>
      </c>
      <c r="R41" s="164">
        <v>4169</v>
      </c>
      <c r="S41" s="158">
        <v>4169</v>
      </c>
      <c r="T41" s="159">
        <v>0</v>
      </c>
      <c r="U41" s="164">
        <v>0</v>
      </c>
      <c r="V41" s="158">
        <v>0</v>
      </c>
      <c r="W41" s="165">
        <v>557333</v>
      </c>
      <c r="X41" s="166">
        <f t="shared" si="1"/>
        <v>313245.55474452558</v>
      </c>
      <c r="Y41" s="166">
        <f t="shared" si="2"/>
        <v>244087.44525547445</v>
      </c>
      <c r="Z41" s="166">
        <f t="shared" si="3"/>
        <v>0</v>
      </c>
      <c r="AA41" s="167">
        <v>1</v>
      </c>
      <c r="AB41" s="167">
        <v>0.47</v>
      </c>
      <c r="AC41" s="167">
        <v>0.21</v>
      </c>
      <c r="AD41" s="168">
        <v>0.32</v>
      </c>
      <c r="AE41" s="169" t="s">
        <v>321</v>
      </c>
      <c r="AF41" s="175"/>
      <c r="AG41" s="175"/>
    </row>
    <row r="42" spans="2:33" s="174" customFormat="1" ht="54" customHeight="1">
      <c r="B42" s="956"/>
      <c r="C42" s="877" t="s">
        <v>319</v>
      </c>
      <c r="D42" s="878"/>
      <c r="E42" s="879" t="s">
        <v>153</v>
      </c>
      <c r="F42" s="878" t="s">
        <v>283</v>
      </c>
      <c r="G42" s="880" t="s">
        <v>911</v>
      </c>
      <c r="H42" s="890">
        <v>42144</v>
      </c>
      <c r="I42" s="891">
        <v>42509</v>
      </c>
      <c r="J42" s="881" t="s">
        <v>282</v>
      </c>
      <c r="K42" s="882">
        <v>2015</v>
      </c>
      <c r="L42" s="883">
        <v>12078</v>
      </c>
      <c r="M42" s="892"/>
      <c r="N42" s="889">
        <v>0.26709720152343103</v>
      </c>
      <c r="O42" s="886">
        <v>0</v>
      </c>
      <c r="P42" s="887">
        <v>0.73290279847656892</v>
      </c>
      <c r="Q42" s="883">
        <v>3226</v>
      </c>
      <c r="R42" s="884">
        <v>3226</v>
      </c>
      <c r="S42" s="882">
        <v>3226</v>
      </c>
      <c r="T42" s="947">
        <v>8852</v>
      </c>
      <c r="U42" s="948">
        <v>8852</v>
      </c>
      <c r="V42" s="946">
        <v>8852</v>
      </c>
      <c r="W42" s="885">
        <v>219974.34</v>
      </c>
      <c r="X42" s="166">
        <f t="shared" si="1"/>
        <v>0</v>
      </c>
      <c r="Y42" s="166">
        <f t="shared" si="2"/>
        <v>0</v>
      </c>
      <c r="Z42" s="166">
        <f t="shared" si="3"/>
        <v>219974.34</v>
      </c>
      <c r="AA42" s="886">
        <v>0.26709720152343103</v>
      </c>
      <c r="AB42" s="886">
        <v>0.33333333333333331</v>
      </c>
      <c r="AC42" s="886">
        <v>0.34</v>
      </c>
      <c r="AD42" s="887">
        <v>0.33</v>
      </c>
      <c r="AE42" s="888" t="s">
        <v>912</v>
      </c>
      <c r="AF42" s="175">
        <v>2</v>
      </c>
      <c r="AG42" s="175">
        <v>749</v>
      </c>
    </row>
    <row r="43" spans="2:33" s="174" customFormat="1" ht="54" customHeight="1">
      <c r="C43" s="196" t="s">
        <v>52</v>
      </c>
      <c r="D43" s="197" t="s">
        <v>431</v>
      </c>
      <c r="E43" s="198" t="s">
        <v>323</v>
      </c>
      <c r="F43" s="197"/>
      <c r="G43" s="199" t="s">
        <v>332</v>
      </c>
      <c r="H43" s="200">
        <v>41671</v>
      </c>
      <c r="I43" s="201">
        <v>42094</v>
      </c>
      <c r="J43" s="202" t="s">
        <v>303</v>
      </c>
      <c r="K43" s="203">
        <f t="shared" si="7"/>
        <v>2014</v>
      </c>
      <c r="L43" s="204">
        <v>117000</v>
      </c>
      <c r="M43" s="205">
        <v>0.9</v>
      </c>
      <c r="N43" s="206">
        <v>0.56000000000000005</v>
      </c>
      <c r="O43" s="207">
        <v>0.15</v>
      </c>
      <c r="P43" s="208">
        <v>0.28999999999999992</v>
      </c>
      <c r="Q43" s="204">
        <v>80751</v>
      </c>
      <c r="R43" s="209">
        <v>80751</v>
      </c>
      <c r="S43" s="203">
        <v>80751</v>
      </c>
      <c r="T43" s="204">
        <v>37084</v>
      </c>
      <c r="U43" s="209">
        <v>37084</v>
      </c>
      <c r="V43" s="203">
        <v>37084</v>
      </c>
      <c r="W43" s="849">
        <f>3449661</f>
        <v>3449661</v>
      </c>
      <c r="X43" s="166">
        <f t="shared" si="1"/>
        <v>0</v>
      </c>
      <c r="Y43" s="166">
        <f t="shared" si="2"/>
        <v>2715690.5744680851</v>
      </c>
      <c r="Z43" s="166">
        <f t="shared" si="3"/>
        <v>733970.42553191492</v>
      </c>
      <c r="AA43" s="207">
        <v>0.7</v>
      </c>
      <c r="AB43" s="207">
        <v>0.56999999999999995</v>
      </c>
      <c r="AC43" s="207">
        <v>0.13</v>
      </c>
      <c r="AD43" s="208">
        <v>0.3</v>
      </c>
      <c r="AE43" s="210" t="s">
        <v>327</v>
      </c>
      <c r="AF43" s="175"/>
      <c r="AG43" s="175"/>
    </row>
    <row r="44" spans="2:33" s="174" customFormat="1" ht="54" customHeight="1">
      <c r="C44" s="196" t="s">
        <v>52</v>
      </c>
      <c r="D44" s="197"/>
      <c r="E44" s="198" t="s">
        <v>432</v>
      </c>
      <c r="F44" s="197"/>
      <c r="G44" s="199" t="s">
        <v>433</v>
      </c>
      <c r="H44" s="200">
        <v>41699</v>
      </c>
      <c r="I44" s="201">
        <v>42185</v>
      </c>
      <c r="J44" s="202" t="s">
        <v>282</v>
      </c>
      <c r="K44" s="203">
        <f t="shared" si="7"/>
        <v>2014</v>
      </c>
      <c r="L44" s="843">
        <v>9158</v>
      </c>
      <c r="M44" s="839">
        <v>0.65</v>
      </c>
      <c r="N44" s="844">
        <v>0.26</v>
      </c>
      <c r="O44" s="845">
        <v>0.4</v>
      </c>
      <c r="P44" s="846">
        <v>0.34</v>
      </c>
      <c r="Q44" s="843">
        <v>2405</v>
      </c>
      <c r="R44" s="847">
        <v>2405</v>
      </c>
      <c r="S44" s="848">
        <v>2405</v>
      </c>
      <c r="T44" s="843">
        <v>2701.2000000000003</v>
      </c>
      <c r="U44" s="847">
        <v>6753</v>
      </c>
      <c r="V44" s="848">
        <v>6753</v>
      </c>
      <c r="W44" s="842">
        <v>726000</v>
      </c>
      <c r="X44" s="166">
        <f t="shared" si="1"/>
        <v>0</v>
      </c>
      <c r="Y44" s="166">
        <f t="shared" si="2"/>
        <v>455617.28395061725</v>
      </c>
      <c r="Z44" s="166">
        <f t="shared" si="3"/>
        <v>270382.71604938275</v>
      </c>
      <c r="AA44" s="845">
        <v>0.75</v>
      </c>
      <c r="AB44" s="845">
        <v>0.54</v>
      </c>
      <c r="AC44" s="845">
        <v>0.17</v>
      </c>
      <c r="AD44" s="846">
        <v>0.28999999999999998</v>
      </c>
      <c r="AE44" s="840" t="s">
        <v>327</v>
      </c>
      <c r="AF44" s="175"/>
      <c r="AG44" s="175"/>
    </row>
    <row r="45" spans="2:33" s="174" customFormat="1" ht="54" customHeight="1">
      <c r="C45" s="151" t="s">
        <v>52</v>
      </c>
      <c r="D45" s="152"/>
      <c r="E45" s="153" t="s">
        <v>283</v>
      </c>
      <c r="F45" s="152"/>
      <c r="G45" s="154" t="s">
        <v>328</v>
      </c>
      <c r="H45" s="171">
        <v>41487</v>
      </c>
      <c r="I45" s="172">
        <v>42094</v>
      </c>
      <c r="J45" s="157" t="s">
        <v>303</v>
      </c>
      <c r="K45" s="158">
        <f t="shared" si="7"/>
        <v>2013</v>
      </c>
      <c r="L45" s="159">
        <v>50281</v>
      </c>
      <c r="M45" s="190">
        <v>0.93</v>
      </c>
      <c r="N45" s="191">
        <v>0.84</v>
      </c>
      <c r="O45" s="192">
        <v>0.05</v>
      </c>
      <c r="P45" s="193">
        <v>0.11</v>
      </c>
      <c r="Q45" s="159">
        <v>26491</v>
      </c>
      <c r="R45" s="164">
        <v>0</v>
      </c>
      <c r="S45" s="158">
        <v>15618</v>
      </c>
      <c r="T45" s="159">
        <v>0</v>
      </c>
      <c r="U45" s="164">
        <v>0</v>
      </c>
      <c r="V45" s="158">
        <v>8172</v>
      </c>
      <c r="W45" s="194">
        <v>1310000</v>
      </c>
      <c r="X45" s="166">
        <f t="shared" si="1"/>
        <v>330197.69357495883</v>
      </c>
      <c r="Y45" s="166">
        <f t="shared" si="2"/>
        <v>785568.36902800656</v>
      </c>
      <c r="Z45" s="166">
        <f t="shared" si="3"/>
        <v>194233.93739703458</v>
      </c>
      <c r="AA45" s="192">
        <v>0.84</v>
      </c>
      <c r="AB45" s="192">
        <v>0.27</v>
      </c>
      <c r="AC45" s="192">
        <v>0</v>
      </c>
      <c r="AD45" s="193">
        <v>0.73</v>
      </c>
      <c r="AE45" s="169" t="s">
        <v>329</v>
      </c>
      <c r="AF45" s="175"/>
      <c r="AG45" s="175"/>
    </row>
    <row r="46" spans="2:33" s="174" customFormat="1" ht="54" customHeight="1">
      <c r="C46" s="151" t="s">
        <v>52</v>
      </c>
      <c r="D46" s="152" t="s">
        <v>331</v>
      </c>
      <c r="E46" s="153" t="s">
        <v>323</v>
      </c>
      <c r="F46" s="152"/>
      <c r="G46" s="154" t="s">
        <v>332</v>
      </c>
      <c r="H46" s="171">
        <v>41395</v>
      </c>
      <c r="I46" s="172">
        <v>41670</v>
      </c>
      <c r="J46" s="157" t="s">
        <v>303</v>
      </c>
      <c r="K46" s="158">
        <f t="shared" si="7"/>
        <v>2013</v>
      </c>
      <c r="L46" s="159">
        <v>89278</v>
      </c>
      <c r="M46" s="160">
        <v>1</v>
      </c>
      <c r="N46" s="195">
        <v>0.64</v>
      </c>
      <c r="O46" s="167">
        <v>0</v>
      </c>
      <c r="P46" s="168">
        <v>0.36</v>
      </c>
      <c r="Q46" s="159">
        <v>57138</v>
      </c>
      <c r="R46" s="164">
        <v>57138</v>
      </c>
      <c r="S46" s="158">
        <v>57138</v>
      </c>
      <c r="T46" s="159">
        <v>32140</v>
      </c>
      <c r="U46" s="164">
        <v>32140</v>
      </c>
      <c r="V46" s="158">
        <v>32140</v>
      </c>
      <c r="W46" s="165">
        <v>3984393</v>
      </c>
      <c r="X46" s="166">
        <f t="shared" si="1"/>
        <v>3549731.9454545453</v>
      </c>
      <c r="Y46" s="166">
        <f t="shared" si="2"/>
        <v>434661.05454545451</v>
      </c>
      <c r="Z46" s="166">
        <f t="shared" si="3"/>
        <v>0</v>
      </c>
      <c r="AA46" s="167">
        <v>0.9</v>
      </c>
      <c r="AB46" s="167">
        <v>0.27</v>
      </c>
      <c r="AC46" s="167">
        <v>0.27</v>
      </c>
      <c r="AD46" s="168">
        <v>0.46</v>
      </c>
      <c r="AE46" s="169" t="s">
        <v>327</v>
      </c>
      <c r="AF46" s="175"/>
      <c r="AG46" s="175"/>
    </row>
    <row r="47" spans="2:33" s="174" customFormat="1" ht="54" customHeight="1">
      <c r="C47" s="151" t="s">
        <v>52</v>
      </c>
      <c r="D47" s="152"/>
      <c r="E47" s="153" t="s">
        <v>333</v>
      </c>
      <c r="F47" s="152"/>
      <c r="G47" s="154" t="s">
        <v>334</v>
      </c>
      <c r="H47" s="171">
        <v>41395</v>
      </c>
      <c r="I47" s="172">
        <v>41759</v>
      </c>
      <c r="J47" s="157" t="s">
        <v>303</v>
      </c>
      <c r="K47" s="158">
        <f t="shared" si="7"/>
        <v>2013</v>
      </c>
      <c r="L47" s="159">
        <v>12394</v>
      </c>
      <c r="M47" s="160">
        <v>0.79</v>
      </c>
      <c r="N47" s="170">
        <v>0.4</v>
      </c>
      <c r="O47" s="167">
        <v>0.21</v>
      </c>
      <c r="P47" s="168">
        <v>0.39</v>
      </c>
      <c r="Q47" s="159">
        <v>3783</v>
      </c>
      <c r="R47" s="164">
        <v>3783</v>
      </c>
      <c r="S47" s="158">
        <v>3783</v>
      </c>
      <c r="T47" s="159">
        <v>8611</v>
      </c>
      <c r="U47" s="164">
        <v>8611</v>
      </c>
      <c r="V47" s="158">
        <v>8611</v>
      </c>
      <c r="W47" s="165">
        <v>765306</v>
      </c>
      <c r="X47" s="166">
        <f t="shared" si="1"/>
        <v>515109.80769230769</v>
      </c>
      <c r="Y47" s="166">
        <f t="shared" si="2"/>
        <v>250196.19230769231</v>
      </c>
      <c r="Z47" s="166">
        <f t="shared" si="3"/>
        <v>0</v>
      </c>
      <c r="AA47" s="167">
        <v>0.87</v>
      </c>
      <c r="AB47" s="167">
        <v>0.2</v>
      </c>
      <c r="AC47" s="167">
        <v>0.7</v>
      </c>
      <c r="AD47" s="168">
        <v>0.1</v>
      </c>
      <c r="AE47" s="169" t="s">
        <v>327</v>
      </c>
      <c r="AF47" s="175"/>
      <c r="AG47" s="175"/>
    </row>
    <row r="48" spans="2:33" s="174" customFormat="1" ht="54" customHeight="1">
      <c r="C48" s="151" t="s">
        <v>52</v>
      </c>
      <c r="D48" s="152"/>
      <c r="E48" s="153" t="s">
        <v>305</v>
      </c>
      <c r="F48" s="152"/>
      <c r="G48" s="154" t="s">
        <v>326</v>
      </c>
      <c r="H48" s="171">
        <v>41395</v>
      </c>
      <c r="I48" s="172">
        <v>41759</v>
      </c>
      <c r="J48" s="157" t="s">
        <v>303</v>
      </c>
      <c r="K48" s="158">
        <f t="shared" si="7"/>
        <v>2013</v>
      </c>
      <c r="L48" s="159">
        <v>5865</v>
      </c>
      <c r="M48" s="160">
        <v>1</v>
      </c>
      <c r="N48" s="170">
        <v>0.9</v>
      </c>
      <c r="O48" s="167">
        <v>0</v>
      </c>
      <c r="P48" s="168">
        <v>0.1</v>
      </c>
      <c r="Q48" s="187">
        <v>5276</v>
      </c>
      <c r="R48" s="188">
        <v>5279</v>
      </c>
      <c r="S48" s="189">
        <v>5279</v>
      </c>
      <c r="T48" s="187">
        <v>587</v>
      </c>
      <c r="U48" s="164">
        <v>587</v>
      </c>
      <c r="V48" s="158">
        <v>587</v>
      </c>
      <c r="W48" s="165">
        <v>473200</v>
      </c>
      <c r="X48" s="166">
        <f t="shared" si="1"/>
        <v>318500</v>
      </c>
      <c r="Y48" s="166">
        <f t="shared" si="2"/>
        <v>154700</v>
      </c>
      <c r="Z48" s="166">
        <f t="shared" si="3"/>
        <v>0</v>
      </c>
      <c r="AA48" s="167">
        <v>0.9</v>
      </c>
      <c r="AB48" s="167">
        <v>0.19</v>
      </c>
      <c r="AC48" s="167">
        <v>0.4</v>
      </c>
      <c r="AD48" s="168">
        <v>0.41</v>
      </c>
      <c r="AE48" s="169" t="s">
        <v>327</v>
      </c>
      <c r="AF48" s="175"/>
      <c r="AG48" s="175"/>
    </row>
    <row r="49" spans="2:33" s="174" customFormat="1" ht="54" customHeight="1">
      <c r="C49" s="151" t="s">
        <v>52</v>
      </c>
      <c r="D49" s="152" t="s">
        <v>322</v>
      </c>
      <c r="E49" s="153" t="s">
        <v>323</v>
      </c>
      <c r="F49" s="152"/>
      <c r="G49" s="154" t="s">
        <v>324</v>
      </c>
      <c r="H49" s="171">
        <v>41228</v>
      </c>
      <c r="I49" s="172">
        <v>41394</v>
      </c>
      <c r="J49" s="181" t="s">
        <v>303</v>
      </c>
      <c r="K49" s="158">
        <f t="shared" si="7"/>
        <v>2012</v>
      </c>
      <c r="L49" s="182">
        <v>81512</v>
      </c>
      <c r="M49" s="160">
        <v>0.9</v>
      </c>
      <c r="N49" s="170">
        <v>0.9</v>
      </c>
      <c r="O49" s="167"/>
      <c r="P49" s="168">
        <v>0.1</v>
      </c>
      <c r="Q49" s="182">
        <v>48680</v>
      </c>
      <c r="R49" s="183">
        <v>69942</v>
      </c>
      <c r="S49" s="184">
        <v>81512</v>
      </c>
      <c r="T49" s="182" t="s">
        <v>204</v>
      </c>
      <c r="U49" s="183" t="s">
        <v>204</v>
      </c>
      <c r="V49" s="184" t="s">
        <v>204</v>
      </c>
      <c r="W49" s="165">
        <v>2568595</v>
      </c>
      <c r="X49" s="166">
        <f t="shared" si="1"/>
        <v>2568595</v>
      </c>
      <c r="Y49" s="166">
        <f t="shared" si="2"/>
        <v>0</v>
      </c>
      <c r="Z49" s="166">
        <f t="shared" si="3"/>
        <v>0</v>
      </c>
      <c r="AA49" s="167">
        <v>0.9</v>
      </c>
      <c r="AB49" s="167">
        <v>0.27</v>
      </c>
      <c r="AC49" s="167">
        <v>0.27</v>
      </c>
      <c r="AD49" s="168">
        <v>0.46</v>
      </c>
      <c r="AE49" s="169" t="s">
        <v>325</v>
      </c>
      <c r="AF49" s="175"/>
      <c r="AG49" s="175"/>
    </row>
    <row r="50" spans="2:33" s="174" customFormat="1" ht="54" customHeight="1">
      <c r="C50" s="151" t="s">
        <v>52</v>
      </c>
      <c r="D50" s="152"/>
      <c r="E50" s="153" t="s">
        <v>283</v>
      </c>
      <c r="F50" s="152"/>
      <c r="G50" s="154" t="s">
        <v>328</v>
      </c>
      <c r="H50" s="171">
        <v>41233</v>
      </c>
      <c r="I50" s="172">
        <v>41486</v>
      </c>
      <c r="J50" s="157" t="s">
        <v>303</v>
      </c>
      <c r="K50" s="158">
        <f t="shared" si="7"/>
        <v>2012</v>
      </c>
      <c r="L50" s="159">
        <v>20054</v>
      </c>
      <c r="M50" s="190">
        <v>0.999</v>
      </c>
      <c r="N50" s="191">
        <v>1</v>
      </c>
      <c r="O50" s="192">
        <v>0</v>
      </c>
      <c r="P50" s="193">
        <v>0</v>
      </c>
      <c r="Q50" s="159">
        <v>800</v>
      </c>
      <c r="R50" s="164">
        <v>0</v>
      </c>
      <c r="S50" s="158">
        <v>20054</v>
      </c>
      <c r="T50" s="159">
        <v>0</v>
      </c>
      <c r="U50" s="164">
        <v>0</v>
      </c>
      <c r="V50" s="158">
        <v>0</v>
      </c>
      <c r="W50" s="194">
        <v>1000000</v>
      </c>
      <c r="X50" s="166">
        <f t="shared" si="1"/>
        <v>1000000</v>
      </c>
      <c r="Y50" s="166">
        <f t="shared" si="2"/>
        <v>0</v>
      </c>
      <c r="Z50" s="166">
        <f t="shared" si="3"/>
        <v>0</v>
      </c>
      <c r="AA50" s="192">
        <v>1</v>
      </c>
      <c r="AB50" s="192">
        <v>0.05</v>
      </c>
      <c r="AC50" s="192">
        <v>0</v>
      </c>
      <c r="AD50" s="193">
        <v>0.95</v>
      </c>
      <c r="AE50" s="169" t="s">
        <v>330</v>
      </c>
      <c r="AF50" s="175"/>
      <c r="AG50" s="175"/>
    </row>
    <row r="51" spans="2:33" s="174" customFormat="1" ht="54" customHeight="1">
      <c r="C51" s="745" t="s">
        <v>52</v>
      </c>
      <c r="D51" s="746" t="s">
        <v>895</v>
      </c>
      <c r="E51" s="747" t="s">
        <v>323</v>
      </c>
      <c r="F51" s="746"/>
      <c r="G51" s="806" t="s">
        <v>900</v>
      </c>
      <c r="H51" s="807">
        <v>42095</v>
      </c>
      <c r="I51" s="804">
        <v>42460</v>
      </c>
      <c r="J51" s="748" t="s">
        <v>282</v>
      </c>
      <c r="K51" s="158">
        <f t="shared" ref="K51:K52" si="12">YEAR(H51)</f>
        <v>2015</v>
      </c>
      <c r="L51" s="750">
        <v>117000</v>
      </c>
      <c r="M51" s="808">
        <v>0.9</v>
      </c>
      <c r="N51" s="751">
        <v>0.56000000000000005</v>
      </c>
      <c r="O51" s="752">
        <v>0.15</v>
      </c>
      <c r="P51" s="749">
        <v>0.28999999999999992</v>
      </c>
      <c r="Q51" s="750">
        <v>80751</v>
      </c>
      <c r="R51" s="753">
        <v>80751</v>
      </c>
      <c r="S51" s="754">
        <v>80751</v>
      </c>
      <c r="T51" s="750">
        <v>37084</v>
      </c>
      <c r="U51" s="753">
        <v>37084</v>
      </c>
      <c r="V51" s="754">
        <v>37084</v>
      </c>
      <c r="W51" s="849">
        <v>2095794</v>
      </c>
      <c r="X51" s="166">
        <f t="shared" si="1"/>
        <v>0</v>
      </c>
      <c r="Y51" s="166">
        <f t="shared" si="2"/>
        <v>0</v>
      </c>
      <c r="Z51" s="166">
        <f t="shared" si="3"/>
        <v>2095794</v>
      </c>
      <c r="AA51" s="752">
        <v>0.7</v>
      </c>
      <c r="AB51" s="752">
        <v>0.35</v>
      </c>
      <c r="AC51" s="752">
        <v>7.0000000000000007E-2</v>
      </c>
      <c r="AD51" s="749">
        <v>0.27</v>
      </c>
      <c r="AE51" s="169" t="s">
        <v>330</v>
      </c>
      <c r="AF51" s="175"/>
      <c r="AG51" s="175"/>
    </row>
    <row r="52" spans="2:33" s="174" customFormat="1" ht="54" customHeight="1">
      <c r="C52" s="755" t="s">
        <v>52</v>
      </c>
      <c r="D52" s="756"/>
      <c r="E52" s="769" t="s">
        <v>283</v>
      </c>
      <c r="F52" s="768"/>
      <c r="G52" s="850" t="s">
        <v>908</v>
      </c>
      <c r="H52" s="837">
        <v>42095</v>
      </c>
      <c r="I52" s="838">
        <v>42460</v>
      </c>
      <c r="J52" s="851" t="s">
        <v>282</v>
      </c>
      <c r="K52" s="857">
        <f t="shared" si="12"/>
        <v>2015</v>
      </c>
      <c r="L52" s="852">
        <v>9158</v>
      </c>
      <c r="M52" s="841">
        <v>0.65</v>
      </c>
      <c r="N52" s="853">
        <v>0.26</v>
      </c>
      <c r="O52" s="854">
        <v>0.4</v>
      </c>
      <c r="P52" s="855">
        <v>0.34</v>
      </c>
      <c r="Q52" s="852">
        <v>2405</v>
      </c>
      <c r="R52" s="856">
        <v>2405</v>
      </c>
      <c r="S52" s="857">
        <v>2405</v>
      </c>
      <c r="T52" s="852">
        <v>2405</v>
      </c>
      <c r="U52" s="858">
        <v>1688.25</v>
      </c>
      <c r="V52" s="856">
        <v>6753</v>
      </c>
      <c r="W52" s="842">
        <v>147500</v>
      </c>
      <c r="X52" s="166">
        <f t="shared" si="1"/>
        <v>0</v>
      </c>
      <c r="Y52" s="166">
        <f t="shared" si="2"/>
        <v>0</v>
      </c>
      <c r="Z52" s="166">
        <f t="shared" si="3"/>
        <v>147500</v>
      </c>
      <c r="AA52" s="757">
        <v>0.4</v>
      </c>
      <c r="AB52" s="757">
        <v>0.46</v>
      </c>
      <c r="AC52" s="757">
        <v>0.2</v>
      </c>
      <c r="AD52" s="758">
        <v>0.34</v>
      </c>
      <c r="AE52" s="169" t="s">
        <v>330</v>
      </c>
      <c r="AF52" s="175"/>
      <c r="AG52" s="175"/>
    </row>
    <row r="53" spans="2:33" s="122" customFormat="1" ht="54" customHeight="1">
      <c r="C53" s="825" t="s">
        <v>897</v>
      </c>
      <c r="D53" s="768"/>
      <c r="E53" s="769" t="s">
        <v>283</v>
      </c>
      <c r="F53" s="768"/>
      <c r="G53" s="770" t="s">
        <v>898</v>
      </c>
      <c r="H53" s="816">
        <v>41563</v>
      </c>
      <c r="I53" s="817">
        <v>42185</v>
      </c>
      <c r="J53" s="771" t="s">
        <v>282</v>
      </c>
      <c r="K53" s="158">
        <f t="shared" ref="K53:K55" si="13">YEAR(H53)</f>
        <v>2013</v>
      </c>
      <c r="L53" s="773">
        <v>61900</v>
      </c>
      <c r="M53" s="774">
        <v>0.95</v>
      </c>
      <c r="N53" s="778">
        <v>0.64</v>
      </c>
      <c r="O53" s="776">
        <v>0.08</v>
      </c>
      <c r="P53" s="777">
        <v>0.28000000000000003</v>
      </c>
      <c r="Q53" s="773">
        <v>39900</v>
      </c>
      <c r="R53" s="775">
        <v>39900</v>
      </c>
      <c r="S53" s="772">
        <v>39900</v>
      </c>
      <c r="T53" s="818">
        <v>22000</v>
      </c>
      <c r="U53" s="819">
        <v>22000</v>
      </c>
      <c r="V53" s="820">
        <v>22000</v>
      </c>
      <c r="W53" s="821">
        <v>1525000</v>
      </c>
      <c r="X53" s="166">
        <f t="shared" si="1"/>
        <v>188786.1736334404</v>
      </c>
      <c r="Y53" s="166">
        <f t="shared" si="2"/>
        <v>892443.72990353708</v>
      </c>
      <c r="Z53" s="166">
        <f t="shared" si="3"/>
        <v>443770.09646302246</v>
      </c>
      <c r="AA53" s="779">
        <v>0.6</v>
      </c>
      <c r="AB53" s="779">
        <v>0.56999999999999995</v>
      </c>
      <c r="AC53" s="779">
        <v>0.21</v>
      </c>
      <c r="AD53" s="780">
        <v>0.22</v>
      </c>
      <c r="AE53" s="781" t="s">
        <v>376</v>
      </c>
      <c r="AF53" s="129">
        <v>23</v>
      </c>
      <c r="AG53" s="129">
        <v>2901</v>
      </c>
    </row>
    <row r="54" spans="2:33" s="122" customFormat="1" ht="54" customHeight="1">
      <c r="C54" s="825" t="s">
        <v>897</v>
      </c>
      <c r="D54" s="331"/>
      <c r="E54" s="332" t="s">
        <v>153</v>
      </c>
      <c r="F54" s="152" t="s">
        <v>905</v>
      </c>
      <c r="G54" s="334" t="s">
        <v>339</v>
      </c>
      <c r="H54" s="335">
        <v>41426</v>
      </c>
      <c r="I54" s="336">
        <v>41943</v>
      </c>
      <c r="J54" s="211" t="s">
        <v>303</v>
      </c>
      <c r="K54" s="158">
        <f t="shared" si="13"/>
        <v>2013</v>
      </c>
      <c r="L54" s="338">
        <v>12750</v>
      </c>
      <c r="M54" s="339">
        <v>1</v>
      </c>
      <c r="N54" s="340">
        <v>1</v>
      </c>
      <c r="O54" s="341">
        <v>0</v>
      </c>
      <c r="P54" s="343">
        <v>0</v>
      </c>
      <c r="Q54" s="338">
        <v>10250</v>
      </c>
      <c r="R54" s="211">
        <v>10250</v>
      </c>
      <c r="S54" s="346">
        <v>10250</v>
      </c>
      <c r="T54" s="215">
        <v>2500</v>
      </c>
      <c r="U54" s="221">
        <v>2500</v>
      </c>
      <c r="V54" s="220">
        <v>2500</v>
      </c>
      <c r="W54" s="349">
        <v>1352636</v>
      </c>
      <c r="X54" s="166">
        <f t="shared" si="1"/>
        <v>559891.88394584146</v>
      </c>
      <c r="Y54" s="166">
        <f t="shared" si="2"/>
        <v>792744.11605415854</v>
      </c>
      <c r="Z54" s="166">
        <f t="shared" si="3"/>
        <v>0</v>
      </c>
      <c r="AA54" s="341">
        <v>1</v>
      </c>
      <c r="AB54" s="341">
        <v>0.56000000000000005</v>
      </c>
      <c r="AC54" s="341">
        <v>0.42</v>
      </c>
      <c r="AD54" s="343">
        <v>0.02</v>
      </c>
      <c r="AE54" s="350" t="s">
        <v>378</v>
      </c>
      <c r="AF54" s="129"/>
      <c r="AG54" s="129"/>
    </row>
    <row r="55" spans="2:33" s="122" customFormat="1" ht="54" customHeight="1">
      <c r="C55" s="825" t="s">
        <v>897</v>
      </c>
      <c r="D55" s="224"/>
      <c r="E55" s="332" t="s">
        <v>305</v>
      </c>
      <c r="F55" s="331"/>
      <c r="G55" s="334" t="s">
        <v>338</v>
      </c>
      <c r="H55" s="225">
        <v>41426</v>
      </c>
      <c r="I55" s="226">
        <v>41881</v>
      </c>
      <c r="J55" s="351" t="s">
        <v>303</v>
      </c>
      <c r="K55" s="158">
        <f t="shared" si="13"/>
        <v>2013</v>
      </c>
      <c r="L55" s="228">
        <v>29722</v>
      </c>
      <c r="M55" s="229">
        <v>1</v>
      </c>
      <c r="N55" s="230">
        <v>1</v>
      </c>
      <c r="O55" s="231">
        <v>0</v>
      </c>
      <c r="P55" s="232">
        <v>0</v>
      </c>
      <c r="Q55" s="228">
        <v>29722</v>
      </c>
      <c r="R55" s="211">
        <v>29722</v>
      </c>
      <c r="S55" s="234">
        <v>29722</v>
      </c>
      <c r="T55" s="228">
        <v>0</v>
      </c>
      <c r="U55" s="233">
        <v>0</v>
      </c>
      <c r="V55" s="234">
        <v>0</v>
      </c>
      <c r="W55" s="235">
        <v>401488.56</v>
      </c>
      <c r="X55" s="166">
        <f t="shared" si="1"/>
        <v>188831.98206593408</v>
      </c>
      <c r="Y55" s="166">
        <f t="shared" si="2"/>
        <v>212656.57793406592</v>
      </c>
      <c r="Z55" s="166">
        <f t="shared" si="3"/>
        <v>0</v>
      </c>
      <c r="AA55" s="341">
        <v>1</v>
      </c>
      <c r="AB55" s="231">
        <v>0.78</v>
      </c>
      <c r="AC55" s="231">
        <v>0.01</v>
      </c>
      <c r="AD55" s="232">
        <v>0.21</v>
      </c>
      <c r="AE55" s="236" t="s">
        <v>377</v>
      </c>
      <c r="AF55" s="129"/>
      <c r="AG55" s="129"/>
    </row>
    <row r="56" spans="2:33" s="122" customFormat="1" ht="54" customHeight="1">
      <c r="C56" s="825" t="s">
        <v>897</v>
      </c>
      <c r="D56" s="212"/>
      <c r="E56" s="333" t="s">
        <v>153</v>
      </c>
      <c r="F56" s="212" t="s">
        <v>283</v>
      </c>
      <c r="G56" s="263" t="s">
        <v>335</v>
      </c>
      <c r="H56" s="213">
        <v>41240</v>
      </c>
      <c r="I56" s="214">
        <v>41331</v>
      </c>
      <c r="J56" s="337" t="s">
        <v>303</v>
      </c>
      <c r="K56" s="158">
        <f>YEAR(H56)</f>
        <v>2012</v>
      </c>
      <c r="L56" s="215">
        <v>10000</v>
      </c>
      <c r="M56" s="352">
        <v>1</v>
      </c>
      <c r="N56" s="353">
        <v>1</v>
      </c>
      <c r="O56" s="354">
        <v>0</v>
      </c>
      <c r="P56" s="355">
        <v>0</v>
      </c>
      <c r="Q56" s="215">
        <v>10000</v>
      </c>
      <c r="R56" s="221">
        <v>10000</v>
      </c>
      <c r="S56" s="220">
        <v>10000</v>
      </c>
      <c r="T56" s="215">
        <v>0</v>
      </c>
      <c r="U56" s="221">
        <v>0</v>
      </c>
      <c r="V56" s="220">
        <v>0</v>
      </c>
      <c r="W56" s="356">
        <v>118000</v>
      </c>
      <c r="X56" s="166">
        <f t="shared" si="1"/>
        <v>118000</v>
      </c>
      <c r="Y56" s="166">
        <f t="shared" si="2"/>
        <v>0</v>
      </c>
      <c r="Z56" s="166">
        <f t="shared" si="3"/>
        <v>0</v>
      </c>
      <c r="AA56" s="354">
        <v>1</v>
      </c>
      <c r="AB56" s="354">
        <f>10000/105000</f>
        <v>9.5238095238095233E-2</v>
      </c>
      <c r="AC56" s="354">
        <v>0.42</v>
      </c>
      <c r="AD56" s="355">
        <f>50000/105000</f>
        <v>0.47619047619047616</v>
      </c>
      <c r="AE56" s="223"/>
      <c r="AF56" s="129"/>
      <c r="AG56" s="129"/>
    </row>
    <row r="57" spans="2:33" s="237" customFormat="1" ht="54" customHeight="1">
      <c r="C57" s="825" t="s">
        <v>897</v>
      </c>
      <c r="D57" s="212"/>
      <c r="E57" s="333" t="s">
        <v>283</v>
      </c>
      <c r="F57" s="152"/>
      <c r="G57" s="263" t="s">
        <v>336</v>
      </c>
      <c r="H57" s="213">
        <v>41395</v>
      </c>
      <c r="I57" s="214">
        <v>41562</v>
      </c>
      <c r="J57" s="227" t="s">
        <v>303</v>
      </c>
      <c r="K57" s="158">
        <f>YEAR(H57)</f>
        <v>2013</v>
      </c>
      <c r="L57" s="215">
        <v>29722</v>
      </c>
      <c r="M57" s="216">
        <v>1</v>
      </c>
      <c r="N57" s="217">
        <v>1</v>
      </c>
      <c r="O57" s="218">
        <v>0</v>
      </c>
      <c r="P57" s="219">
        <v>0</v>
      </c>
      <c r="Q57" s="215">
        <f>L57</f>
        <v>29722</v>
      </c>
      <c r="R57" s="221">
        <v>0</v>
      </c>
      <c r="S57" s="220">
        <v>0</v>
      </c>
      <c r="T57" s="215">
        <v>0</v>
      </c>
      <c r="U57" s="221">
        <v>0</v>
      </c>
      <c r="V57" s="220">
        <v>0</v>
      </c>
      <c r="W57" s="222">
        <v>400000</v>
      </c>
      <c r="X57" s="166">
        <f t="shared" si="1"/>
        <v>400000</v>
      </c>
      <c r="Y57" s="166">
        <f t="shared" si="2"/>
        <v>0</v>
      </c>
      <c r="Z57" s="166">
        <f t="shared" si="3"/>
        <v>0</v>
      </c>
      <c r="AA57" s="218">
        <v>1</v>
      </c>
      <c r="AB57" s="218">
        <v>1</v>
      </c>
      <c r="AC57" s="218">
        <v>0</v>
      </c>
      <c r="AD57" s="219">
        <v>0</v>
      </c>
      <c r="AE57" s="223"/>
      <c r="AF57" s="238">
        <v>2</v>
      </c>
      <c r="AG57" s="238">
        <v>2106</v>
      </c>
    </row>
    <row r="58" spans="2:33" s="122" customFormat="1" ht="55.9" customHeight="1">
      <c r="C58" s="825" t="s">
        <v>897</v>
      </c>
      <c r="D58" s="224"/>
      <c r="E58" s="759" t="s">
        <v>153</v>
      </c>
      <c r="F58" s="212" t="s">
        <v>283</v>
      </c>
      <c r="G58" s="760" t="s">
        <v>339</v>
      </c>
      <c r="H58" s="761">
        <v>41426</v>
      </c>
      <c r="I58" s="762">
        <v>41425</v>
      </c>
      <c r="J58" s="227" t="s">
        <v>303</v>
      </c>
      <c r="K58" s="158">
        <f t="shared" ref="K58:K62" si="14">YEAR(H58)</f>
        <v>2013</v>
      </c>
      <c r="L58" s="228">
        <v>12000</v>
      </c>
      <c r="M58" s="763">
        <v>1</v>
      </c>
      <c r="N58" s="230">
        <v>1</v>
      </c>
      <c r="O58" s="231">
        <v>0</v>
      </c>
      <c r="P58" s="232">
        <v>0</v>
      </c>
      <c r="Q58" s="228">
        <v>12000</v>
      </c>
      <c r="R58" s="233">
        <v>12000</v>
      </c>
      <c r="S58" s="234">
        <v>12000</v>
      </c>
      <c r="T58" s="228">
        <v>0</v>
      </c>
      <c r="U58" s="233">
        <v>0</v>
      </c>
      <c r="V58" s="234">
        <v>0</v>
      </c>
      <c r="W58" s="235">
        <v>421411</v>
      </c>
      <c r="X58" s="166">
        <f t="shared" si="1"/>
        <v>421411</v>
      </c>
      <c r="Y58" s="166">
        <f t="shared" si="2"/>
        <v>0</v>
      </c>
      <c r="Z58" s="166">
        <f t="shared" si="3"/>
        <v>0</v>
      </c>
      <c r="AA58" s="231">
        <v>1</v>
      </c>
      <c r="AB58" s="231">
        <v>0.9</v>
      </c>
      <c r="AC58" s="231">
        <v>0.1</v>
      </c>
      <c r="AD58" s="232">
        <v>0</v>
      </c>
      <c r="AE58" s="236"/>
      <c r="AF58" s="129">
        <v>2</v>
      </c>
      <c r="AG58" s="129"/>
    </row>
    <row r="59" spans="2:33" s="122" customFormat="1" ht="54" customHeight="1">
      <c r="C59" s="825" t="s">
        <v>897</v>
      </c>
      <c r="D59" s="785"/>
      <c r="E59" s="786" t="s">
        <v>283</v>
      </c>
      <c r="F59" s="786"/>
      <c r="G59" s="787" t="s">
        <v>898</v>
      </c>
      <c r="H59" s="789">
        <v>42125</v>
      </c>
      <c r="I59" s="790">
        <v>42490</v>
      </c>
      <c r="J59" s="795" t="s">
        <v>337</v>
      </c>
      <c r="K59" s="220">
        <f t="shared" si="14"/>
        <v>2015</v>
      </c>
      <c r="L59" s="782">
        <v>49132</v>
      </c>
      <c r="M59" s="822">
        <v>0.95</v>
      </c>
      <c r="N59" s="791">
        <v>0.9</v>
      </c>
      <c r="O59" s="792">
        <v>0.1</v>
      </c>
      <c r="P59" s="793">
        <v>0</v>
      </c>
      <c r="Q59" s="767">
        <v>44039</v>
      </c>
      <c r="R59" s="783">
        <v>44039</v>
      </c>
      <c r="S59" s="794">
        <v>44039</v>
      </c>
      <c r="T59" s="767">
        <v>5093</v>
      </c>
      <c r="U59" s="788">
        <v>5093</v>
      </c>
      <c r="V59" s="784">
        <v>5093</v>
      </c>
      <c r="W59" s="766">
        <v>500000</v>
      </c>
      <c r="X59" s="166">
        <f t="shared" si="1"/>
        <v>0</v>
      </c>
      <c r="Y59" s="166">
        <f t="shared" si="2"/>
        <v>0</v>
      </c>
      <c r="Z59" s="166">
        <f t="shared" si="3"/>
        <v>500000</v>
      </c>
      <c r="AA59" s="835">
        <v>0.9</v>
      </c>
      <c r="AB59" s="835">
        <v>0.25</v>
      </c>
      <c r="AC59" s="835">
        <v>0.41</v>
      </c>
      <c r="AD59" s="836">
        <v>0.34</v>
      </c>
      <c r="AE59" s="833" t="s">
        <v>907</v>
      </c>
      <c r="AF59" s="129">
        <v>23</v>
      </c>
      <c r="AG59" s="129">
        <v>2901</v>
      </c>
    </row>
    <row r="60" spans="2:33" s="122" customFormat="1" ht="54" customHeight="1">
      <c r="C60" s="825" t="s">
        <v>897</v>
      </c>
      <c r="D60" s="805"/>
      <c r="E60" s="803" t="s">
        <v>305</v>
      </c>
      <c r="F60" s="805"/>
      <c r="G60" s="796" t="s">
        <v>899</v>
      </c>
      <c r="H60" s="824">
        <v>41883</v>
      </c>
      <c r="I60" s="823">
        <v>42246</v>
      </c>
      <c r="J60" s="797" t="s">
        <v>282</v>
      </c>
      <c r="K60" s="220">
        <f t="shared" si="14"/>
        <v>2014</v>
      </c>
      <c r="L60" s="798">
        <v>13103</v>
      </c>
      <c r="M60" s="799">
        <v>1</v>
      </c>
      <c r="N60" s="800">
        <v>0.83</v>
      </c>
      <c r="O60" s="801">
        <v>0.17</v>
      </c>
      <c r="P60" s="802">
        <v>0</v>
      </c>
      <c r="Q60" s="827">
        <v>10875</v>
      </c>
      <c r="R60" s="826">
        <v>10875</v>
      </c>
      <c r="S60" s="828">
        <v>10875</v>
      </c>
      <c r="T60" s="829">
        <v>2228</v>
      </c>
      <c r="U60" s="831">
        <v>2228</v>
      </c>
      <c r="V60" s="830">
        <v>2228</v>
      </c>
      <c r="W60" s="832">
        <v>566430</v>
      </c>
      <c r="X60" s="166">
        <f t="shared" si="1"/>
        <v>0</v>
      </c>
      <c r="Y60" s="166">
        <f t="shared" si="2"/>
        <v>188810</v>
      </c>
      <c r="Z60" s="166">
        <f t="shared" si="3"/>
        <v>377620</v>
      </c>
      <c r="AA60" s="835">
        <v>1</v>
      </c>
      <c r="AB60" s="835">
        <v>0.38</v>
      </c>
      <c r="AC60" s="835">
        <v>0.04</v>
      </c>
      <c r="AD60" s="836">
        <v>0.57999999999999996</v>
      </c>
      <c r="AE60" s="834" t="s">
        <v>906</v>
      </c>
      <c r="AF60" s="129">
        <v>23</v>
      </c>
      <c r="AG60" s="129">
        <v>2901</v>
      </c>
    </row>
    <row r="61" spans="2:33" s="122" customFormat="1" ht="54" customHeight="1">
      <c r="B61" s="957"/>
      <c r="C61" s="912" t="s">
        <v>913</v>
      </c>
      <c r="D61" s="913"/>
      <c r="E61" s="914" t="s">
        <v>153</v>
      </c>
      <c r="F61" s="913" t="s">
        <v>283</v>
      </c>
      <c r="G61" s="915" t="s">
        <v>914</v>
      </c>
      <c r="H61" s="916">
        <v>42005</v>
      </c>
      <c r="I61" s="917">
        <v>42185</v>
      </c>
      <c r="J61" s="919" t="s">
        <v>282</v>
      </c>
      <c r="K61" s="220">
        <f t="shared" si="14"/>
        <v>2015</v>
      </c>
      <c r="L61" s="909">
        <v>11020</v>
      </c>
      <c r="M61" s="920">
        <v>1</v>
      </c>
      <c r="N61" s="921">
        <v>1</v>
      </c>
      <c r="O61" s="922">
        <v>0</v>
      </c>
      <c r="P61" s="923">
        <v>0</v>
      </c>
      <c r="Q61" s="909">
        <v>0</v>
      </c>
      <c r="R61" s="910">
        <v>11020</v>
      </c>
      <c r="S61" s="911">
        <v>0</v>
      </c>
      <c r="T61" s="909">
        <v>0</v>
      </c>
      <c r="U61" s="910">
        <v>0</v>
      </c>
      <c r="V61" s="911">
        <v>0</v>
      </c>
      <c r="W61" s="924">
        <v>320000</v>
      </c>
      <c r="X61" s="166">
        <f t="shared" si="1"/>
        <v>0</v>
      </c>
      <c r="Y61" s="166">
        <f t="shared" si="2"/>
        <v>0</v>
      </c>
      <c r="Z61" s="166">
        <f t="shared" si="3"/>
        <v>320000</v>
      </c>
      <c r="AA61" s="922">
        <v>1</v>
      </c>
      <c r="AB61" s="922">
        <v>0</v>
      </c>
      <c r="AC61" s="922">
        <v>1</v>
      </c>
      <c r="AD61" s="923">
        <v>0</v>
      </c>
      <c r="AE61" s="918" t="s">
        <v>915</v>
      </c>
      <c r="AF61" s="129">
        <v>23</v>
      </c>
      <c r="AG61" s="129">
        <v>2901</v>
      </c>
    </row>
    <row r="62" spans="2:33" s="122" customFormat="1" ht="54" customHeight="1" thickBot="1">
      <c r="C62" s="859" t="s">
        <v>897</v>
      </c>
      <c r="D62" s="860"/>
      <c r="E62" s="861" t="s">
        <v>305</v>
      </c>
      <c r="F62" s="862"/>
      <c r="G62" s="863" t="s">
        <v>899</v>
      </c>
      <c r="H62" s="864">
        <v>42248</v>
      </c>
      <c r="I62" s="865">
        <v>42520</v>
      </c>
      <c r="J62" s="866" t="s">
        <v>337</v>
      </c>
      <c r="K62" s="239">
        <f t="shared" si="14"/>
        <v>2015</v>
      </c>
      <c r="L62" s="867">
        <v>12822</v>
      </c>
      <c r="M62" s="868">
        <v>1</v>
      </c>
      <c r="N62" s="869">
        <v>0.86</v>
      </c>
      <c r="O62" s="870">
        <v>0.14000000000000001</v>
      </c>
      <c r="P62" s="871">
        <v>0</v>
      </c>
      <c r="Q62" s="867">
        <v>11020</v>
      </c>
      <c r="R62" s="872">
        <v>11020</v>
      </c>
      <c r="S62" s="873">
        <v>11020</v>
      </c>
      <c r="T62" s="867">
        <v>1802</v>
      </c>
      <c r="U62" s="872">
        <v>1802</v>
      </c>
      <c r="V62" s="873">
        <v>1802</v>
      </c>
      <c r="W62" s="874">
        <v>562920</v>
      </c>
      <c r="X62" s="959">
        <f t="shared" si="1"/>
        <v>0</v>
      </c>
      <c r="Y62" s="240">
        <f t="shared" si="2"/>
        <v>0</v>
      </c>
      <c r="Z62" s="240">
        <f t="shared" si="3"/>
        <v>562920</v>
      </c>
      <c r="AA62" s="870">
        <v>1</v>
      </c>
      <c r="AB62" s="870">
        <v>0.44</v>
      </c>
      <c r="AC62" s="870">
        <v>0.17</v>
      </c>
      <c r="AD62" s="871">
        <v>0.39</v>
      </c>
      <c r="AE62" s="875" t="s">
        <v>906</v>
      </c>
      <c r="AF62" s="129">
        <v>23</v>
      </c>
      <c r="AG62" s="129">
        <v>2901</v>
      </c>
    </row>
    <row r="63" spans="2:33" s="122" customFormat="1" ht="40.15" customHeight="1">
      <c r="B63" s="1283" t="s">
        <v>379</v>
      </c>
      <c r="C63" s="241" t="s">
        <v>340</v>
      </c>
      <c r="D63" s="242"/>
      <c r="E63" s="243" t="s">
        <v>434</v>
      </c>
      <c r="F63" s="242"/>
      <c r="G63" s="244"/>
      <c r="H63" s="245">
        <v>41730</v>
      </c>
      <c r="I63" s="246">
        <v>42094</v>
      </c>
      <c r="J63" s="247" t="s">
        <v>303</v>
      </c>
      <c r="K63" s="248">
        <f t="shared" ref="K63:K74" si="15">YEAR(H63)</f>
        <v>2014</v>
      </c>
      <c r="L63" s="249"/>
      <c r="M63" s="250"/>
      <c r="N63" s="251"/>
      <c r="O63" s="252"/>
      <c r="P63" s="253"/>
      <c r="Q63" s="249"/>
      <c r="R63" s="254"/>
      <c r="S63" s="248"/>
      <c r="T63" s="249"/>
      <c r="U63" s="254"/>
      <c r="V63" s="248"/>
      <c r="W63" s="255">
        <v>750000</v>
      </c>
      <c r="X63" s="764">
        <f t="shared" ref="X63:X74" si="16">W63-(Y63+Z63)</f>
        <v>0</v>
      </c>
      <c r="Y63" s="256">
        <f t="shared" ref="Y63:Y74" si="17">IF(I63&lt;$C$1,0,IF(H63&gt;$C$1,W63-Z63,(I63-$C$1)/(I63-H63)*W63-Z63))</f>
        <v>564560.43956043955</v>
      </c>
      <c r="Z63" s="256">
        <f t="shared" ref="Z63:Z74" si="18">IF(I63&lt;$D$1,0,IF(H63&gt;$D$1,W63,(I63-$D$1)/(I63-H63)*W63))</f>
        <v>185439.56043956045</v>
      </c>
      <c r="AA63" s="252"/>
      <c r="AB63" s="252"/>
      <c r="AC63" s="252"/>
      <c r="AD63" s="253"/>
      <c r="AE63" s="765"/>
      <c r="AF63" s="129"/>
      <c r="AG63" s="129"/>
    </row>
    <row r="64" spans="2:33" s="122" customFormat="1" ht="40.15" customHeight="1">
      <c r="B64" s="1284"/>
      <c r="C64" s="257" t="s">
        <v>340</v>
      </c>
      <c r="D64" s="258"/>
      <c r="E64" s="259" t="s">
        <v>283</v>
      </c>
      <c r="F64" s="258"/>
      <c r="G64" s="154"/>
      <c r="H64" s="171">
        <v>41730</v>
      </c>
      <c r="I64" s="172">
        <v>41942</v>
      </c>
      <c r="J64" s="157" t="s">
        <v>303</v>
      </c>
      <c r="K64" s="158">
        <f t="shared" si="15"/>
        <v>2014</v>
      </c>
      <c r="L64" s="159"/>
      <c r="M64" s="160"/>
      <c r="N64" s="170"/>
      <c r="O64" s="167"/>
      <c r="P64" s="168"/>
      <c r="Q64" s="159"/>
      <c r="R64" s="164"/>
      <c r="S64" s="158"/>
      <c r="T64" s="159"/>
      <c r="U64" s="164"/>
      <c r="V64" s="158"/>
      <c r="W64" s="255">
        <v>700000</v>
      </c>
      <c r="X64" s="166">
        <f t="shared" si="16"/>
        <v>0</v>
      </c>
      <c r="Y64" s="256">
        <f t="shared" si="17"/>
        <v>700000</v>
      </c>
      <c r="Z64" s="256">
        <f t="shared" si="18"/>
        <v>0</v>
      </c>
      <c r="AA64" s="252"/>
      <c r="AB64" s="252"/>
      <c r="AC64" s="252"/>
      <c r="AD64" s="253"/>
      <c r="AE64" s="169"/>
      <c r="AF64" s="129"/>
      <c r="AG64" s="129"/>
    </row>
    <row r="65" spans="2:34" s="122" customFormat="1" ht="40.15" customHeight="1">
      <c r="B65" s="1284"/>
      <c r="C65" s="257" t="s">
        <v>340</v>
      </c>
      <c r="D65" s="258"/>
      <c r="E65" s="259" t="s">
        <v>283</v>
      </c>
      <c r="F65" s="258"/>
      <c r="G65" s="154"/>
      <c r="H65" s="171">
        <v>41201</v>
      </c>
      <c r="I65" s="246">
        <v>41942</v>
      </c>
      <c r="J65" s="157" t="s">
        <v>303</v>
      </c>
      <c r="K65" s="158">
        <f t="shared" si="15"/>
        <v>2012</v>
      </c>
      <c r="L65" s="159">
        <v>39402</v>
      </c>
      <c r="M65" s="160">
        <f>34627/L65</f>
        <v>0.87881325821024314</v>
      </c>
      <c r="N65" s="170">
        <f>25078/L65</f>
        <v>0.63646515405309378</v>
      </c>
      <c r="O65" s="167">
        <f>14324/L65</f>
        <v>0.36353484594690627</v>
      </c>
      <c r="P65" s="168">
        <v>0</v>
      </c>
      <c r="Q65" s="159">
        <v>24685</v>
      </c>
      <c r="R65" s="164">
        <v>24685</v>
      </c>
      <c r="S65" s="158">
        <v>24685</v>
      </c>
      <c r="T65" s="159">
        <v>14717</v>
      </c>
      <c r="U65" s="164">
        <v>14717</v>
      </c>
      <c r="V65" s="158">
        <v>14717</v>
      </c>
      <c r="W65" s="255">
        <v>1480532</v>
      </c>
      <c r="X65" s="166">
        <f t="shared" si="16"/>
        <v>877130.29419703106</v>
      </c>
      <c r="Y65" s="256">
        <f t="shared" si="17"/>
        <v>603401.70580296894</v>
      </c>
      <c r="Z65" s="256">
        <f t="shared" si="18"/>
        <v>0</v>
      </c>
      <c r="AA65" s="252">
        <f>1749284/2000204</f>
        <v>0.87455279561484733</v>
      </c>
      <c r="AB65" s="252">
        <v>0.46</v>
      </c>
      <c r="AC65" s="252">
        <v>0.37</v>
      </c>
      <c r="AD65" s="253">
        <v>0.17</v>
      </c>
      <c r="AE65" s="169"/>
      <c r="AF65" s="129"/>
      <c r="AG65" s="129"/>
    </row>
    <row r="66" spans="2:34" s="122" customFormat="1" ht="40.15" customHeight="1">
      <c r="B66" s="1284"/>
      <c r="C66" s="257" t="s">
        <v>340</v>
      </c>
      <c r="D66" s="258"/>
      <c r="E66" s="259" t="s">
        <v>283</v>
      </c>
      <c r="F66" s="258"/>
      <c r="G66" s="154"/>
      <c r="H66" s="958">
        <v>42005</v>
      </c>
      <c r="I66" s="246">
        <v>42035</v>
      </c>
      <c r="J66" s="157" t="s">
        <v>282</v>
      </c>
      <c r="K66" s="158">
        <f t="shared" ref="K66" si="19">YEAR(H66)</f>
        <v>2015</v>
      </c>
      <c r="L66" s="811"/>
      <c r="M66" s="810"/>
      <c r="N66" s="812"/>
      <c r="O66" s="813"/>
      <c r="P66" s="814"/>
      <c r="Q66" s="811"/>
      <c r="R66" s="809"/>
      <c r="S66" s="815"/>
      <c r="T66" s="811"/>
      <c r="U66" s="809"/>
      <c r="V66" s="815"/>
      <c r="W66" s="255">
        <v>700000</v>
      </c>
      <c r="X66" s="166">
        <f t="shared" ref="X66" si="20">W66-(Y66+Z66)</f>
        <v>0</v>
      </c>
      <c r="Y66" s="256">
        <f t="shared" ref="Y66" si="21">IF(I66&lt;$C$1,0,IF(H66&gt;$C$1,W66-Z66,(I66-$C$1)/(I66-H66)*W66-Z66))</f>
        <v>0</v>
      </c>
      <c r="Z66" s="256">
        <f t="shared" ref="Z66" si="22">IF(I66&lt;$D$1,0,IF(H66&gt;$D$1,W66,(I66-$D$1)/(I66-H66)*W66))</f>
        <v>700000</v>
      </c>
      <c r="AA66" s="252"/>
      <c r="AB66" s="252"/>
      <c r="AC66" s="252"/>
      <c r="AD66" s="253"/>
      <c r="AE66" s="169"/>
      <c r="AF66" s="129"/>
      <c r="AG66" s="129"/>
    </row>
    <row r="67" spans="2:34" s="122" customFormat="1" ht="40.15" customHeight="1">
      <c r="B67" s="1284"/>
      <c r="C67" s="257" t="s">
        <v>340</v>
      </c>
      <c r="D67" s="258"/>
      <c r="E67" s="259" t="s">
        <v>333</v>
      </c>
      <c r="F67" s="258"/>
      <c r="G67" s="154"/>
      <c r="H67" s="171">
        <v>41429</v>
      </c>
      <c r="I67" s="246">
        <v>41790</v>
      </c>
      <c r="J67" s="157" t="s">
        <v>303</v>
      </c>
      <c r="K67" s="158">
        <f t="shared" si="15"/>
        <v>2013</v>
      </c>
      <c r="L67" s="159">
        <v>34638</v>
      </c>
      <c r="M67" s="160">
        <v>1</v>
      </c>
      <c r="N67" s="170">
        <v>1</v>
      </c>
      <c r="O67" s="167">
        <v>0</v>
      </c>
      <c r="P67" s="168">
        <v>0</v>
      </c>
      <c r="Q67" s="159">
        <v>12116</v>
      </c>
      <c r="R67" s="164">
        <v>33366</v>
      </c>
      <c r="S67" s="158">
        <v>33366</v>
      </c>
      <c r="T67" s="159"/>
      <c r="U67" s="164"/>
      <c r="V67" s="158"/>
      <c r="W67" s="165">
        <v>1445085</v>
      </c>
      <c r="X67" s="166">
        <f t="shared" si="16"/>
        <v>844634.1689750693</v>
      </c>
      <c r="Y67" s="166">
        <f t="shared" si="17"/>
        <v>600450.8310249307</v>
      </c>
      <c r="Z67" s="166">
        <f t="shared" si="18"/>
        <v>0</v>
      </c>
      <c r="AA67" s="167"/>
      <c r="AB67" s="167"/>
      <c r="AC67" s="167"/>
      <c r="AD67" s="168"/>
      <c r="AE67" s="169"/>
      <c r="AF67" s="129"/>
      <c r="AG67" s="129"/>
    </row>
    <row r="68" spans="2:34" s="122" customFormat="1" ht="40.15" customHeight="1">
      <c r="B68" s="1284"/>
      <c r="C68" s="257" t="s">
        <v>340</v>
      </c>
      <c r="D68" s="258"/>
      <c r="E68" s="259" t="s">
        <v>363</v>
      </c>
      <c r="F68" s="258"/>
      <c r="G68" s="154"/>
      <c r="H68" s="171">
        <v>41677</v>
      </c>
      <c r="I68" s="246">
        <v>42041</v>
      </c>
      <c r="J68" s="157" t="s">
        <v>303</v>
      </c>
      <c r="K68" s="158">
        <f t="shared" si="15"/>
        <v>2014</v>
      </c>
      <c r="L68" s="159"/>
      <c r="M68" s="160"/>
      <c r="N68" s="170"/>
      <c r="O68" s="167"/>
      <c r="P68" s="168"/>
      <c r="Q68" s="159"/>
      <c r="R68" s="164"/>
      <c r="S68" s="158"/>
      <c r="T68" s="159"/>
      <c r="U68" s="164"/>
      <c r="V68" s="158"/>
      <c r="W68" s="165">
        <v>515403.64</v>
      </c>
      <c r="X68" s="166">
        <f t="shared" si="16"/>
        <v>0</v>
      </c>
      <c r="Y68" s="166">
        <f t="shared" si="17"/>
        <v>463013.70956043957</v>
      </c>
      <c r="Z68" s="166">
        <f t="shared" si="18"/>
        <v>52389.930439560441</v>
      </c>
      <c r="AA68" s="167"/>
      <c r="AB68" s="167"/>
      <c r="AC68" s="167"/>
      <c r="AD68" s="168"/>
      <c r="AE68" s="169"/>
      <c r="AF68" s="129"/>
      <c r="AG68" s="129"/>
    </row>
    <row r="69" spans="2:34" s="122" customFormat="1" ht="40.15" customHeight="1">
      <c r="B69" s="1284"/>
      <c r="C69" s="257" t="s">
        <v>340</v>
      </c>
      <c r="D69" s="258"/>
      <c r="E69" s="259" t="s">
        <v>362</v>
      </c>
      <c r="F69" s="258"/>
      <c r="G69" s="154"/>
      <c r="H69" s="171">
        <v>41548</v>
      </c>
      <c r="I69" s="246">
        <v>43100</v>
      </c>
      <c r="J69" s="157" t="s">
        <v>303</v>
      </c>
      <c r="K69" s="158">
        <f t="shared" si="15"/>
        <v>2013</v>
      </c>
      <c r="L69" s="159"/>
      <c r="M69" s="160"/>
      <c r="N69" s="170"/>
      <c r="O69" s="167"/>
      <c r="P69" s="168"/>
      <c r="Q69" s="159"/>
      <c r="R69" s="164"/>
      <c r="S69" s="158"/>
      <c r="T69" s="159"/>
      <c r="U69" s="164"/>
      <c r="V69" s="158"/>
      <c r="W69" s="165">
        <v>78819.31</v>
      </c>
      <c r="X69" s="166">
        <f t="shared" si="16"/>
        <v>4672.2786855670129</v>
      </c>
      <c r="Y69" s="166">
        <f t="shared" si="17"/>
        <v>18485.972190721644</v>
      </c>
      <c r="Z69" s="166">
        <f t="shared" si="18"/>
        <v>55661.05912371134</v>
      </c>
      <c r="AA69" s="167"/>
      <c r="AB69" s="167"/>
      <c r="AC69" s="167"/>
      <c r="AD69" s="168"/>
      <c r="AE69" s="169"/>
      <c r="AF69" s="129"/>
      <c r="AG69" s="129"/>
      <c r="AH69" s="122" t="s">
        <v>365</v>
      </c>
    </row>
    <row r="70" spans="2:34" s="122" customFormat="1" ht="40.15" customHeight="1">
      <c r="B70" s="1284"/>
      <c r="C70" s="257" t="s">
        <v>340</v>
      </c>
      <c r="D70" s="258"/>
      <c r="E70" s="259" t="s">
        <v>278</v>
      </c>
      <c r="F70" s="258"/>
      <c r="G70" s="154"/>
      <c r="H70" s="171">
        <v>41131</v>
      </c>
      <c r="I70" s="246">
        <v>41315</v>
      </c>
      <c r="J70" s="157" t="s">
        <v>303</v>
      </c>
      <c r="K70" s="158">
        <f t="shared" si="15"/>
        <v>2012</v>
      </c>
      <c r="L70" s="159">
        <v>39730</v>
      </c>
      <c r="M70" s="160">
        <v>0</v>
      </c>
      <c r="N70" s="170">
        <v>1</v>
      </c>
      <c r="O70" s="167">
        <v>0</v>
      </c>
      <c r="P70" s="168">
        <v>0</v>
      </c>
      <c r="Q70" s="159">
        <v>4730</v>
      </c>
      <c r="R70" s="164">
        <v>4730</v>
      </c>
      <c r="S70" s="158">
        <v>39730</v>
      </c>
      <c r="T70" s="159"/>
      <c r="U70" s="164"/>
      <c r="V70" s="158"/>
      <c r="W70" s="165">
        <v>702075</v>
      </c>
      <c r="X70" s="166">
        <f t="shared" si="16"/>
        <v>702075</v>
      </c>
      <c r="Y70" s="166">
        <f t="shared" si="17"/>
        <v>0</v>
      </c>
      <c r="Z70" s="166">
        <f t="shared" si="18"/>
        <v>0</v>
      </c>
      <c r="AA70" s="167"/>
      <c r="AB70" s="167"/>
      <c r="AC70" s="167"/>
      <c r="AD70" s="168"/>
      <c r="AE70" s="169"/>
      <c r="AF70" s="129"/>
      <c r="AG70" s="129"/>
      <c r="AH70" s="122" t="s">
        <v>364</v>
      </c>
    </row>
    <row r="71" spans="2:34" s="122" customFormat="1" ht="40.15" customHeight="1">
      <c r="B71" s="1284"/>
      <c r="C71" s="257" t="s">
        <v>340</v>
      </c>
      <c r="D71" s="258"/>
      <c r="E71" s="259" t="s">
        <v>278</v>
      </c>
      <c r="F71" s="258"/>
      <c r="G71" s="154"/>
      <c r="H71" s="171">
        <v>41247</v>
      </c>
      <c r="I71" s="246">
        <v>41429</v>
      </c>
      <c r="J71" s="157" t="s">
        <v>303</v>
      </c>
      <c r="K71" s="158">
        <f t="shared" si="15"/>
        <v>2012</v>
      </c>
      <c r="L71" s="159">
        <v>7314</v>
      </c>
      <c r="M71" s="160">
        <v>0.54</v>
      </c>
      <c r="N71" s="170">
        <v>0.98</v>
      </c>
      <c r="O71" s="167">
        <v>0</v>
      </c>
      <c r="P71" s="168">
        <v>0.02</v>
      </c>
      <c r="Q71" s="159">
        <v>7314</v>
      </c>
      <c r="R71" s="164">
        <v>6922</v>
      </c>
      <c r="S71" s="158">
        <v>7314</v>
      </c>
      <c r="T71" s="159"/>
      <c r="U71" s="164"/>
      <c r="V71" s="158"/>
      <c r="W71" s="165">
        <v>444050</v>
      </c>
      <c r="X71" s="166">
        <f t="shared" si="16"/>
        <v>444050</v>
      </c>
      <c r="Y71" s="166">
        <f t="shared" si="17"/>
        <v>0</v>
      </c>
      <c r="Z71" s="166">
        <f t="shared" si="18"/>
        <v>0</v>
      </c>
      <c r="AA71" s="167"/>
      <c r="AB71" s="167"/>
      <c r="AC71" s="167"/>
      <c r="AD71" s="168"/>
      <c r="AE71" s="169"/>
      <c r="AF71" s="129"/>
      <c r="AG71" s="129"/>
    </row>
    <row r="72" spans="2:34" s="122" customFormat="1" ht="40.15" customHeight="1">
      <c r="B72" s="1284"/>
      <c r="C72" s="257" t="s">
        <v>340</v>
      </c>
      <c r="D72" s="258"/>
      <c r="E72" s="259" t="s">
        <v>288</v>
      </c>
      <c r="F72" s="258"/>
      <c r="G72" s="154"/>
      <c r="H72" s="171">
        <v>41244</v>
      </c>
      <c r="I72" s="246">
        <v>41639</v>
      </c>
      <c r="J72" s="157" t="s">
        <v>303</v>
      </c>
      <c r="K72" s="158">
        <f t="shared" si="15"/>
        <v>2012</v>
      </c>
      <c r="L72" s="159">
        <v>10300</v>
      </c>
      <c r="M72" s="160">
        <v>0.79</v>
      </c>
      <c r="N72" s="170">
        <v>1</v>
      </c>
      <c r="O72" s="167">
        <v>0</v>
      </c>
      <c r="P72" s="168">
        <v>0</v>
      </c>
      <c r="Q72" s="159">
        <v>10300</v>
      </c>
      <c r="R72" s="164">
        <v>10300</v>
      </c>
      <c r="S72" s="158">
        <v>10300</v>
      </c>
      <c r="T72" s="159"/>
      <c r="U72" s="164"/>
      <c r="V72" s="158"/>
      <c r="W72" s="165">
        <v>2373163</v>
      </c>
      <c r="X72" s="166">
        <f t="shared" si="16"/>
        <v>2373163</v>
      </c>
      <c r="Y72" s="166">
        <f t="shared" si="17"/>
        <v>0</v>
      </c>
      <c r="Z72" s="166">
        <f t="shared" si="18"/>
        <v>0</v>
      </c>
      <c r="AA72" s="167"/>
      <c r="AB72" s="167"/>
      <c r="AC72" s="167"/>
      <c r="AD72" s="168"/>
      <c r="AE72" s="169"/>
      <c r="AF72" s="129"/>
      <c r="AG72" s="129"/>
    </row>
    <row r="73" spans="2:34" s="122" customFormat="1" ht="40.15" customHeight="1">
      <c r="B73" s="1284"/>
      <c r="C73" s="260" t="s">
        <v>340</v>
      </c>
      <c r="D73" s="261"/>
      <c r="E73" s="262" t="s">
        <v>278</v>
      </c>
      <c r="F73" s="261"/>
      <c r="G73" s="263"/>
      <c r="H73" s="171">
        <v>41383</v>
      </c>
      <c r="I73" s="172">
        <v>41566</v>
      </c>
      <c r="J73" s="157" t="s">
        <v>303</v>
      </c>
      <c r="K73" s="158">
        <f t="shared" si="15"/>
        <v>2013</v>
      </c>
      <c r="L73" s="215">
        <v>9638</v>
      </c>
      <c r="M73" s="216">
        <v>1</v>
      </c>
      <c r="N73" s="217">
        <v>1</v>
      </c>
      <c r="O73" s="218">
        <v>0</v>
      </c>
      <c r="P73" s="219">
        <v>0</v>
      </c>
      <c r="Q73" s="215">
        <v>8636</v>
      </c>
      <c r="R73" s="221">
        <v>8636</v>
      </c>
      <c r="S73" s="220">
        <v>8636</v>
      </c>
      <c r="T73" s="215">
        <v>2500</v>
      </c>
      <c r="U73" s="221">
        <v>2500</v>
      </c>
      <c r="V73" s="220">
        <v>2500</v>
      </c>
      <c r="W73" s="222">
        <v>2000044</v>
      </c>
      <c r="X73" s="166">
        <f t="shared" si="16"/>
        <v>2000044</v>
      </c>
      <c r="Y73" s="264">
        <f t="shared" si="17"/>
        <v>0</v>
      </c>
      <c r="Z73" s="264">
        <f t="shared" si="18"/>
        <v>0</v>
      </c>
      <c r="AA73" s="218"/>
      <c r="AB73" s="218"/>
      <c r="AC73" s="218"/>
      <c r="AD73" s="219"/>
      <c r="AE73" s="223"/>
      <c r="AF73" s="129"/>
      <c r="AG73" s="129"/>
    </row>
    <row r="74" spans="2:34" s="122" customFormat="1" ht="40.15" customHeight="1" thickBot="1">
      <c r="B74" s="1285"/>
      <c r="C74" s="265" t="s">
        <v>340</v>
      </c>
      <c r="D74" s="266"/>
      <c r="E74" s="267" t="s">
        <v>341</v>
      </c>
      <c r="F74" s="266"/>
      <c r="G74" s="268"/>
      <c r="H74" s="269">
        <v>41389</v>
      </c>
      <c r="I74" s="270">
        <v>41639</v>
      </c>
      <c r="J74" s="271" t="s">
        <v>303</v>
      </c>
      <c r="K74" s="272">
        <f t="shared" si="15"/>
        <v>2013</v>
      </c>
      <c r="L74" s="273">
        <v>517</v>
      </c>
      <c r="M74" s="274">
        <v>1</v>
      </c>
      <c r="N74" s="275">
        <v>1</v>
      </c>
      <c r="O74" s="276">
        <v>0</v>
      </c>
      <c r="P74" s="277">
        <v>0</v>
      </c>
      <c r="Q74" s="273">
        <v>517</v>
      </c>
      <c r="R74" s="278">
        <v>517</v>
      </c>
      <c r="S74" s="239">
        <v>517</v>
      </c>
      <c r="T74" s="273"/>
      <c r="U74" s="278"/>
      <c r="V74" s="239"/>
      <c r="W74" s="279">
        <v>213220</v>
      </c>
      <c r="X74" s="959">
        <f t="shared" si="16"/>
        <v>213220</v>
      </c>
      <c r="Y74" s="240">
        <f t="shared" si="17"/>
        <v>0</v>
      </c>
      <c r="Z74" s="240">
        <f t="shared" si="18"/>
        <v>0</v>
      </c>
      <c r="AA74" s="276"/>
      <c r="AB74" s="276"/>
      <c r="AC74" s="276"/>
      <c r="AD74" s="277"/>
      <c r="AE74" s="280"/>
      <c r="AF74" s="129"/>
      <c r="AG74" s="129"/>
    </row>
    <row r="75" spans="2:34" s="122" customFormat="1" ht="27.75" customHeight="1">
      <c r="C75" s="281"/>
      <c r="D75" s="281"/>
      <c r="E75" s="281"/>
      <c r="F75" s="281"/>
      <c r="G75" s="281"/>
      <c r="H75" s="282"/>
      <c r="I75" s="282"/>
      <c r="J75" s="282"/>
      <c r="K75" s="282"/>
      <c r="L75" s="282"/>
      <c r="M75" s="283"/>
      <c r="N75" s="284"/>
      <c r="O75" s="285"/>
      <c r="P75" s="286"/>
      <c r="Q75" s="287"/>
      <c r="R75" s="287"/>
      <c r="S75" s="287"/>
      <c r="T75" s="287"/>
      <c r="U75" s="1286"/>
      <c r="V75" s="1286"/>
      <c r="W75" s="288"/>
      <c r="X75" s="288"/>
      <c r="Y75" s="288"/>
      <c r="Z75" s="288"/>
      <c r="AA75" s="283"/>
      <c r="AB75" s="283"/>
      <c r="AC75" s="283"/>
      <c r="AD75" s="283"/>
      <c r="AE75" s="289"/>
      <c r="AF75" s="129"/>
      <c r="AG75" s="129"/>
    </row>
    <row r="76" spans="2:34" ht="14.45" customHeight="1">
      <c r="C76" s="291"/>
      <c r="D76" s="291"/>
      <c r="E76" s="291"/>
      <c r="F76" s="291"/>
      <c r="G76" s="291"/>
      <c r="H76" s="291"/>
      <c r="I76" s="291"/>
      <c r="J76" s="291"/>
      <c r="K76" s="291"/>
      <c r="L76" s="292"/>
      <c r="M76" s="293"/>
      <c r="N76" s="294"/>
      <c r="O76" s="295"/>
      <c r="P76" s="296"/>
      <c r="Q76" s="291"/>
      <c r="R76" s="291"/>
      <c r="S76" s="291"/>
      <c r="T76" s="291"/>
      <c r="U76" s="291"/>
      <c r="V76" s="291"/>
      <c r="W76" s="293"/>
      <c r="X76" s="293"/>
      <c r="Y76" s="293"/>
      <c r="Z76" s="293"/>
      <c r="AA76" s="293"/>
      <c r="AB76" s="293"/>
      <c r="AC76" s="293"/>
      <c r="AD76" s="293"/>
      <c r="AE76" s="291"/>
    </row>
    <row r="77" spans="2:34">
      <c r="C77" s="291"/>
      <c r="D77" s="291"/>
      <c r="E77" s="291"/>
      <c r="F77" s="291"/>
      <c r="G77" s="291"/>
      <c r="H77" s="291"/>
      <c r="I77" s="291"/>
      <c r="J77" s="291"/>
      <c r="K77" s="291"/>
      <c r="L77" s="291"/>
      <c r="M77" s="293"/>
      <c r="N77" s="294"/>
      <c r="O77" s="295"/>
      <c r="P77" s="296"/>
      <c r="Q77" s="291"/>
      <c r="R77" s="291"/>
      <c r="S77" s="291"/>
      <c r="T77" s="291"/>
      <c r="U77" s="291"/>
      <c r="V77" s="291"/>
      <c r="W77" s="293"/>
      <c r="X77" s="293"/>
      <c r="Y77" s="293"/>
      <c r="Z77" s="293"/>
      <c r="AA77" s="293"/>
      <c r="AB77" s="293"/>
      <c r="AC77" s="293"/>
      <c r="AD77" s="293"/>
      <c r="AE77" s="291"/>
    </row>
    <row r="78" spans="2:34">
      <c r="C78" s="291"/>
      <c r="D78" s="291"/>
      <c r="E78" s="291"/>
      <c r="F78" s="291"/>
      <c r="G78" s="291"/>
      <c r="H78" s="291"/>
      <c r="I78" s="291"/>
      <c r="J78" s="291"/>
      <c r="K78" s="291"/>
      <c r="L78" s="298"/>
      <c r="M78" s="293"/>
      <c r="N78" s="294"/>
      <c r="O78" s="295"/>
      <c r="P78" s="296"/>
      <c r="Q78" s="291"/>
      <c r="R78" s="291"/>
      <c r="S78" s="291"/>
      <c r="T78" s="291"/>
      <c r="U78" s="291"/>
      <c r="V78" s="291"/>
      <c r="W78" s="293"/>
      <c r="X78" s="293"/>
      <c r="Y78" s="293"/>
      <c r="Z78" s="293"/>
      <c r="AA78" s="293"/>
      <c r="AB78" s="293"/>
      <c r="AC78" s="293"/>
      <c r="AD78" s="293"/>
      <c r="AE78" s="291"/>
    </row>
    <row r="79" spans="2:34">
      <c r="C79" s="291"/>
      <c r="D79" s="291"/>
      <c r="E79" s="291"/>
      <c r="F79" s="291"/>
      <c r="G79" s="291"/>
      <c r="H79" s="291"/>
      <c r="I79" s="291"/>
      <c r="J79" s="291"/>
      <c r="K79" s="291"/>
      <c r="L79" s="291"/>
      <c r="M79" s="293"/>
      <c r="N79" s="294"/>
      <c r="O79" s="295"/>
      <c r="P79" s="296"/>
      <c r="Q79" s="291"/>
      <c r="R79" s="291"/>
      <c r="S79" s="291"/>
      <c r="T79" s="291"/>
      <c r="U79" s="291"/>
      <c r="V79" s="291"/>
      <c r="W79" s="293"/>
      <c r="X79" s="293"/>
      <c r="Y79" s="293"/>
      <c r="Z79" s="293"/>
      <c r="AA79" s="293"/>
      <c r="AB79" s="293"/>
      <c r="AC79" s="293"/>
      <c r="AD79" s="293"/>
      <c r="AE79" s="291"/>
    </row>
    <row r="80" spans="2:34">
      <c r="C80" s="291"/>
      <c r="D80" s="291"/>
      <c r="E80" s="291"/>
      <c r="F80" s="291"/>
      <c r="G80" s="291"/>
      <c r="H80" s="291"/>
      <c r="I80" s="291"/>
      <c r="J80" s="291"/>
      <c r="K80" s="291"/>
      <c r="L80" s="291"/>
      <c r="M80" s="293"/>
      <c r="N80" s="294"/>
      <c r="O80" s="295"/>
      <c r="P80" s="296"/>
      <c r="Q80" s="291"/>
      <c r="R80" s="291"/>
      <c r="S80" s="291"/>
      <c r="T80" s="291"/>
      <c r="U80" s="291"/>
      <c r="V80" s="291"/>
      <c r="W80" s="293"/>
      <c r="X80" s="293"/>
      <c r="Y80" s="293"/>
      <c r="Z80" s="293"/>
      <c r="AA80" s="293"/>
      <c r="AB80" s="293"/>
      <c r="AC80" s="293"/>
      <c r="AD80" s="293"/>
      <c r="AE80" s="291"/>
    </row>
    <row r="81" spans="3:31">
      <c r="C81" s="291"/>
      <c r="D81" s="291"/>
      <c r="E81" s="291"/>
      <c r="F81" s="291"/>
      <c r="G81" s="291"/>
      <c r="H81" s="291"/>
      <c r="I81" s="291"/>
      <c r="J81" s="291"/>
      <c r="K81" s="291"/>
      <c r="L81" s="292"/>
      <c r="M81" s="293"/>
      <c r="N81" s="294"/>
      <c r="O81" s="295"/>
      <c r="P81" s="296"/>
      <c r="Q81" s="291"/>
      <c r="R81" s="291"/>
      <c r="S81" s="291"/>
      <c r="T81" s="291"/>
      <c r="U81" s="291"/>
      <c r="V81" s="291"/>
      <c r="W81" s="293"/>
      <c r="X81" s="293"/>
      <c r="Y81" s="293"/>
      <c r="Z81" s="293"/>
      <c r="AA81" s="293"/>
      <c r="AB81" s="293"/>
      <c r="AC81" s="293"/>
      <c r="AD81" s="293"/>
      <c r="AE81" s="291"/>
    </row>
    <row r="82" spans="3:31">
      <c r="C82" s="291"/>
      <c r="D82" s="291"/>
      <c r="E82" s="291"/>
      <c r="F82" s="291"/>
      <c r="G82" s="291"/>
      <c r="H82" s="291"/>
      <c r="I82" s="291"/>
      <c r="J82" s="291"/>
      <c r="K82" s="291"/>
      <c r="L82" s="291"/>
      <c r="M82" s="293"/>
      <c r="N82" s="294"/>
      <c r="O82" s="295"/>
      <c r="P82" s="296"/>
      <c r="Q82" s="291"/>
      <c r="R82" s="291"/>
      <c r="S82" s="291"/>
      <c r="T82" s="291"/>
      <c r="U82" s="291"/>
      <c r="V82" s="291"/>
      <c r="W82" s="293"/>
      <c r="X82" s="293"/>
      <c r="Y82" s="293"/>
      <c r="Z82" s="293"/>
      <c r="AA82" s="293"/>
      <c r="AB82" s="293"/>
      <c r="AC82" s="293"/>
      <c r="AD82" s="293"/>
      <c r="AE82" s="291"/>
    </row>
    <row r="83" spans="3:31">
      <c r="C83" s="291" t="s">
        <v>342</v>
      </c>
      <c r="D83" s="291"/>
      <c r="E83" s="291"/>
      <c r="F83" s="291"/>
      <c r="G83" s="291"/>
      <c r="H83" s="291"/>
      <c r="I83" s="291"/>
      <c r="J83" s="291"/>
      <c r="K83" s="291"/>
      <c r="L83" s="291"/>
      <c r="M83" s="293"/>
      <c r="N83" s="294"/>
      <c r="O83" s="295"/>
      <c r="P83" s="296"/>
      <c r="Q83" s="291"/>
      <c r="R83" s="291"/>
      <c r="S83" s="291"/>
      <c r="T83" s="291"/>
      <c r="U83" s="291"/>
      <c r="V83" s="291"/>
      <c r="W83" s="293"/>
      <c r="X83" s="293"/>
      <c r="Y83" s="293"/>
      <c r="Z83" s="293"/>
      <c r="AA83" s="293"/>
      <c r="AB83" s="293"/>
      <c r="AC83" s="293"/>
      <c r="AD83" s="293"/>
      <c r="AE83" s="291"/>
    </row>
    <row r="84" spans="3:31">
      <c r="C84" s="291" t="s">
        <v>282</v>
      </c>
      <c r="D84" s="291"/>
      <c r="E84" s="291"/>
      <c r="F84" s="291"/>
      <c r="G84" s="291"/>
      <c r="H84" s="291"/>
      <c r="I84" s="291"/>
      <c r="J84" s="291"/>
      <c r="K84" s="291"/>
      <c r="L84" s="291"/>
      <c r="M84" s="293"/>
      <c r="N84" s="294"/>
      <c r="O84" s="295"/>
      <c r="P84" s="296"/>
      <c r="Q84" s="291"/>
      <c r="R84" s="291"/>
      <c r="S84" s="291"/>
      <c r="T84" s="291"/>
      <c r="U84" s="291"/>
      <c r="V84" s="291"/>
      <c r="W84" s="293"/>
      <c r="X84" s="293"/>
      <c r="Y84" s="293"/>
      <c r="Z84" s="293"/>
      <c r="AA84" s="293"/>
      <c r="AB84" s="293"/>
      <c r="AC84" s="293"/>
      <c r="AD84" s="293"/>
      <c r="AE84" s="291"/>
    </row>
    <row r="85" spans="3:31">
      <c r="C85" s="291" t="s">
        <v>303</v>
      </c>
      <c r="D85" s="291"/>
      <c r="E85" s="291"/>
      <c r="F85" s="291"/>
      <c r="G85" s="291"/>
      <c r="H85" s="291"/>
      <c r="I85" s="291"/>
      <c r="J85" s="291"/>
      <c r="K85" s="291"/>
      <c r="L85" s="291"/>
      <c r="M85" s="293"/>
      <c r="N85" s="294"/>
      <c r="O85" s="295"/>
      <c r="P85" s="296"/>
      <c r="Q85" s="291"/>
      <c r="R85" s="291"/>
      <c r="S85" s="291"/>
      <c r="T85" s="291"/>
      <c r="U85" s="291"/>
      <c r="V85" s="291"/>
      <c r="W85" s="293"/>
      <c r="X85" s="293"/>
      <c r="Y85" s="293"/>
      <c r="Z85" s="293"/>
      <c r="AA85" s="293"/>
      <c r="AB85" s="293"/>
      <c r="AC85" s="293"/>
      <c r="AD85" s="293"/>
      <c r="AE85" s="291"/>
    </row>
    <row r="86" spans="3:31">
      <c r="C86" s="291" t="s">
        <v>337</v>
      </c>
      <c r="D86" s="291"/>
      <c r="E86" s="291"/>
      <c r="F86" s="291"/>
      <c r="G86" s="291"/>
      <c r="H86" s="291"/>
      <c r="I86" s="299"/>
      <c r="J86" s="291"/>
      <c r="K86" s="291"/>
      <c r="L86" s="291"/>
      <c r="M86" s="293"/>
      <c r="N86" s="294"/>
      <c r="O86" s="295"/>
      <c r="P86" s="296"/>
      <c r="Q86" s="291"/>
      <c r="R86" s="291"/>
      <c r="S86" s="291"/>
      <c r="T86" s="291"/>
      <c r="U86" s="291"/>
      <c r="V86" s="291"/>
      <c r="W86" s="293"/>
      <c r="X86" s="293"/>
      <c r="Y86" s="293"/>
      <c r="Z86" s="293"/>
      <c r="AA86" s="293"/>
      <c r="AB86" s="293"/>
      <c r="AC86" s="293"/>
      <c r="AD86" s="293"/>
      <c r="AE86" s="291"/>
    </row>
    <row r="87" spans="3:31">
      <c r="C87" s="291"/>
      <c r="D87" s="291"/>
      <c r="E87" s="291"/>
      <c r="F87" s="291"/>
      <c r="G87" s="291"/>
      <c r="H87" s="291"/>
      <c r="I87" s="299"/>
      <c r="J87" s="291"/>
      <c r="K87" s="291"/>
      <c r="L87" s="291"/>
      <c r="M87" s="293"/>
      <c r="N87" s="294"/>
      <c r="O87" s="295"/>
      <c r="P87" s="296"/>
      <c r="Q87" s="291"/>
      <c r="R87" s="291"/>
      <c r="S87" s="291"/>
      <c r="T87" s="291"/>
      <c r="U87" s="291"/>
      <c r="V87" s="291"/>
      <c r="W87" s="293"/>
      <c r="X87" s="293"/>
      <c r="Y87" s="293"/>
      <c r="Z87" s="293"/>
      <c r="AA87" s="293"/>
      <c r="AB87" s="293"/>
      <c r="AC87" s="293"/>
      <c r="AD87" s="293"/>
      <c r="AE87" s="291"/>
    </row>
    <row r="88" spans="3:31">
      <c r="C88" s="291"/>
      <c r="D88" s="291"/>
      <c r="E88" s="291"/>
      <c r="F88" s="291"/>
      <c r="G88" s="291"/>
      <c r="H88" s="291"/>
      <c r="I88" s="299"/>
      <c r="J88" s="291"/>
      <c r="K88" s="291"/>
      <c r="L88" s="291"/>
      <c r="M88" s="293"/>
      <c r="N88" s="294"/>
      <c r="O88" s="295"/>
      <c r="P88" s="296"/>
      <c r="Q88" s="291"/>
      <c r="R88" s="291"/>
      <c r="S88" s="291"/>
      <c r="T88" s="291"/>
      <c r="U88" s="291"/>
      <c r="V88" s="291"/>
      <c r="W88" s="293"/>
      <c r="X88" s="293"/>
      <c r="Y88" s="293"/>
      <c r="Z88" s="293"/>
      <c r="AA88" s="293"/>
      <c r="AB88" s="293"/>
      <c r="AC88" s="293"/>
      <c r="AD88" s="293"/>
      <c r="AE88" s="291"/>
    </row>
    <row r="89" spans="3:31">
      <c r="C89" s="291"/>
      <c r="D89" s="291"/>
      <c r="E89" s="291"/>
      <c r="F89" s="291"/>
      <c r="G89" s="291"/>
      <c r="H89" s="291"/>
      <c r="I89" s="299"/>
      <c r="J89" s="291"/>
      <c r="K89" s="291"/>
      <c r="L89" s="291"/>
      <c r="M89" s="293"/>
      <c r="N89" s="294"/>
      <c r="O89" s="295"/>
      <c r="P89" s="296"/>
      <c r="Q89" s="291"/>
      <c r="R89" s="291"/>
      <c r="S89" s="291"/>
      <c r="T89" s="291"/>
      <c r="U89" s="291"/>
      <c r="V89" s="291"/>
      <c r="W89" s="293"/>
      <c r="X89" s="293"/>
      <c r="Y89" s="293"/>
      <c r="Z89" s="293"/>
      <c r="AA89" s="293"/>
      <c r="AB89" s="293"/>
      <c r="AC89" s="293"/>
      <c r="AD89" s="293"/>
      <c r="AE89" s="291"/>
    </row>
    <row r="90" spans="3:31">
      <c r="C90" s="291"/>
      <c r="D90" s="291"/>
      <c r="E90" s="291"/>
      <c r="F90" s="291"/>
      <c r="G90" s="291"/>
      <c r="H90" s="291"/>
      <c r="I90" s="299"/>
      <c r="J90" s="291"/>
      <c r="K90" s="291"/>
      <c r="L90" s="291"/>
      <c r="M90" s="293"/>
      <c r="N90" s="294"/>
      <c r="O90" s="295"/>
      <c r="P90" s="296"/>
      <c r="Q90" s="291"/>
      <c r="R90" s="291"/>
      <c r="S90" s="291"/>
      <c r="T90" s="291"/>
      <c r="U90" s="291"/>
      <c r="V90" s="291"/>
      <c r="W90" s="293"/>
      <c r="X90" s="293"/>
      <c r="Y90" s="293"/>
      <c r="Z90" s="293"/>
      <c r="AA90" s="293"/>
      <c r="AB90" s="293"/>
      <c r="AC90" s="293"/>
      <c r="AD90" s="293"/>
      <c r="AE90" s="291"/>
    </row>
    <row r="91" spans="3:31">
      <c r="C91" s="291"/>
      <c r="D91" s="291"/>
      <c r="E91" s="291"/>
      <c r="F91" s="291"/>
      <c r="G91" s="291"/>
      <c r="H91" s="291"/>
      <c r="I91" s="299"/>
      <c r="J91" s="291"/>
      <c r="K91" s="291"/>
      <c r="L91" s="291"/>
      <c r="M91" s="293"/>
      <c r="N91" s="294"/>
      <c r="O91" s="295"/>
      <c r="P91" s="296"/>
      <c r="Q91" s="291"/>
      <c r="R91" s="291"/>
      <c r="S91" s="291"/>
      <c r="T91" s="291"/>
      <c r="U91" s="291"/>
      <c r="V91" s="291"/>
      <c r="W91" s="293"/>
      <c r="X91" s="293"/>
      <c r="Y91" s="293"/>
      <c r="Z91" s="293"/>
      <c r="AA91" s="293"/>
      <c r="AB91" s="293"/>
      <c r="AC91" s="293"/>
      <c r="AD91" s="293"/>
      <c r="AE91" s="291"/>
    </row>
    <row r="92" spans="3:31">
      <c r="C92" s="291"/>
      <c r="D92" s="291"/>
      <c r="E92" s="291"/>
      <c r="F92" s="291"/>
      <c r="G92" s="291"/>
      <c r="H92" s="291"/>
      <c r="I92" s="299"/>
      <c r="J92" s="291"/>
      <c r="K92" s="291"/>
      <c r="L92" s="291"/>
      <c r="M92" s="293"/>
      <c r="N92" s="294"/>
      <c r="O92" s="295"/>
      <c r="P92" s="296"/>
      <c r="Q92" s="291"/>
      <c r="R92" s="291"/>
      <c r="S92" s="291"/>
      <c r="T92" s="291"/>
      <c r="U92" s="291"/>
      <c r="V92" s="291"/>
      <c r="W92" s="293"/>
      <c r="X92" s="293"/>
      <c r="Y92" s="293"/>
      <c r="Z92" s="293"/>
      <c r="AA92" s="293"/>
      <c r="AB92" s="293"/>
      <c r="AC92" s="293"/>
      <c r="AD92" s="293"/>
      <c r="AE92" s="291"/>
    </row>
    <row r="93" spans="3:31">
      <c r="C93" s="291"/>
      <c r="D93" s="291"/>
      <c r="E93" s="291"/>
      <c r="F93" s="291"/>
      <c r="G93" s="291"/>
      <c r="H93" s="291"/>
      <c r="I93" s="299"/>
      <c r="J93" s="291"/>
      <c r="K93" s="291"/>
      <c r="L93" s="291"/>
      <c r="M93" s="293"/>
      <c r="N93" s="294"/>
      <c r="O93" s="295"/>
      <c r="P93" s="296"/>
      <c r="Q93" s="291"/>
      <c r="R93" s="291"/>
      <c r="S93" s="291"/>
      <c r="T93" s="291"/>
      <c r="U93" s="291"/>
      <c r="V93" s="291"/>
      <c r="W93" s="293"/>
      <c r="X93" s="293"/>
      <c r="Y93" s="293"/>
      <c r="Z93" s="293"/>
      <c r="AA93" s="293"/>
      <c r="AB93" s="293"/>
      <c r="AC93" s="293"/>
      <c r="AD93" s="293"/>
      <c r="AE93" s="291"/>
    </row>
    <row r="94" spans="3:31">
      <c r="C94" s="291"/>
      <c r="D94" s="291"/>
      <c r="E94" s="291"/>
      <c r="F94" s="291"/>
      <c r="G94" s="291"/>
      <c r="H94" s="291"/>
      <c r="I94" s="299"/>
      <c r="J94" s="291"/>
      <c r="K94" s="291"/>
      <c r="L94" s="291"/>
      <c r="M94" s="293"/>
      <c r="N94" s="294"/>
      <c r="O94" s="295"/>
      <c r="P94" s="296"/>
      <c r="Q94" s="291"/>
      <c r="R94" s="291"/>
      <c r="S94" s="291"/>
      <c r="T94" s="291"/>
      <c r="U94" s="291"/>
      <c r="V94" s="291"/>
      <c r="W94" s="293"/>
      <c r="X94" s="293"/>
      <c r="Y94" s="293"/>
      <c r="Z94" s="293"/>
      <c r="AA94" s="293"/>
      <c r="AB94" s="293"/>
      <c r="AC94" s="293"/>
      <c r="AD94" s="293"/>
      <c r="AE94" s="291"/>
    </row>
    <row r="95" spans="3:31">
      <c r="C95" s="291"/>
      <c r="D95" s="291"/>
      <c r="E95" s="291"/>
      <c r="F95" s="291"/>
      <c r="G95" s="291"/>
      <c r="H95" s="291"/>
      <c r="I95" s="299"/>
      <c r="J95" s="291"/>
      <c r="K95" s="291"/>
      <c r="L95" s="291"/>
      <c r="M95" s="293"/>
      <c r="N95" s="294"/>
      <c r="O95" s="295"/>
      <c r="P95" s="296"/>
      <c r="Q95" s="291"/>
      <c r="R95" s="291"/>
      <c r="S95" s="291"/>
      <c r="T95" s="291"/>
      <c r="U95" s="291"/>
      <c r="V95" s="291"/>
      <c r="W95" s="293"/>
      <c r="X95" s="293"/>
      <c r="Y95" s="293"/>
      <c r="Z95" s="293"/>
      <c r="AA95" s="293"/>
      <c r="AB95" s="293"/>
      <c r="AC95" s="293"/>
      <c r="AD95" s="293"/>
      <c r="AE95" s="291"/>
    </row>
    <row r="96" spans="3:31">
      <c r="C96" s="291"/>
      <c r="D96" s="291"/>
      <c r="E96" s="291"/>
      <c r="F96" s="291"/>
      <c r="G96" s="291"/>
      <c r="H96" s="291"/>
      <c r="I96" s="299"/>
      <c r="J96" s="291"/>
      <c r="K96" s="291"/>
      <c r="L96" s="291"/>
      <c r="M96" s="293"/>
      <c r="N96" s="294"/>
      <c r="O96" s="295"/>
      <c r="P96" s="296"/>
      <c r="Q96" s="291"/>
      <c r="R96" s="291"/>
      <c r="S96" s="291"/>
      <c r="T96" s="291"/>
      <c r="U96" s="291"/>
      <c r="V96" s="291"/>
      <c r="W96" s="293"/>
      <c r="X96" s="293"/>
      <c r="Y96" s="293"/>
      <c r="Z96" s="293"/>
      <c r="AA96" s="293"/>
      <c r="AB96" s="293"/>
      <c r="AC96" s="293"/>
      <c r="AD96" s="293"/>
      <c r="AE96" s="291"/>
    </row>
    <row r="97" spans="3:31">
      <c r="C97" s="291"/>
      <c r="D97" s="291"/>
      <c r="E97" s="291"/>
      <c r="F97" s="291"/>
      <c r="G97" s="291"/>
      <c r="H97" s="291"/>
      <c r="I97" s="299"/>
      <c r="J97" s="291"/>
      <c r="K97" s="291"/>
      <c r="L97" s="291"/>
      <c r="M97" s="293"/>
      <c r="N97" s="294"/>
      <c r="O97" s="295"/>
      <c r="P97" s="296"/>
      <c r="Q97" s="291"/>
      <c r="R97" s="291"/>
      <c r="S97" s="291"/>
      <c r="T97" s="291"/>
      <c r="U97" s="291"/>
      <c r="V97" s="291"/>
      <c r="W97" s="293"/>
      <c r="X97" s="293"/>
      <c r="Y97" s="293"/>
      <c r="Z97" s="293"/>
      <c r="AA97" s="293"/>
      <c r="AB97" s="293"/>
      <c r="AC97" s="293"/>
      <c r="AD97" s="293"/>
      <c r="AE97" s="291"/>
    </row>
    <row r="98" spans="3:31">
      <c r="C98" s="291"/>
      <c r="D98" s="291"/>
      <c r="E98" s="291"/>
      <c r="F98" s="291"/>
      <c r="G98" s="291"/>
      <c r="H98" s="291"/>
      <c r="I98" s="299"/>
      <c r="J98" s="291"/>
      <c r="K98" s="291"/>
      <c r="L98" s="291"/>
      <c r="M98" s="293"/>
      <c r="N98" s="294"/>
      <c r="O98" s="295"/>
      <c r="P98" s="296"/>
      <c r="Q98" s="291"/>
      <c r="R98" s="291"/>
      <c r="S98" s="291"/>
      <c r="T98" s="291"/>
      <c r="U98" s="291"/>
      <c r="V98" s="291"/>
      <c r="W98" s="293"/>
      <c r="X98" s="293"/>
      <c r="Y98" s="293"/>
      <c r="Z98" s="293"/>
      <c r="AA98" s="293"/>
      <c r="AB98" s="293"/>
      <c r="AC98" s="293"/>
      <c r="AD98" s="293"/>
      <c r="AE98" s="291"/>
    </row>
    <row r="99" spans="3:31">
      <c r="C99" s="291"/>
      <c r="D99" s="291"/>
      <c r="E99" s="291"/>
      <c r="F99" s="291"/>
      <c r="G99" s="291"/>
      <c r="H99" s="291"/>
      <c r="I99" s="299"/>
      <c r="J99" s="291"/>
      <c r="K99" s="291"/>
      <c r="L99" s="291"/>
      <c r="M99" s="293"/>
      <c r="N99" s="294"/>
      <c r="O99" s="295"/>
      <c r="P99" s="296"/>
      <c r="Q99" s="291"/>
      <c r="R99" s="291"/>
      <c r="S99" s="291"/>
      <c r="T99" s="291"/>
      <c r="U99" s="291"/>
      <c r="V99" s="291"/>
      <c r="W99" s="293"/>
      <c r="X99" s="293"/>
      <c r="Y99" s="293"/>
      <c r="Z99" s="293"/>
      <c r="AA99" s="293"/>
      <c r="AB99" s="293"/>
      <c r="AC99" s="293"/>
      <c r="AD99" s="293"/>
      <c r="AE99" s="291"/>
    </row>
    <row r="100" spans="3:31">
      <c r="C100" s="291"/>
      <c r="D100" s="291"/>
      <c r="E100" s="291"/>
      <c r="F100" s="291"/>
      <c r="G100" s="291"/>
      <c r="H100" s="291"/>
      <c r="I100" s="299"/>
      <c r="J100" s="291"/>
      <c r="K100" s="291"/>
      <c r="L100" s="291"/>
      <c r="M100" s="293"/>
      <c r="N100" s="294"/>
      <c r="O100" s="295"/>
      <c r="P100" s="296"/>
      <c r="Q100" s="291"/>
      <c r="R100" s="291"/>
      <c r="S100" s="291"/>
      <c r="T100" s="291"/>
      <c r="U100" s="291"/>
      <c r="V100" s="291"/>
      <c r="W100" s="293"/>
      <c r="X100" s="293"/>
      <c r="Y100" s="293"/>
      <c r="Z100" s="293"/>
      <c r="AA100" s="293"/>
      <c r="AB100" s="293"/>
      <c r="AC100" s="293"/>
      <c r="AD100" s="293"/>
      <c r="AE100" s="291"/>
    </row>
    <row r="101" spans="3:31">
      <c r="C101" s="291"/>
      <c r="D101" s="291"/>
      <c r="E101" s="291"/>
      <c r="F101" s="291"/>
      <c r="G101" s="291"/>
      <c r="H101" s="291"/>
      <c r="I101" s="291"/>
      <c r="J101" s="291"/>
      <c r="K101" s="291"/>
      <c r="L101" s="291"/>
      <c r="M101" s="293"/>
      <c r="N101" s="294"/>
      <c r="O101" s="295"/>
      <c r="P101" s="296"/>
      <c r="Q101" s="291"/>
      <c r="R101" s="291"/>
      <c r="S101" s="291"/>
      <c r="T101" s="291"/>
      <c r="U101" s="291"/>
      <c r="V101" s="291"/>
      <c r="W101" s="293"/>
      <c r="X101" s="293"/>
      <c r="Y101" s="293"/>
      <c r="Z101" s="293"/>
      <c r="AA101" s="293"/>
      <c r="AB101" s="293"/>
      <c r="AC101" s="293"/>
      <c r="AD101" s="293"/>
      <c r="AE101" s="291"/>
    </row>
    <row r="102" spans="3:31">
      <c r="C102" s="291"/>
      <c r="D102" s="291"/>
      <c r="E102" s="291"/>
      <c r="F102" s="291"/>
      <c r="G102" s="291"/>
      <c r="H102" s="291"/>
      <c r="I102" s="291"/>
      <c r="J102" s="291"/>
      <c r="K102" s="291"/>
      <c r="L102" s="291"/>
      <c r="M102" s="293"/>
      <c r="N102" s="294"/>
      <c r="O102" s="295"/>
      <c r="P102" s="296"/>
      <c r="Q102" s="291"/>
      <c r="R102" s="291"/>
      <c r="S102" s="291"/>
      <c r="T102" s="291"/>
      <c r="U102" s="291"/>
      <c r="V102" s="291"/>
      <c r="W102" s="293"/>
      <c r="X102" s="293"/>
      <c r="Y102" s="293"/>
      <c r="Z102" s="293"/>
      <c r="AA102" s="293"/>
      <c r="AB102" s="293"/>
      <c r="AC102" s="293"/>
      <c r="AD102" s="293"/>
      <c r="AE102" s="291"/>
    </row>
    <row r="103" spans="3:31">
      <c r="C103" s="291"/>
      <c r="D103" s="291"/>
      <c r="E103" s="291"/>
      <c r="F103" s="291"/>
      <c r="G103" s="291"/>
      <c r="H103" s="291"/>
      <c r="I103" s="291"/>
      <c r="J103" s="291"/>
      <c r="K103" s="291"/>
      <c r="L103" s="291"/>
      <c r="M103" s="293"/>
      <c r="N103" s="294"/>
      <c r="O103" s="295"/>
      <c r="P103" s="296"/>
      <c r="Q103" s="291"/>
      <c r="R103" s="291"/>
      <c r="S103" s="291"/>
      <c r="T103" s="291"/>
      <c r="U103" s="291"/>
      <c r="V103" s="291"/>
      <c r="W103" s="293"/>
      <c r="X103" s="293"/>
      <c r="Y103" s="293"/>
      <c r="Z103" s="293"/>
      <c r="AA103" s="293"/>
      <c r="AB103" s="293"/>
      <c r="AC103" s="293"/>
      <c r="AD103" s="293"/>
      <c r="AE103" s="291"/>
    </row>
    <row r="104" spans="3:31">
      <c r="C104" s="291"/>
      <c r="D104" s="291"/>
      <c r="E104" s="291"/>
      <c r="F104" s="291"/>
      <c r="G104" s="291"/>
      <c r="H104" s="291"/>
      <c r="I104" s="291"/>
      <c r="J104" s="291"/>
      <c r="K104" s="291"/>
      <c r="L104" s="291"/>
      <c r="M104" s="293"/>
      <c r="N104" s="294"/>
      <c r="O104" s="295"/>
      <c r="P104" s="296"/>
      <c r="Q104" s="291"/>
      <c r="R104" s="291"/>
      <c r="S104" s="291"/>
      <c r="T104" s="291"/>
      <c r="U104" s="291"/>
      <c r="V104" s="291"/>
      <c r="W104" s="293"/>
      <c r="X104" s="293"/>
      <c r="Y104" s="293"/>
      <c r="Z104" s="293"/>
      <c r="AA104" s="293"/>
      <c r="AB104" s="293"/>
      <c r="AC104" s="293"/>
      <c r="AD104" s="293"/>
      <c r="AE104" s="291"/>
    </row>
    <row r="105" spans="3:31">
      <c r="C105" s="291"/>
      <c r="D105" s="291"/>
      <c r="E105" s="291"/>
      <c r="F105" s="291"/>
      <c r="G105" s="291"/>
      <c r="H105" s="291"/>
      <c r="I105" s="291"/>
      <c r="J105" s="291"/>
      <c r="K105" s="291"/>
      <c r="L105" s="291"/>
      <c r="M105" s="293"/>
      <c r="N105" s="294"/>
      <c r="O105" s="295"/>
      <c r="P105" s="296"/>
      <c r="Q105" s="291"/>
      <c r="R105" s="291"/>
      <c r="S105" s="291"/>
      <c r="T105" s="291"/>
      <c r="U105" s="291"/>
      <c r="V105" s="291"/>
      <c r="W105" s="293"/>
      <c r="X105" s="293"/>
      <c r="Y105" s="293"/>
      <c r="Z105" s="293"/>
      <c r="AA105" s="293"/>
      <c r="AB105" s="293"/>
      <c r="AC105" s="293"/>
      <c r="AD105" s="293"/>
      <c r="AE105" s="291"/>
    </row>
    <row r="106" spans="3:31">
      <c r="C106" s="291"/>
      <c r="D106" s="291"/>
      <c r="E106" s="291"/>
      <c r="F106" s="291"/>
      <c r="G106" s="291"/>
      <c r="H106" s="291"/>
      <c r="I106" s="291"/>
      <c r="J106" s="291"/>
      <c r="K106" s="291"/>
      <c r="L106" s="291"/>
      <c r="M106" s="293"/>
      <c r="N106" s="294"/>
      <c r="O106" s="295"/>
      <c r="P106" s="296"/>
      <c r="Q106" s="291"/>
      <c r="R106" s="291"/>
      <c r="S106" s="291"/>
      <c r="T106" s="291"/>
      <c r="U106" s="291"/>
      <c r="V106" s="291"/>
      <c r="W106" s="293"/>
      <c r="X106" s="293"/>
      <c r="Y106" s="293"/>
      <c r="Z106" s="293"/>
      <c r="AA106" s="293"/>
      <c r="AB106" s="293"/>
      <c r="AC106" s="293"/>
      <c r="AD106" s="293"/>
      <c r="AE106" s="291"/>
    </row>
    <row r="107" spans="3:31">
      <c r="C107" s="291"/>
      <c r="D107" s="291"/>
      <c r="E107" s="291"/>
      <c r="F107" s="291"/>
      <c r="G107" s="291"/>
      <c r="H107" s="291"/>
      <c r="I107" s="291"/>
      <c r="J107" s="291"/>
      <c r="K107" s="291"/>
      <c r="L107" s="291"/>
      <c r="M107" s="293"/>
      <c r="N107" s="294"/>
      <c r="O107" s="295"/>
      <c r="P107" s="296"/>
      <c r="Q107" s="291"/>
      <c r="R107" s="291"/>
      <c r="S107" s="291"/>
      <c r="T107" s="291"/>
      <c r="U107" s="291"/>
      <c r="V107" s="291"/>
      <c r="W107" s="293"/>
      <c r="X107" s="293"/>
      <c r="Y107" s="293"/>
      <c r="Z107" s="293"/>
      <c r="AA107" s="293"/>
      <c r="AB107" s="293"/>
      <c r="AC107" s="293"/>
      <c r="AD107" s="293"/>
      <c r="AE107" s="291"/>
    </row>
    <row r="108" spans="3:31">
      <c r="C108" s="291"/>
      <c r="D108" s="291"/>
      <c r="E108" s="291"/>
      <c r="F108" s="291"/>
      <c r="G108" s="291"/>
      <c r="H108" s="291"/>
      <c r="I108" s="291"/>
      <c r="J108" s="291"/>
      <c r="K108" s="291"/>
      <c r="L108" s="291"/>
      <c r="M108" s="293"/>
      <c r="N108" s="294"/>
      <c r="O108" s="295"/>
      <c r="P108" s="296"/>
      <c r="Q108" s="291"/>
      <c r="R108" s="291"/>
      <c r="S108" s="291"/>
      <c r="T108" s="291"/>
      <c r="U108" s="291"/>
      <c r="V108" s="291"/>
      <c r="W108" s="293"/>
      <c r="X108" s="293"/>
      <c r="Y108" s="293"/>
      <c r="Z108" s="293"/>
      <c r="AA108" s="293"/>
      <c r="AB108" s="293"/>
      <c r="AC108" s="293"/>
      <c r="AD108" s="293"/>
      <c r="AE108" s="291"/>
    </row>
    <row r="109" spans="3:31">
      <c r="C109" s="291"/>
      <c r="D109" s="291"/>
      <c r="E109" s="291"/>
      <c r="F109" s="291"/>
      <c r="G109" s="291"/>
      <c r="H109" s="291"/>
      <c r="I109" s="291"/>
      <c r="J109" s="291"/>
      <c r="K109" s="291"/>
      <c r="L109" s="291"/>
      <c r="M109" s="293"/>
      <c r="N109" s="294"/>
      <c r="O109" s="295"/>
      <c r="P109" s="296"/>
      <c r="Q109" s="291"/>
      <c r="R109" s="291"/>
      <c r="S109" s="291"/>
      <c r="T109" s="291"/>
      <c r="U109" s="291"/>
      <c r="V109" s="291"/>
      <c r="W109" s="293"/>
      <c r="X109" s="293"/>
      <c r="Y109" s="293"/>
      <c r="Z109" s="293"/>
      <c r="AA109" s="293"/>
      <c r="AB109" s="293"/>
      <c r="AC109" s="293"/>
      <c r="AD109" s="293"/>
      <c r="AE109" s="291"/>
    </row>
    <row r="110" spans="3:31">
      <c r="C110" s="291"/>
      <c r="D110" s="291"/>
      <c r="E110" s="291"/>
      <c r="F110" s="291"/>
      <c r="G110" s="291"/>
      <c r="H110" s="291"/>
      <c r="I110" s="291"/>
      <c r="J110" s="291"/>
      <c r="K110" s="291"/>
      <c r="L110" s="291"/>
      <c r="M110" s="293"/>
      <c r="N110" s="294"/>
      <c r="O110" s="295"/>
      <c r="P110" s="296"/>
      <c r="Q110" s="291"/>
      <c r="R110" s="291"/>
      <c r="S110" s="291"/>
      <c r="T110" s="291"/>
      <c r="U110" s="291"/>
      <c r="V110" s="291"/>
      <c r="W110" s="293"/>
      <c r="X110" s="293"/>
      <c r="Y110" s="293"/>
      <c r="Z110" s="293"/>
      <c r="AA110" s="293"/>
      <c r="AB110" s="293"/>
      <c r="AC110" s="293"/>
      <c r="AD110" s="293"/>
      <c r="AE110" s="291"/>
    </row>
    <row r="111" spans="3:31">
      <c r="C111" s="291"/>
      <c r="D111" s="291"/>
      <c r="E111" s="291"/>
      <c r="F111" s="291"/>
      <c r="G111" s="291"/>
      <c r="H111" s="291"/>
      <c r="I111" s="291"/>
      <c r="J111" s="291"/>
      <c r="K111" s="291"/>
      <c r="L111" s="291"/>
      <c r="M111" s="293"/>
      <c r="N111" s="294"/>
      <c r="O111" s="295"/>
      <c r="P111" s="296"/>
      <c r="Q111" s="291"/>
      <c r="R111" s="291"/>
      <c r="S111" s="291"/>
      <c r="T111" s="291"/>
      <c r="U111" s="291"/>
      <c r="V111" s="291"/>
      <c r="W111" s="293"/>
      <c r="X111" s="293"/>
      <c r="Y111" s="293"/>
      <c r="Z111" s="293"/>
      <c r="AA111" s="293"/>
      <c r="AB111" s="293"/>
      <c r="AC111" s="293"/>
      <c r="AD111" s="293"/>
      <c r="AE111" s="291"/>
    </row>
    <row r="112" spans="3:31">
      <c r="C112" s="291"/>
      <c r="D112" s="291"/>
      <c r="E112" s="291"/>
      <c r="F112" s="291"/>
      <c r="G112" s="291"/>
      <c r="H112" s="291"/>
      <c r="I112" s="291"/>
      <c r="J112" s="291"/>
      <c r="K112" s="291"/>
      <c r="L112" s="291"/>
      <c r="M112" s="293"/>
      <c r="N112" s="294"/>
      <c r="O112" s="295"/>
      <c r="P112" s="296"/>
      <c r="Q112" s="291"/>
      <c r="R112" s="291"/>
      <c r="S112" s="291"/>
      <c r="T112" s="291"/>
      <c r="U112" s="291"/>
      <c r="V112" s="291"/>
      <c r="W112" s="293"/>
      <c r="X112" s="293"/>
      <c r="Y112" s="293"/>
      <c r="Z112" s="293"/>
      <c r="AA112" s="293"/>
      <c r="AB112" s="293"/>
      <c r="AC112" s="293"/>
      <c r="AD112" s="293"/>
      <c r="AE112" s="291"/>
    </row>
    <row r="113" spans="3:31">
      <c r="C113" s="291"/>
      <c r="D113" s="291"/>
      <c r="E113" s="291"/>
      <c r="F113" s="291"/>
      <c r="G113" s="291"/>
      <c r="H113" s="291"/>
      <c r="I113" s="291"/>
      <c r="J113" s="291"/>
      <c r="K113" s="291"/>
      <c r="L113" s="291"/>
      <c r="M113" s="293"/>
      <c r="N113" s="294"/>
      <c r="O113" s="295"/>
      <c r="P113" s="296"/>
      <c r="Q113" s="291"/>
      <c r="R113" s="291"/>
      <c r="S113" s="291"/>
      <c r="T113" s="291"/>
      <c r="U113" s="291"/>
      <c r="V113" s="291"/>
      <c r="W113" s="293"/>
      <c r="X113" s="293"/>
      <c r="Y113" s="293"/>
      <c r="Z113" s="293"/>
      <c r="AA113" s="293"/>
      <c r="AB113" s="293"/>
      <c r="AC113" s="293"/>
      <c r="AD113" s="293"/>
      <c r="AE113" s="291"/>
    </row>
    <row r="114" spans="3:31">
      <c r="C114" s="291"/>
      <c r="D114" s="291"/>
      <c r="E114" s="291"/>
      <c r="F114" s="291"/>
      <c r="G114" s="291"/>
      <c r="H114" s="291"/>
      <c r="I114" s="291"/>
      <c r="J114" s="291"/>
      <c r="K114" s="291"/>
      <c r="L114" s="291"/>
      <c r="M114" s="293"/>
      <c r="N114" s="294"/>
      <c r="O114" s="295"/>
      <c r="P114" s="296"/>
      <c r="Q114" s="291"/>
      <c r="R114" s="291"/>
      <c r="S114" s="291"/>
      <c r="T114" s="291"/>
      <c r="U114" s="291"/>
      <c r="V114" s="291"/>
      <c r="W114" s="293"/>
      <c r="X114" s="293"/>
      <c r="Y114" s="293"/>
      <c r="Z114" s="293"/>
      <c r="AA114" s="293"/>
      <c r="AB114" s="293"/>
      <c r="AC114" s="293"/>
      <c r="AD114" s="293"/>
      <c r="AE114" s="291"/>
    </row>
    <row r="115" spans="3:31">
      <c r="C115" s="291"/>
      <c r="D115" s="291"/>
      <c r="E115" s="291"/>
      <c r="F115" s="291"/>
      <c r="G115" s="291"/>
      <c r="H115" s="291"/>
      <c r="I115" s="291"/>
      <c r="J115" s="291"/>
      <c r="K115" s="291"/>
      <c r="L115" s="291"/>
      <c r="M115" s="293"/>
      <c r="N115" s="294"/>
      <c r="O115" s="295"/>
      <c r="P115" s="296"/>
      <c r="Q115" s="291"/>
      <c r="R115" s="291"/>
      <c r="S115" s="291"/>
      <c r="T115" s="291"/>
      <c r="U115" s="291"/>
      <c r="V115" s="291"/>
      <c r="W115" s="293"/>
      <c r="X115" s="293"/>
      <c r="Y115" s="293"/>
      <c r="Z115" s="293"/>
      <c r="AA115" s="293"/>
      <c r="AB115" s="293"/>
      <c r="AC115" s="293"/>
      <c r="AD115" s="293"/>
      <c r="AE115" s="291"/>
    </row>
    <row r="116" spans="3:31">
      <c r="C116" s="291"/>
      <c r="D116" s="291"/>
      <c r="E116" s="291"/>
      <c r="F116" s="291"/>
      <c r="G116" s="291"/>
      <c r="H116" s="291"/>
      <c r="I116" s="291"/>
      <c r="J116" s="291"/>
      <c r="K116" s="291"/>
      <c r="L116" s="291"/>
      <c r="M116" s="293"/>
      <c r="N116" s="294"/>
      <c r="O116" s="295"/>
      <c r="P116" s="296"/>
      <c r="Q116" s="291"/>
      <c r="R116" s="291"/>
      <c r="S116" s="291"/>
      <c r="T116" s="291"/>
      <c r="U116" s="291"/>
      <c r="V116" s="291"/>
      <c r="W116" s="293"/>
      <c r="X116" s="293"/>
      <c r="Y116" s="293"/>
      <c r="Z116" s="293"/>
      <c r="AA116" s="293"/>
      <c r="AB116" s="293"/>
      <c r="AC116" s="293"/>
      <c r="AD116" s="293"/>
      <c r="AE116" s="291"/>
    </row>
    <row r="117" spans="3:31">
      <c r="C117" s="291"/>
      <c r="D117" s="291"/>
      <c r="E117" s="291"/>
      <c r="F117" s="291"/>
      <c r="G117" s="291"/>
      <c r="H117" s="291"/>
      <c r="I117" s="291"/>
      <c r="J117" s="291"/>
      <c r="K117" s="291"/>
      <c r="L117" s="291"/>
      <c r="M117" s="293"/>
      <c r="N117" s="294"/>
      <c r="O117" s="295"/>
      <c r="P117" s="296"/>
      <c r="Q117" s="291"/>
      <c r="R117" s="291"/>
      <c r="S117" s="291"/>
      <c r="T117" s="291"/>
      <c r="U117" s="291"/>
      <c r="V117" s="291"/>
      <c r="W117" s="293"/>
      <c r="X117" s="293"/>
      <c r="Y117" s="293"/>
      <c r="Z117" s="293"/>
      <c r="AA117" s="293"/>
      <c r="AB117" s="293"/>
      <c r="AC117" s="293"/>
      <c r="AD117" s="293"/>
      <c r="AE117" s="291"/>
    </row>
    <row r="118" spans="3:31">
      <c r="C118" s="291"/>
      <c r="D118" s="291"/>
      <c r="E118" s="291"/>
      <c r="F118" s="291"/>
      <c r="G118" s="291"/>
      <c r="H118" s="291"/>
      <c r="I118" s="291"/>
      <c r="J118" s="291"/>
      <c r="K118" s="291"/>
      <c r="L118" s="291"/>
      <c r="M118" s="293"/>
      <c r="N118" s="294"/>
      <c r="O118" s="295"/>
      <c r="P118" s="296"/>
      <c r="Q118" s="291"/>
      <c r="R118" s="291"/>
      <c r="S118" s="291"/>
      <c r="T118" s="291"/>
      <c r="U118" s="291"/>
      <c r="V118" s="291"/>
      <c r="W118" s="293"/>
      <c r="X118" s="293"/>
      <c r="Y118" s="293"/>
      <c r="Z118" s="293"/>
      <c r="AA118" s="293"/>
      <c r="AB118" s="293"/>
      <c r="AC118" s="293"/>
      <c r="AD118" s="293"/>
      <c r="AE118" s="291"/>
    </row>
    <row r="119" spans="3:31">
      <c r="C119" s="291"/>
      <c r="D119" s="291"/>
      <c r="E119" s="291"/>
      <c r="F119" s="291"/>
      <c r="G119" s="291"/>
      <c r="H119" s="291"/>
      <c r="I119" s="291"/>
      <c r="J119" s="291"/>
      <c r="K119" s="291"/>
      <c r="L119" s="291"/>
      <c r="M119" s="293"/>
      <c r="N119" s="294"/>
      <c r="O119" s="295"/>
      <c r="P119" s="296"/>
      <c r="Q119" s="291"/>
      <c r="R119" s="291"/>
      <c r="S119" s="291"/>
      <c r="T119" s="291"/>
      <c r="U119" s="291"/>
      <c r="V119" s="291"/>
      <c r="W119" s="293"/>
      <c r="X119" s="293"/>
      <c r="Y119" s="293"/>
      <c r="Z119" s="293"/>
      <c r="AA119" s="293"/>
      <c r="AB119" s="293"/>
      <c r="AC119" s="293"/>
      <c r="AD119" s="293"/>
      <c r="AE119" s="291"/>
    </row>
    <row r="120" spans="3:31">
      <c r="C120" s="291"/>
      <c r="D120" s="291"/>
      <c r="E120" s="291"/>
      <c r="F120" s="291"/>
      <c r="G120" s="291"/>
      <c r="H120" s="291"/>
      <c r="I120" s="291"/>
      <c r="J120" s="291"/>
      <c r="K120" s="291"/>
      <c r="L120" s="291"/>
      <c r="M120" s="293"/>
      <c r="N120" s="294"/>
      <c r="O120" s="295"/>
      <c r="P120" s="296"/>
      <c r="Q120" s="291"/>
      <c r="R120" s="291"/>
      <c r="S120" s="291"/>
      <c r="T120" s="291"/>
      <c r="U120" s="291"/>
      <c r="V120" s="291"/>
      <c r="W120" s="293"/>
      <c r="X120" s="293"/>
      <c r="Y120" s="293"/>
      <c r="Z120" s="293"/>
      <c r="AA120" s="293"/>
      <c r="AB120" s="293"/>
      <c r="AC120" s="293"/>
      <c r="AD120" s="293"/>
      <c r="AE120" s="291"/>
    </row>
    <row r="121" spans="3:31">
      <c r="C121" s="291"/>
      <c r="D121" s="291"/>
      <c r="E121" s="291"/>
      <c r="F121" s="291"/>
      <c r="G121" s="291"/>
      <c r="H121" s="291"/>
      <c r="I121" s="291"/>
      <c r="J121" s="291"/>
      <c r="K121" s="291"/>
      <c r="L121" s="291"/>
      <c r="M121" s="293"/>
      <c r="N121" s="294"/>
      <c r="O121" s="295"/>
      <c r="P121" s="296"/>
      <c r="Q121" s="291"/>
      <c r="R121" s="291"/>
      <c r="S121" s="291"/>
      <c r="T121" s="291"/>
      <c r="U121" s="291"/>
      <c r="V121" s="291"/>
      <c r="W121" s="293"/>
      <c r="X121" s="293"/>
      <c r="Y121" s="293"/>
      <c r="Z121" s="293"/>
      <c r="AA121" s="293"/>
      <c r="AB121" s="293"/>
      <c r="AC121" s="293"/>
      <c r="AD121" s="293"/>
      <c r="AE121" s="291"/>
    </row>
    <row r="122" spans="3:31">
      <c r="C122" s="291"/>
      <c r="D122" s="291"/>
      <c r="E122" s="291"/>
      <c r="F122" s="291"/>
      <c r="G122" s="291"/>
      <c r="H122" s="291"/>
      <c r="I122" s="291"/>
      <c r="J122" s="291"/>
      <c r="K122" s="291"/>
      <c r="L122" s="291"/>
      <c r="M122" s="293"/>
      <c r="N122" s="294"/>
      <c r="O122" s="295"/>
      <c r="P122" s="296"/>
      <c r="Q122" s="291"/>
      <c r="R122" s="291"/>
      <c r="S122" s="291"/>
      <c r="T122" s="291"/>
      <c r="U122" s="291"/>
      <c r="V122" s="291"/>
      <c r="W122" s="293"/>
      <c r="X122" s="293"/>
      <c r="Y122" s="293"/>
      <c r="Z122" s="293"/>
      <c r="AA122" s="293"/>
      <c r="AB122" s="293"/>
      <c r="AC122" s="293"/>
      <c r="AD122" s="293"/>
      <c r="AE122" s="291"/>
    </row>
    <row r="123" spans="3:31">
      <c r="C123" s="291"/>
      <c r="D123" s="291"/>
      <c r="E123" s="291"/>
      <c r="F123" s="291"/>
      <c r="G123" s="291"/>
      <c r="H123" s="291"/>
      <c r="I123" s="291"/>
      <c r="J123" s="291"/>
      <c r="K123" s="291"/>
      <c r="L123" s="291"/>
      <c r="M123" s="293"/>
      <c r="N123" s="294"/>
      <c r="O123" s="295"/>
      <c r="P123" s="296"/>
      <c r="Q123" s="291"/>
      <c r="R123" s="291"/>
      <c r="S123" s="291"/>
      <c r="T123" s="291"/>
      <c r="U123" s="291"/>
      <c r="V123" s="291"/>
      <c r="W123" s="293"/>
      <c r="X123" s="293"/>
      <c r="Y123" s="293"/>
      <c r="Z123" s="293"/>
      <c r="AA123" s="293"/>
      <c r="AB123" s="293"/>
      <c r="AC123" s="293"/>
      <c r="AD123" s="293"/>
      <c r="AE123" s="291"/>
    </row>
    <row r="124" spans="3:31">
      <c r="C124" s="291"/>
      <c r="D124" s="291"/>
      <c r="E124" s="291"/>
      <c r="F124" s="291"/>
      <c r="G124" s="291"/>
      <c r="H124" s="291"/>
      <c r="I124" s="291"/>
      <c r="J124" s="291"/>
      <c r="K124" s="291"/>
      <c r="L124" s="291"/>
      <c r="M124" s="293"/>
      <c r="N124" s="294"/>
      <c r="O124" s="295"/>
      <c r="P124" s="296"/>
      <c r="Q124" s="291"/>
      <c r="R124" s="291"/>
      <c r="S124" s="291"/>
      <c r="T124" s="291"/>
      <c r="U124" s="291"/>
      <c r="V124" s="291"/>
      <c r="W124" s="293"/>
      <c r="X124" s="293"/>
      <c r="Y124" s="293"/>
      <c r="Z124" s="293"/>
      <c r="AA124" s="293"/>
      <c r="AB124" s="293"/>
      <c r="AC124" s="293"/>
      <c r="AD124" s="293"/>
      <c r="AE124" s="291"/>
    </row>
    <row r="125" spans="3:31">
      <c r="C125" s="291"/>
      <c r="D125" s="291"/>
      <c r="E125" s="291"/>
      <c r="F125" s="291"/>
      <c r="G125" s="291"/>
      <c r="H125" s="291"/>
      <c r="I125" s="291"/>
      <c r="J125" s="291"/>
      <c r="K125" s="291"/>
      <c r="L125" s="291"/>
      <c r="M125" s="293"/>
      <c r="N125" s="294"/>
      <c r="O125" s="295"/>
      <c r="P125" s="296"/>
      <c r="Q125" s="291"/>
      <c r="R125" s="291"/>
      <c r="S125" s="291"/>
      <c r="T125" s="291"/>
      <c r="U125" s="291"/>
      <c r="V125" s="291"/>
      <c r="W125" s="293"/>
      <c r="X125" s="293"/>
      <c r="Y125" s="293"/>
      <c r="Z125" s="293"/>
      <c r="AA125" s="293"/>
      <c r="AB125" s="293"/>
      <c r="AC125" s="293"/>
      <c r="AD125" s="293"/>
      <c r="AE125" s="291"/>
    </row>
    <row r="126" spans="3:31">
      <c r="C126" s="291"/>
      <c r="D126" s="291"/>
      <c r="E126" s="291"/>
      <c r="F126" s="291"/>
      <c r="G126" s="291"/>
      <c r="H126" s="291"/>
      <c r="I126" s="291"/>
      <c r="J126" s="291"/>
      <c r="K126" s="291"/>
      <c r="L126" s="291"/>
      <c r="M126" s="293"/>
      <c r="N126" s="294"/>
      <c r="O126" s="295"/>
      <c r="P126" s="296"/>
      <c r="Q126" s="291"/>
      <c r="R126" s="291"/>
      <c r="S126" s="291"/>
      <c r="T126" s="291"/>
      <c r="U126" s="291"/>
      <c r="V126" s="291"/>
      <c r="W126" s="293"/>
      <c r="X126" s="293"/>
      <c r="Y126" s="293"/>
      <c r="Z126" s="293"/>
      <c r="AA126" s="293"/>
      <c r="AB126" s="293"/>
      <c r="AC126" s="293"/>
      <c r="AD126" s="293"/>
      <c r="AE126" s="291"/>
    </row>
    <row r="127" spans="3:31">
      <c r="C127" s="300"/>
      <c r="D127" s="300"/>
      <c r="E127" s="300"/>
      <c r="F127" s="300"/>
      <c r="G127" s="300"/>
      <c r="H127" s="300"/>
      <c r="I127" s="300"/>
      <c r="J127" s="300"/>
      <c r="K127" s="300"/>
      <c r="L127" s="300"/>
      <c r="M127" s="301"/>
      <c r="N127" s="302"/>
      <c r="O127" s="303"/>
      <c r="P127" s="304"/>
      <c r="Q127" s="300"/>
      <c r="R127" s="300"/>
      <c r="S127" s="300"/>
      <c r="T127" s="300"/>
      <c r="U127" s="300"/>
      <c r="V127" s="300"/>
      <c r="W127" s="301"/>
      <c r="X127" s="301"/>
      <c r="Y127" s="301"/>
      <c r="Z127" s="301"/>
      <c r="AA127" s="301"/>
      <c r="AB127" s="301"/>
      <c r="AC127" s="301"/>
      <c r="AD127" s="301"/>
      <c r="AE127" s="300"/>
    </row>
    <row r="128" spans="3:31">
      <c r="C128" s="300"/>
      <c r="D128" s="300"/>
      <c r="E128" s="300"/>
      <c r="F128" s="300"/>
      <c r="G128" s="300"/>
      <c r="H128" s="300"/>
      <c r="I128" s="300"/>
      <c r="J128" s="300"/>
      <c r="K128" s="300"/>
      <c r="L128" s="300"/>
      <c r="M128" s="301"/>
      <c r="N128" s="302"/>
      <c r="O128" s="303"/>
      <c r="P128" s="304"/>
      <c r="Q128" s="300"/>
      <c r="R128" s="300"/>
      <c r="S128" s="300"/>
      <c r="T128" s="300"/>
      <c r="U128" s="300"/>
      <c r="V128" s="300"/>
      <c r="W128" s="301"/>
      <c r="X128" s="301"/>
      <c r="Y128" s="301"/>
      <c r="Z128" s="301"/>
      <c r="AA128" s="301"/>
      <c r="AB128" s="301"/>
      <c r="AC128" s="301"/>
      <c r="AD128" s="301"/>
      <c r="AE128" s="300"/>
    </row>
    <row r="129" spans="3:31">
      <c r="C129" s="300"/>
      <c r="D129" s="300"/>
      <c r="E129" s="300"/>
      <c r="F129" s="300"/>
      <c r="G129" s="300"/>
      <c r="H129" s="300"/>
      <c r="I129" s="300"/>
      <c r="J129" s="300"/>
      <c r="K129" s="300"/>
      <c r="L129" s="300"/>
      <c r="M129" s="301"/>
      <c r="N129" s="302"/>
      <c r="O129" s="303"/>
      <c r="P129" s="304"/>
      <c r="Q129" s="300"/>
      <c r="R129" s="300"/>
      <c r="S129" s="300"/>
      <c r="T129" s="300"/>
      <c r="U129" s="300"/>
      <c r="V129" s="300"/>
      <c r="W129" s="301"/>
      <c r="X129" s="301"/>
      <c r="Y129" s="301"/>
      <c r="Z129" s="301"/>
      <c r="AA129" s="301"/>
      <c r="AB129" s="301"/>
      <c r="AC129" s="301"/>
      <c r="AD129" s="301"/>
      <c r="AE129" s="300"/>
    </row>
    <row r="130" spans="3:31">
      <c r="C130" s="300"/>
      <c r="D130" s="300"/>
      <c r="E130" s="300"/>
      <c r="F130" s="300"/>
      <c r="G130" s="300"/>
      <c r="H130" s="300"/>
      <c r="I130" s="300"/>
      <c r="J130" s="300"/>
      <c r="K130" s="300"/>
      <c r="L130" s="300"/>
      <c r="M130" s="301"/>
      <c r="N130" s="302"/>
      <c r="O130" s="303"/>
      <c r="P130" s="304"/>
      <c r="Q130" s="300"/>
      <c r="R130" s="300"/>
      <c r="S130" s="300"/>
      <c r="T130" s="300"/>
      <c r="U130" s="300"/>
      <c r="V130" s="300"/>
      <c r="W130" s="301"/>
      <c r="X130" s="301"/>
      <c r="Y130" s="301"/>
      <c r="Z130" s="301"/>
      <c r="AA130" s="301"/>
      <c r="AB130" s="301"/>
      <c r="AC130" s="301"/>
      <c r="AD130" s="301"/>
      <c r="AE130" s="300"/>
    </row>
    <row r="131" spans="3:31">
      <c r="C131" s="300"/>
      <c r="D131" s="300"/>
      <c r="E131" s="300"/>
      <c r="F131" s="300"/>
      <c r="G131" s="300"/>
      <c r="H131" s="300"/>
      <c r="I131" s="300"/>
      <c r="J131" s="300"/>
      <c r="K131" s="300"/>
      <c r="L131" s="300"/>
      <c r="M131" s="301"/>
      <c r="N131" s="302"/>
      <c r="O131" s="303"/>
      <c r="P131" s="304"/>
      <c r="Q131" s="300"/>
      <c r="R131" s="300"/>
      <c r="S131" s="300"/>
      <c r="T131" s="300"/>
      <c r="U131" s="300"/>
      <c r="V131" s="300"/>
      <c r="W131" s="301"/>
      <c r="X131" s="301"/>
      <c r="Y131" s="301"/>
      <c r="Z131" s="301"/>
      <c r="AA131" s="301"/>
      <c r="AB131" s="301"/>
      <c r="AC131" s="301"/>
      <c r="AD131" s="301"/>
      <c r="AE131" s="300"/>
    </row>
    <row r="132" spans="3:31">
      <c r="C132" s="300"/>
      <c r="D132" s="300"/>
      <c r="E132" s="300"/>
      <c r="F132" s="300"/>
      <c r="G132" s="300"/>
      <c r="H132" s="300"/>
      <c r="I132" s="300"/>
      <c r="J132" s="300"/>
      <c r="K132" s="300"/>
      <c r="L132" s="300"/>
      <c r="M132" s="301"/>
      <c r="N132" s="302"/>
      <c r="O132" s="303"/>
      <c r="P132" s="304"/>
      <c r="Q132" s="300"/>
      <c r="R132" s="300"/>
      <c r="S132" s="300"/>
      <c r="T132" s="300"/>
      <c r="U132" s="300"/>
      <c r="V132" s="300"/>
      <c r="W132" s="301"/>
      <c r="X132" s="301"/>
      <c r="Y132" s="301"/>
      <c r="Z132" s="301"/>
      <c r="AA132" s="301"/>
      <c r="AB132" s="301"/>
      <c r="AC132" s="301"/>
      <c r="AD132" s="301"/>
      <c r="AE132" s="300"/>
    </row>
    <row r="133" spans="3:31">
      <c r="C133" s="300"/>
      <c r="D133" s="300"/>
      <c r="E133" s="300"/>
      <c r="F133" s="300"/>
      <c r="G133" s="300"/>
      <c r="H133" s="300"/>
      <c r="I133" s="300"/>
      <c r="J133" s="300"/>
      <c r="K133" s="300"/>
      <c r="L133" s="300"/>
      <c r="M133" s="301"/>
      <c r="N133" s="302"/>
      <c r="O133" s="303"/>
      <c r="P133" s="304"/>
      <c r="Q133" s="300"/>
      <c r="R133" s="300"/>
      <c r="S133" s="300"/>
      <c r="T133" s="300"/>
      <c r="U133" s="300"/>
      <c r="V133" s="300"/>
      <c r="W133" s="301"/>
      <c r="X133" s="301"/>
      <c r="Y133" s="301"/>
      <c r="Z133" s="301"/>
      <c r="AA133" s="301"/>
      <c r="AB133" s="301"/>
      <c r="AC133" s="301"/>
      <c r="AD133" s="301"/>
      <c r="AE133" s="300"/>
    </row>
    <row r="134" spans="3:31">
      <c r="C134" s="300"/>
      <c r="D134" s="300"/>
      <c r="E134" s="300"/>
      <c r="F134" s="300"/>
      <c r="G134" s="300"/>
      <c r="H134" s="300"/>
      <c r="I134" s="300"/>
      <c r="J134" s="300"/>
      <c r="K134" s="300"/>
      <c r="L134" s="300"/>
      <c r="M134" s="301"/>
      <c r="N134" s="302"/>
      <c r="O134" s="303"/>
      <c r="P134" s="304"/>
      <c r="Q134" s="300"/>
      <c r="R134" s="300"/>
      <c r="S134" s="300"/>
      <c r="T134" s="300"/>
      <c r="U134" s="300"/>
      <c r="V134" s="300"/>
      <c r="W134" s="301"/>
      <c r="X134" s="301"/>
      <c r="Y134" s="301"/>
      <c r="Z134" s="301"/>
      <c r="AA134" s="301"/>
      <c r="AB134" s="301"/>
      <c r="AC134" s="301"/>
      <c r="AD134" s="301"/>
      <c r="AE134" s="300"/>
    </row>
    <row r="135" spans="3:31">
      <c r="C135" s="300"/>
      <c r="D135" s="300"/>
      <c r="E135" s="300"/>
      <c r="F135" s="300"/>
      <c r="G135" s="300"/>
      <c r="H135" s="300"/>
      <c r="I135" s="300"/>
      <c r="J135" s="300"/>
      <c r="K135" s="300"/>
      <c r="L135" s="300"/>
      <c r="M135" s="301"/>
      <c r="N135" s="302"/>
      <c r="O135" s="303"/>
      <c r="P135" s="304"/>
      <c r="Q135" s="300"/>
      <c r="R135" s="300"/>
      <c r="S135" s="300"/>
      <c r="T135" s="300"/>
      <c r="U135" s="300"/>
      <c r="V135" s="300"/>
      <c r="W135" s="301"/>
      <c r="X135" s="301"/>
      <c r="Y135" s="301"/>
      <c r="Z135" s="301"/>
      <c r="AA135" s="301"/>
      <c r="AB135" s="301"/>
      <c r="AC135" s="301"/>
      <c r="AD135" s="301"/>
      <c r="AE135" s="300"/>
    </row>
    <row r="136" spans="3:31">
      <c r="C136" s="300"/>
      <c r="D136" s="300"/>
      <c r="E136" s="300"/>
      <c r="F136" s="300"/>
      <c r="G136" s="300"/>
      <c r="H136" s="300"/>
      <c r="I136" s="300"/>
      <c r="J136" s="300"/>
      <c r="K136" s="300"/>
      <c r="L136" s="300"/>
      <c r="M136" s="301"/>
      <c r="N136" s="302"/>
      <c r="O136" s="303"/>
      <c r="P136" s="304"/>
      <c r="Q136" s="300"/>
      <c r="R136" s="300"/>
      <c r="S136" s="300"/>
      <c r="T136" s="300"/>
      <c r="U136" s="300"/>
      <c r="V136" s="300"/>
      <c r="W136" s="301"/>
      <c r="X136" s="301"/>
      <c r="Y136" s="301"/>
      <c r="Z136" s="301"/>
      <c r="AA136" s="301"/>
      <c r="AB136" s="301"/>
      <c r="AC136" s="301"/>
      <c r="AD136" s="301"/>
      <c r="AE136" s="300"/>
    </row>
    <row r="137" spans="3:31">
      <c r="C137" s="300"/>
      <c r="D137" s="300"/>
      <c r="E137" s="300"/>
      <c r="F137" s="300"/>
      <c r="G137" s="300"/>
      <c r="H137" s="300"/>
      <c r="I137" s="300"/>
      <c r="J137" s="300"/>
      <c r="K137" s="300"/>
      <c r="L137" s="300"/>
      <c r="M137" s="301"/>
      <c r="N137" s="302"/>
      <c r="O137" s="303"/>
      <c r="P137" s="304"/>
      <c r="Q137" s="300"/>
      <c r="R137" s="300"/>
      <c r="S137" s="300"/>
      <c r="T137" s="300"/>
      <c r="U137" s="300"/>
      <c r="V137" s="300"/>
      <c r="W137" s="301"/>
      <c r="X137" s="301"/>
      <c r="Y137" s="301"/>
      <c r="Z137" s="301"/>
      <c r="AA137" s="301"/>
      <c r="AB137" s="301"/>
      <c r="AC137" s="301"/>
      <c r="AD137" s="301"/>
      <c r="AE137" s="300"/>
    </row>
    <row r="138" spans="3:31">
      <c r="C138" s="300"/>
      <c r="D138" s="300"/>
      <c r="E138" s="300"/>
      <c r="F138" s="300"/>
      <c r="G138" s="300"/>
      <c r="H138" s="300"/>
      <c r="I138" s="300"/>
      <c r="J138" s="300"/>
      <c r="K138" s="300"/>
      <c r="L138" s="300"/>
      <c r="M138" s="301"/>
      <c r="N138" s="302"/>
      <c r="O138" s="303"/>
      <c r="P138" s="304"/>
      <c r="Q138" s="300"/>
      <c r="R138" s="300"/>
      <c r="S138" s="300"/>
      <c r="T138" s="300"/>
      <c r="U138" s="300"/>
      <c r="V138" s="300"/>
      <c r="W138" s="301"/>
      <c r="X138" s="301"/>
      <c r="Y138" s="301"/>
      <c r="Z138" s="301"/>
      <c r="AA138" s="301"/>
      <c r="AB138" s="301"/>
      <c r="AC138" s="301"/>
      <c r="AD138" s="301"/>
      <c r="AE138" s="300"/>
    </row>
    <row r="139" spans="3:31">
      <c r="C139" s="300"/>
      <c r="D139" s="300"/>
      <c r="E139" s="300"/>
      <c r="F139" s="300"/>
      <c r="G139" s="300"/>
      <c r="H139" s="300"/>
      <c r="I139" s="300"/>
      <c r="J139" s="300"/>
      <c r="K139" s="300"/>
      <c r="L139" s="300"/>
      <c r="M139" s="301"/>
      <c r="N139" s="302"/>
      <c r="O139" s="303"/>
      <c r="P139" s="304"/>
      <c r="Q139" s="300"/>
      <c r="R139" s="300"/>
      <c r="S139" s="300"/>
      <c r="T139" s="300"/>
      <c r="U139" s="300"/>
      <c r="V139" s="300"/>
      <c r="W139" s="301"/>
      <c r="X139" s="301"/>
      <c r="Y139" s="301"/>
      <c r="Z139" s="301"/>
      <c r="AA139" s="301"/>
      <c r="AB139" s="301"/>
      <c r="AC139" s="301"/>
      <c r="AD139" s="301"/>
      <c r="AE139" s="300"/>
    </row>
    <row r="140" spans="3:31">
      <c r="C140" s="300"/>
      <c r="D140" s="300"/>
      <c r="E140" s="300"/>
      <c r="F140" s="300"/>
      <c r="G140" s="300"/>
      <c r="H140" s="300"/>
      <c r="I140" s="300"/>
      <c r="J140" s="300"/>
      <c r="K140" s="300"/>
      <c r="L140" s="300"/>
      <c r="M140" s="301"/>
      <c r="N140" s="302"/>
      <c r="O140" s="303"/>
      <c r="P140" s="304"/>
      <c r="Q140" s="300"/>
      <c r="R140" s="300"/>
      <c r="S140" s="300"/>
      <c r="T140" s="300"/>
      <c r="U140" s="300"/>
      <c r="V140" s="300"/>
      <c r="W140" s="301"/>
      <c r="X140" s="301"/>
      <c r="Y140" s="301"/>
      <c r="Z140" s="301"/>
      <c r="AA140" s="301"/>
      <c r="AB140" s="301"/>
      <c r="AC140" s="301"/>
      <c r="AD140" s="301"/>
      <c r="AE140" s="300"/>
    </row>
    <row r="141" spans="3:31">
      <c r="C141" s="300"/>
      <c r="D141" s="300"/>
      <c r="E141" s="300"/>
      <c r="F141" s="300"/>
      <c r="G141" s="300"/>
      <c r="H141" s="300"/>
      <c r="I141" s="300"/>
      <c r="J141" s="300"/>
      <c r="K141" s="300"/>
      <c r="L141" s="300"/>
      <c r="M141" s="301"/>
      <c r="N141" s="302"/>
      <c r="O141" s="303"/>
      <c r="P141" s="304"/>
      <c r="Q141" s="300"/>
      <c r="R141" s="300"/>
      <c r="S141" s="300"/>
      <c r="T141" s="300"/>
      <c r="U141" s="300"/>
      <c r="V141" s="300"/>
      <c r="W141" s="301"/>
      <c r="X141" s="301"/>
      <c r="Y141" s="301"/>
      <c r="Z141" s="301"/>
      <c r="AA141" s="301"/>
      <c r="AB141" s="301"/>
      <c r="AC141" s="301"/>
      <c r="AD141" s="301"/>
      <c r="AE141" s="300"/>
    </row>
    <row r="142" spans="3:31">
      <c r="C142" s="300"/>
      <c r="D142" s="300"/>
      <c r="E142" s="300"/>
      <c r="F142" s="300"/>
      <c r="G142" s="300"/>
      <c r="H142" s="300"/>
      <c r="I142" s="300"/>
      <c r="J142" s="300"/>
      <c r="K142" s="300"/>
      <c r="L142" s="300"/>
      <c r="M142" s="301"/>
      <c r="N142" s="302"/>
      <c r="O142" s="303"/>
      <c r="P142" s="304"/>
      <c r="Q142" s="300"/>
      <c r="R142" s="300"/>
      <c r="S142" s="300"/>
      <c r="T142" s="300"/>
      <c r="U142" s="300"/>
      <c r="V142" s="300"/>
      <c r="W142" s="301"/>
      <c r="X142" s="301"/>
      <c r="Y142" s="301"/>
      <c r="Z142" s="301"/>
      <c r="AA142" s="301"/>
      <c r="AB142" s="301"/>
      <c r="AC142" s="301"/>
      <c r="AD142" s="301"/>
      <c r="AE142" s="300"/>
    </row>
    <row r="143" spans="3:31">
      <c r="C143" s="300"/>
      <c r="D143" s="300"/>
      <c r="E143" s="300"/>
      <c r="F143" s="300"/>
      <c r="G143" s="300"/>
      <c r="H143" s="300"/>
      <c r="I143" s="300"/>
      <c r="J143" s="300"/>
      <c r="K143" s="300"/>
      <c r="L143" s="300"/>
      <c r="M143" s="301"/>
      <c r="N143" s="302"/>
      <c r="O143" s="303"/>
      <c r="P143" s="304"/>
      <c r="Q143" s="300"/>
      <c r="R143" s="300"/>
      <c r="S143" s="300"/>
      <c r="T143" s="300"/>
      <c r="U143" s="300"/>
      <c r="V143" s="300"/>
      <c r="W143" s="301"/>
      <c r="X143" s="301"/>
      <c r="Y143" s="301"/>
      <c r="Z143" s="301"/>
      <c r="AA143" s="301"/>
      <c r="AB143" s="301"/>
      <c r="AC143" s="301"/>
      <c r="AD143" s="301"/>
      <c r="AE143" s="300"/>
    </row>
    <row r="144" spans="3:31">
      <c r="C144" s="300"/>
      <c r="D144" s="300"/>
      <c r="E144" s="300"/>
      <c r="F144" s="300"/>
      <c r="G144" s="300"/>
      <c r="H144" s="300"/>
      <c r="I144" s="300"/>
      <c r="J144" s="300"/>
      <c r="K144" s="300"/>
      <c r="L144" s="300"/>
      <c r="M144" s="301"/>
      <c r="N144" s="302"/>
      <c r="O144" s="303"/>
      <c r="P144" s="304"/>
      <c r="Q144" s="300"/>
      <c r="R144" s="300"/>
      <c r="S144" s="300"/>
      <c r="T144" s="300"/>
      <c r="U144" s="300"/>
      <c r="V144" s="300"/>
      <c r="W144" s="301"/>
      <c r="X144" s="301"/>
      <c r="Y144" s="301"/>
      <c r="Z144" s="301"/>
      <c r="AA144" s="301"/>
      <c r="AB144" s="301"/>
      <c r="AC144" s="301"/>
      <c r="AD144" s="301"/>
      <c r="AE144" s="300"/>
    </row>
    <row r="145" spans="3:31">
      <c r="C145" s="300"/>
      <c r="D145" s="300"/>
      <c r="E145" s="300"/>
      <c r="F145" s="300"/>
      <c r="G145" s="300"/>
      <c r="H145" s="300"/>
      <c r="I145" s="300"/>
      <c r="J145" s="300"/>
      <c r="K145" s="300"/>
      <c r="L145" s="300"/>
      <c r="M145" s="301"/>
      <c r="N145" s="302"/>
      <c r="O145" s="303"/>
      <c r="P145" s="304"/>
      <c r="Q145" s="300"/>
      <c r="R145" s="300"/>
      <c r="S145" s="300"/>
      <c r="T145" s="300"/>
      <c r="U145" s="300"/>
      <c r="V145" s="300"/>
      <c r="W145" s="301"/>
      <c r="X145" s="301"/>
      <c r="Y145" s="301"/>
      <c r="Z145" s="301"/>
      <c r="AA145" s="301"/>
      <c r="AB145" s="301"/>
      <c r="AC145" s="301"/>
      <c r="AD145" s="301"/>
      <c r="AE145" s="300"/>
    </row>
    <row r="146" spans="3:31">
      <c r="C146" s="300"/>
      <c r="D146" s="300"/>
      <c r="E146" s="300"/>
      <c r="F146" s="300"/>
      <c r="G146" s="300"/>
      <c r="H146" s="300"/>
      <c r="I146" s="300"/>
      <c r="J146" s="300"/>
      <c r="K146" s="300"/>
      <c r="L146" s="300"/>
      <c r="M146" s="301"/>
      <c r="N146" s="302"/>
      <c r="O146" s="303"/>
      <c r="P146" s="304"/>
      <c r="Q146" s="300"/>
      <c r="R146" s="300"/>
      <c r="S146" s="300"/>
      <c r="T146" s="300"/>
      <c r="U146" s="300"/>
      <c r="V146" s="300"/>
      <c r="W146" s="301"/>
      <c r="X146" s="301"/>
      <c r="Y146" s="301"/>
      <c r="Z146" s="301"/>
      <c r="AA146" s="301"/>
      <c r="AB146" s="301"/>
      <c r="AC146" s="301"/>
      <c r="AD146" s="301"/>
      <c r="AE146" s="300"/>
    </row>
    <row r="147" spans="3:31">
      <c r="C147" s="300"/>
      <c r="D147" s="300"/>
      <c r="E147" s="300"/>
      <c r="F147" s="300"/>
      <c r="G147" s="300"/>
      <c r="H147" s="300"/>
      <c r="I147" s="300"/>
      <c r="J147" s="300"/>
      <c r="K147" s="300"/>
      <c r="L147" s="300"/>
      <c r="M147" s="301"/>
      <c r="N147" s="302"/>
      <c r="O147" s="303"/>
      <c r="P147" s="304"/>
      <c r="Q147" s="300"/>
      <c r="R147" s="300"/>
      <c r="S147" s="300"/>
      <c r="T147" s="300"/>
      <c r="U147" s="300"/>
      <c r="V147" s="300"/>
      <c r="W147" s="301"/>
      <c r="X147" s="301"/>
      <c r="Y147" s="301"/>
      <c r="Z147" s="301"/>
      <c r="AA147" s="301"/>
      <c r="AB147" s="301"/>
      <c r="AC147" s="301"/>
      <c r="AD147" s="301"/>
      <c r="AE147" s="300"/>
    </row>
    <row r="148" spans="3:31">
      <c r="C148" s="300"/>
      <c r="D148" s="300"/>
      <c r="E148" s="300"/>
      <c r="F148" s="300"/>
      <c r="G148" s="300"/>
      <c r="H148" s="300"/>
      <c r="I148" s="300"/>
      <c r="J148" s="300"/>
      <c r="K148" s="300"/>
      <c r="L148" s="300"/>
      <c r="M148" s="301"/>
      <c r="N148" s="302"/>
      <c r="O148" s="303"/>
      <c r="P148" s="304"/>
      <c r="Q148" s="300"/>
      <c r="R148" s="300"/>
      <c r="S148" s="300"/>
      <c r="T148" s="300"/>
      <c r="U148" s="300"/>
      <c r="V148" s="300"/>
      <c r="W148" s="301"/>
      <c r="X148" s="301"/>
      <c r="Y148" s="301"/>
      <c r="Z148" s="301"/>
      <c r="AA148" s="301"/>
      <c r="AB148" s="301"/>
      <c r="AC148" s="301"/>
      <c r="AD148" s="301"/>
      <c r="AE148" s="300"/>
    </row>
    <row r="149" spans="3:31">
      <c r="C149" s="300"/>
      <c r="D149" s="300"/>
      <c r="E149" s="300"/>
      <c r="F149" s="300"/>
      <c r="G149" s="300"/>
      <c r="H149" s="300"/>
      <c r="I149" s="300"/>
      <c r="J149" s="300"/>
      <c r="K149" s="300"/>
      <c r="L149" s="300"/>
      <c r="M149" s="301"/>
      <c r="N149" s="302"/>
      <c r="O149" s="303"/>
      <c r="P149" s="304"/>
      <c r="Q149" s="300"/>
      <c r="R149" s="300"/>
      <c r="S149" s="300"/>
      <c r="T149" s="300"/>
      <c r="U149" s="300"/>
      <c r="V149" s="300"/>
      <c r="W149" s="301"/>
      <c r="X149" s="301"/>
      <c r="Y149" s="301"/>
      <c r="Z149" s="301"/>
      <c r="AA149" s="301"/>
      <c r="AB149" s="301"/>
      <c r="AC149" s="301"/>
      <c r="AD149" s="301"/>
      <c r="AE149" s="300"/>
    </row>
    <row r="150" spans="3:31">
      <c r="C150" s="300"/>
      <c r="D150" s="300"/>
      <c r="E150" s="300"/>
      <c r="F150" s="300"/>
      <c r="G150" s="300"/>
      <c r="H150" s="300"/>
      <c r="I150" s="300"/>
      <c r="J150" s="300"/>
      <c r="K150" s="300"/>
      <c r="L150" s="300"/>
      <c r="M150" s="301"/>
      <c r="N150" s="302"/>
      <c r="O150" s="303"/>
      <c r="P150" s="304"/>
      <c r="Q150" s="300"/>
      <c r="R150" s="300"/>
      <c r="S150" s="300"/>
      <c r="T150" s="300"/>
      <c r="U150" s="300"/>
      <c r="V150" s="300"/>
      <c r="W150" s="301"/>
      <c r="X150" s="301"/>
      <c r="Y150" s="301"/>
      <c r="Z150" s="301"/>
      <c r="AA150" s="301"/>
      <c r="AB150" s="301"/>
      <c r="AC150" s="301"/>
      <c r="AD150" s="301"/>
      <c r="AE150" s="300"/>
    </row>
    <row r="151" spans="3:31">
      <c r="C151" s="300"/>
      <c r="D151" s="300"/>
      <c r="E151" s="300"/>
      <c r="F151" s="300"/>
      <c r="G151" s="300"/>
      <c r="H151" s="300"/>
      <c r="I151" s="300"/>
      <c r="J151" s="300"/>
      <c r="K151" s="300"/>
      <c r="L151" s="300"/>
      <c r="M151" s="301"/>
      <c r="N151" s="302"/>
      <c r="O151" s="303"/>
      <c r="P151" s="304"/>
      <c r="Q151" s="300"/>
      <c r="R151" s="300"/>
      <c r="S151" s="300"/>
      <c r="T151" s="300"/>
      <c r="U151" s="300"/>
      <c r="V151" s="300"/>
      <c r="W151" s="301"/>
      <c r="X151" s="301"/>
      <c r="Y151" s="301"/>
      <c r="Z151" s="301"/>
      <c r="AA151" s="301"/>
      <c r="AB151" s="301"/>
      <c r="AC151" s="301"/>
      <c r="AD151" s="301"/>
      <c r="AE151" s="300"/>
    </row>
    <row r="152" spans="3:31">
      <c r="C152" s="300"/>
      <c r="D152" s="300"/>
      <c r="E152" s="300"/>
      <c r="F152" s="300"/>
      <c r="G152" s="300"/>
      <c r="H152" s="300"/>
      <c r="I152" s="300"/>
      <c r="J152" s="300"/>
      <c r="K152" s="300"/>
      <c r="L152" s="300"/>
      <c r="M152" s="301"/>
      <c r="N152" s="302"/>
      <c r="O152" s="303"/>
      <c r="P152" s="304"/>
      <c r="Q152" s="300"/>
      <c r="R152" s="300"/>
      <c r="S152" s="300"/>
      <c r="T152" s="300"/>
      <c r="U152" s="300"/>
      <c r="V152" s="300"/>
      <c r="W152" s="301"/>
      <c r="X152" s="301"/>
      <c r="Y152" s="301"/>
      <c r="Z152" s="301"/>
      <c r="AA152" s="301"/>
      <c r="AB152" s="301"/>
      <c r="AC152" s="301"/>
      <c r="AD152" s="301"/>
      <c r="AE152" s="300"/>
    </row>
    <row r="153" spans="3:31">
      <c r="C153" s="300"/>
      <c r="D153" s="300"/>
      <c r="E153" s="300"/>
      <c r="F153" s="300"/>
      <c r="G153" s="300"/>
      <c r="H153" s="300"/>
      <c r="I153" s="300"/>
      <c r="J153" s="300"/>
      <c r="K153" s="300"/>
      <c r="L153" s="300"/>
      <c r="M153" s="301"/>
      <c r="N153" s="302"/>
      <c r="O153" s="303"/>
      <c r="P153" s="304"/>
      <c r="Q153" s="300"/>
      <c r="R153" s="300"/>
      <c r="S153" s="300"/>
      <c r="T153" s="300"/>
      <c r="U153" s="300"/>
      <c r="V153" s="300"/>
      <c r="W153" s="301"/>
      <c r="X153" s="301"/>
      <c r="Y153" s="301"/>
      <c r="Z153" s="301"/>
      <c r="AA153" s="301"/>
      <c r="AB153" s="301"/>
      <c r="AC153" s="301"/>
      <c r="AD153" s="301"/>
      <c r="AE153" s="300"/>
    </row>
    <row r="154" spans="3:31">
      <c r="C154" s="300"/>
      <c r="D154" s="300"/>
      <c r="E154" s="300"/>
      <c r="F154" s="300"/>
      <c r="G154" s="300"/>
      <c r="H154" s="300"/>
      <c r="I154" s="300"/>
      <c r="J154" s="300"/>
      <c r="K154" s="300"/>
      <c r="L154" s="300"/>
      <c r="M154" s="301"/>
      <c r="N154" s="302"/>
      <c r="O154" s="303"/>
      <c r="P154" s="304"/>
      <c r="Q154" s="300"/>
      <c r="R154" s="300"/>
      <c r="S154" s="300"/>
      <c r="T154" s="300"/>
      <c r="U154" s="300"/>
      <c r="V154" s="300"/>
      <c r="W154" s="301"/>
      <c r="X154" s="301"/>
      <c r="Y154" s="301"/>
      <c r="Z154" s="301"/>
      <c r="AA154" s="301"/>
      <c r="AB154" s="301"/>
      <c r="AC154" s="301"/>
      <c r="AD154" s="301"/>
      <c r="AE154" s="300"/>
    </row>
    <row r="155" spans="3:31">
      <c r="C155" s="300"/>
      <c r="D155" s="300"/>
      <c r="E155" s="300"/>
      <c r="F155" s="300"/>
      <c r="G155" s="300"/>
      <c r="H155" s="300"/>
      <c r="I155" s="300"/>
      <c r="J155" s="300"/>
      <c r="K155" s="300"/>
      <c r="L155" s="300"/>
      <c r="M155" s="301"/>
      <c r="N155" s="302"/>
      <c r="O155" s="303"/>
      <c r="P155" s="304"/>
      <c r="Q155" s="300"/>
      <c r="R155" s="300"/>
      <c r="S155" s="300"/>
      <c r="T155" s="300"/>
      <c r="U155" s="300"/>
      <c r="V155" s="300"/>
      <c r="W155" s="301"/>
      <c r="X155" s="301"/>
      <c r="Y155" s="301"/>
      <c r="Z155" s="301"/>
      <c r="AA155" s="301"/>
      <c r="AB155" s="301"/>
      <c r="AC155" s="301"/>
      <c r="AD155" s="301"/>
      <c r="AE155" s="300"/>
    </row>
    <row r="156" spans="3:31">
      <c r="C156" s="300"/>
      <c r="D156" s="300"/>
      <c r="E156" s="300"/>
      <c r="F156" s="300"/>
      <c r="G156" s="300"/>
      <c r="H156" s="300"/>
      <c r="I156" s="300"/>
      <c r="J156" s="300"/>
      <c r="K156" s="300"/>
      <c r="L156" s="300"/>
      <c r="M156" s="301"/>
      <c r="N156" s="302"/>
      <c r="O156" s="303"/>
      <c r="P156" s="304"/>
      <c r="Q156" s="300"/>
      <c r="R156" s="300"/>
      <c r="S156" s="300"/>
      <c r="T156" s="300"/>
      <c r="U156" s="300"/>
      <c r="V156" s="300"/>
      <c r="W156" s="301"/>
      <c r="X156" s="301"/>
      <c r="Y156" s="301"/>
      <c r="Z156" s="301"/>
      <c r="AA156" s="301"/>
      <c r="AB156" s="301"/>
      <c r="AC156" s="301"/>
      <c r="AD156" s="301"/>
      <c r="AE156" s="300"/>
    </row>
    <row r="157" spans="3:31">
      <c r="C157" s="300"/>
      <c r="D157" s="300"/>
      <c r="E157" s="300"/>
      <c r="F157" s="300"/>
      <c r="G157" s="300"/>
      <c r="H157" s="300"/>
      <c r="I157" s="300"/>
      <c r="J157" s="300"/>
      <c r="K157" s="300"/>
      <c r="L157" s="300"/>
      <c r="M157" s="301"/>
      <c r="N157" s="302"/>
      <c r="O157" s="303"/>
      <c r="P157" s="304"/>
      <c r="Q157" s="300"/>
      <c r="R157" s="300"/>
      <c r="S157" s="300"/>
      <c r="T157" s="300"/>
      <c r="U157" s="300"/>
      <c r="V157" s="300"/>
      <c r="W157" s="301"/>
      <c r="X157" s="301"/>
      <c r="Y157" s="301"/>
      <c r="Z157" s="301"/>
      <c r="AA157" s="301"/>
      <c r="AB157" s="301"/>
      <c r="AC157" s="301"/>
      <c r="AD157" s="301"/>
      <c r="AE157" s="300"/>
    </row>
    <row r="158" spans="3:31">
      <c r="C158" s="300"/>
      <c r="D158" s="300"/>
      <c r="E158" s="300"/>
      <c r="F158" s="300"/>
      <c r="G158" s="300"/>
      <c r="H158" s="300"/>
      <c r="I158" s="300"/>
      <c r="J158" s="300"/>
      <c r="K158" s="300"/>
      <c r="L158" s="300"/>
      <c r="M158" s="301"/>
      <c r="N158" s="302"/>
      <c r="O158" s="303"/>
      <c r="P158" s="304"/>
      <c r="Q158" s="300"/>
      <c r="R158" s="300"/>
      <c r="S158" s="300"/>
      <c r="T158" s="300"/>
      <c r="U158" s="300"/>
      <c r="V158" s="300"/>
      <c r="W158" s="301"/>
      <c r="X158" s="301"/>
      <c r="Y158" s="301"/>
      <c r="Z158" s="301"/>
      <c r="AA158" s="301"/>
      <c r="AB158" s="301"/>
      <c r="AC158" s="301"/>
      <c r="AD158" s="301"/>
      <c r="AE158" s="300"/>
    </row>
    <row r="159" spans="3:31">
      <c r="C159" s="300"/>
      <c r="D159" s="300"/>
      <c r="E159" s="300"/>
      <c r="F159" s="300"/>
      <c r="G159" s="300"/>
      <c r="H159" s="300"/>
      <c r="I159" s="300"/>
      <c r="J159" s="300"/>
      <c r="K159" s="300"/>
      <c r="L159" s="300"/>
      <c r="M159" s="301"/>
      <c r="N159" s="302"/>
      <c r="O159" s="303"/>
      <c r="P159" s="304"/>
      <c r="Q159" s="300"/>
      <c r="R159" s="300"/>
      <c r="S159" s="300"/>
      <c r="T159" s="300"/>
      <c r="U159" s="300"/>
      <c r="V159" s="300"/>
      <c r="W159" s="301"/>
      <c r="X159" s="301"/>
      <c r="Y159" s="301"/>
      <c r="Z159" s="301"/>
      <c r="AA159" s="301"/>
      <c r="AB159" s="301"/>
      <c r="AC159" s="301"/>
      <c r="AD159" s="301"/>
      <c r="AE159" s="300"/>
    </row>
    <row r="160" spans="3:31">
      <c r="C160" s="300"/>
      <c r="D160" s="300"/>
      <c r="E160" s="300"/>
      <c r="F160" s="300"/>
      <c r="G160" s="300"/>
      <c r="H160" s="300"/>
      <c r="I160" s="300"/>
      <c r="J160" s="300"/>
      <c r="K160" s="300"/>
      <c r="L160" s="300"/>
      <c r="M160" s="301"/>
      <c r="N160" s="302"/>
      <c r="O160" s="303"/>
      <c r="P160" s="304"/>
      <c r="Q160" s="300"/>
      <c r="R160" s="300"/>
      <c r="S160" s="300"/>
      <c r="T160" s="300"/>
      <c r="U160" s="300"/>
      <c r="V160" s="300"/>
      <c r="W160" s="301"/>
      <c r="X160" s="301"/>
      <c r="Y160" s="301"/>
      <c r="Z160" s="301"/>
      <c r="AA160" s="301"/>
      <c r="AB160" s="301"/>
      <c r="AC160" s="301"/>
      <c r="AD160" s="301"/>
      <c r="AE160" s="300"/>
    </row>
    <row r="161" spans="3:31">
      <c r="C161" s="300"/>
      <c r="D161" s="300"/>
      <c r="E161" s="300"/>
      <c r="F161" s="300"/>
      <c r="G161" s="300"/>
      <c r="H161" s="300"/>
      <c r="I161" s="300"/>
      <c r="J161" s="300"/>
      <c r="K161" s="300"/>
      <c r="L161" s="300"/>
      <c r="M161" s="301"/>
      <c r="N161" s="302"/>
      <c r="O161" s="303"/>
      <c r="P161" s="304"/>
      <c r="Q161" s="300"/>
      <c r="R161" s="300"/>
      <c r="S161" s="300"/>
      <c r="T161" s="300"/>
      <c r="U161" s="300"/>
      <c r="V161" s="300"/>
      <c r="W161" s="301"/>
      <c r="X161" s="301"/>
      <c r="Y161" s="301"/>
      <c r="Z161" s="301"/>
      <c r="AA161" s="301"/>
      <c r="AB161" s="301"/>
      <c r="AC161" s="301"/>
      <c r="AD161" s="301"/>
      <c r="AE161" s="300"/>
    </row>
    <row r="162" spans="3:31">
      <c r="C162" s="300"/>
      <c r="D162" s="300"/>
      <c r="E162" s="300"/>
      <c r="F162" s="300"/>
      <c r="G162" s="300"/>
      <c r="H162" s="300"/>
      <c r="I162" s="300"/>
      <c r="J162" s="300"/>
      <c r="K162" s="300"/>
      <c r="L162" s="300"/>
      <c r="M162" s="301"/>
      <c r="N162" s="302"/>
      <c r="O162" s="303"/>
      <c r="P162" s="304"/>
      <c r="Q162" s="300"/>
      <c r="R162" s="300"/>
      <c r="S162" s="300"/>
      <c r="T162" s="300"/>
      <c r="U162" s="300"/>
      <c r="V162" s="300"/>
      <c r="W162" s="301"/>
      <c r="X162" s="301"/>
      <c r="Y162" s="301"/>
      <c r="Z162" s="301"/>
      <c r="AA162" s="301"/>
      <c r="AB162" s="301"/>
      <c r="AC162" s="301"/>
      <c r="AD162" s="301"/>
      <c r="AE162" s="300"/>
    </row>
    <row r="163" spans="3:31">
      <c r="C163" s="300"/>
      <c r="D163" s="300"/>
      <c r="E163" s="300"/>
      <c r="F163" s="300"/>
      <c r="G163" s="300"/>
      <c r="H163" s="300"/>
      <c r="I163" s="300"/>
      <c r="J163" s="300"/>
      <c r="K163" s="300"/>
      <c r="L163" s="300"/>
      <c r="M163" s="301"/>
      <c r="N163" s="302"/>
      <c r="O163" s="303"/>
      <c r="P163" s="304"/>
      <c r="Q163" s="300"/>
      <c r="R163" s="300"/>
      <c r="S163" s="300"/>
      <c r="T163" s="300"/>
      <c r="U163" s="300"/>
      <c r="V163" s="300"/>
      <c r="W163" s="301"/>
      <c r="X163" s="301"/>
      <c r="Y163" s="301"/>
      <c r="Z163" s="301"/>
      <c r="AA163" s="301"/>
      <c r="AB163" s="301"/>
      <c r="AC163" s="301"/>
      <c r="AD163" s="301"/>
      <c r="AE163" s="300"/>
    </row>
    <row r="164" spans="3:31">
      <c r="C164" s="300"/>
      <c r="D164" s="300"/>
      <c r="E164" s="300"/>
      <c r="F164" s="300"/>
      <c r="G164" s="300"/>
      <c r="H164" s="300"/>
      <c r="I164" s="300"/>
      <c r="J164" s="300"/>
      <c r="K164" s="300"/>
      <c r="L164" s="300"/>
      <c r="M164" s="301"/>
      <c r="N164" s="302"/>
      <c r="O164" s="303"/>
      <c r="P164" s="304"/>
      <c r="Q164" s="300"/>
      <c r="R164" s="300"/>
      <c r="S164" s="300"/>
      <c r="T164" s="300"/>
      <c r="U164" s="300"/>
      <c r="V164" s="300"/>
      <c r="W164" s="301"/>
      <c r="X164" s="301"/>
      <c r="Y164" s="301"/>
      <c r="Z164" s="301"/>
      <c r="AA164" s="301"/>
      <c r="AB164" s="301"/>
      <c r="AC164" s="301"/>
      <c r="AD164" s="301"/>
      <c r="AE164" s="300"/>
    </row>
    <row r="165" spans="3:31">
      <c r="C165" s="300"/>
      <c r="D165" s="300"/>
      <c r="E165" s="300"/>
      <c r="F165" s="300"/>
      <c r="G165" s="300"/>
      <c r="H165" s="300"/>
      <c r="I165" s="300"/>
      <c r="J165" s="300"/>
      <c r="K165" s="300"/>
      <c r="L165" s="300"/>
      <c r="M165" s="301"/>
      <c r="N165" s="302"/>
      <c r="O165" s="303"/>
      <c r="P165" s="304"/>
      <c r="Q165" s="300"/>
      <c r="R165" s="300"/>
      <c r="S165" s="300"/>
      <c r="T165" s="300"/>
      <c r="U165" s="300"/>
      <c r="V165" s="300"/>
      <c r="W165" s="301"/>
      <c r="X165" s="301"/>
      <c r="Y165" s="301"/>
      <c r="Z165" s="301"/>
      <c r="AA165" s="301"/>
      <c r="AB165" s="301"/>
      <c r="AC165" s="301"/>
      <c r="AD165" s="301"/>
      <c r="AE165" s="300"/>
    </row>
    <row r="166" spans="3:31">
      <c r="C166" s="300"/>
      <c r="D166" s="300"/>
      <c r="E166" s="300"/>
      <c r="F166" s="300"/>
      <c r="G166" s="300"/>
      <c r="H166" s="300"/>
      <c r="I166" s="300"/>
      <c r="J166" s="300"/>
      <c r="K166" s="300"/>
      <c r="L166" s="300"/>
      <c r="M166" s="301"/>
      <c r="N166" s="302"/>
      <c r="O166" s="303"/>
      <c r="P166" s="304"/>
      <c r="Q166" s="300"/>
      <c r="R166" s="300"/>
      <c r="S166" s="300"/>
      <c r="T166" s="300"/>
      <c r="U166" s="300"/>
      <c r="V166" s="300"/>
      <c r="W166" s="301"/>
      <c r="X166" s="301"/>
      <c r="Y166" s="301"/>
      <c r="Z166" s="301"/>
      <c r="AA166" s="301"/>
      <c r="AB166" s="301"/>
      <c r="AC166" s="301"/>
      <c r="AD166" s="301"/>
      <c r="AE166" s="300"/>
    </row>
    <row r="167" spans="3:31">
      <c r="C167" s="300"/>
      <c r="D167" s="300"/>
      <c r="E167" s="300"/>
      <c r="F167" s="300"/>
      <c r="G167" s="300"/>
      <c r="H167" s="300"/>
      <c r="I167" s="300"/>
      <c r="J167" s="300"/>
      <c r="K167" s="300"/>
      <c r="L167" s="300"/>
      <c r="M167" s="301"/>
      <c r="N167" s="302"/>
      <c r="O167" s="303"/>
      <c r="P167" s="304"/>
      <c r="Q167" s="300"/>
      <c r="R167" s="300"/>
      <c r="S167" s="300"/>
      <c r="T167" s="300"/>
      <c r="U167" s="300"/>
      <c r="V167" s="300"/>
      <c r="W167" s="301"/>
      <c r="X167" s="301"/>
      <c r="Y167" s="301"/>
      <c r="Z167" s="301"/>
      <c r="AA167" s="301"/>
      <c r="AB167" s="301"/>
      <c r="AC167" s="301"/>
      <c r="AD167" s="301"/>
      <c r="AE167" s="300"/>
    </row>
    <row r="168" spans="3:31">
      <c r="C168" s="300"/>
      <c r="D168" s="300"/>
      <c r="E168" s="300"/>
      <c r="F168" s="300"/>
      <c r="G168" s="300"/>
      <c r="H168" s="300"/>
      <c r="I168" s="300"/>
      <c r="J168" s="300"/>
      <c r="K168" s="300"/>
      <c r="L168" s="300"/>
      <c r="M168" s="301"/>
      <c r="N168" s="302"/>
      <c r="O168" s="303"/>
      <c r="P168" s="304"/>
      <c r="Q168" s="300"/>
      <c r="R168" s="300"/>
      <c r="S168" s="300"/>
      <c r="T168" s="300"/>
      <c r="U168" s="300"/>
      <c r="V168" s="300"/>
      <c r="W168" s="301"/>
      <c r="X168" s="301"/>
      <c r="Y168" s="301"/>
      <c r="Z168" s="301"/>
      <c r="AA168" s="301"/>
      <c r="AB168" s="301"/>
      <c r="AC168" s="301"/>
      <c r="AD168" s="301"/>
      <c r="AE168" s="300"/>
    </row>
    <row r="169" spans="3:31">
      <c r="C169" s="300"/>
      <c r="D169" s="300"/>
      <c r="E169" s="300"/>
      <c r="F169" s="300"/>
      <c r="G169" s="300"/>
      <c r="H169" s="300"/>
      <c r="I169" s="300"/>
      <c r="J169" s="300"/>
      <c r="K169" s="300"/>
      <c r="L169" s="300"/>
      <c r="M169" s="301"/>
      <c r="N169" s="302"/>
      <c r="O169" s="303"/>
      <c r="P169" s="304"/>
      <c r="Q169" s="300"/>
      <c r="R169" s="300"/>
      <c r="S169" s="300"/>
      <c r="T169" s="300"/>
      <c r="U169" s="300"/>
      <c r="V169" s="300"/>
      <c r="W169" s="301"/>
      <c r="X169" s="301"/>
      <c r="Y169" s="301"/>
      <c r="Z169" s="301"/>
      <c r="AA169" s="301"/>
      <c r="AB169" s="301"/>
      <c r="AC169" s="301"/>
      <c r="AD169" s="301"/>
      <c r="AE169" s="300"/>
    </row>
    <row r="170" spans="3:31">
      <c r="C170" s="300"/>
      <c r="D170" s="300"/>
      <c r="E170" s="300"/>
      <c r="F170" s="300"/>
      <c r="G170" s="300"/>
      <c r="H170" s="300"/>
      <c r="I170" s="300"/>
      <c r="J170" s="300"/>
      <c r="K170" s="300"/>
      <c r="L170" s="300"/>
      <c r="M170" s="301"/>
      <c r="N170" s="302"/>
      <c r="O170" s="303"/>
      <c r="P170" s="304"/>
      <c r="Q170" s="300"/>
      <c r="R170" s="300"/>
      <c r="S170" s="300"/>
      <c r="T170" s="300"/>
      <c r="U170" s="300"/>
      <c r="V170" s="300"/>
      <c r="W170" s="301"/>
      <c r="X170" s="301"/>
      <c r="Y170" s="301"/>
      <c r="Z170" s="301"/>
      <c r="AA170" s="301"/>
      <c r="AB170" s="301"/>
      <c r="AC170" s="301"/>
      <c r="AD170" s="301"/>
      <c r="AE170" s="300"/>
    </row>
    <row r="171" spans="3:31">
      <c r="C171" s="300"/>
      <c r="D171" s="300"/>
      <c r="E171" s="300"/>
      <c r="F171" s="300"/>
      <c r="G171" s="300"/>
      <c r="H171" s="300"/>
      <c r="I171" s="300"/>
      <c r="J171" s="300"/>
      <c r="K171" s="300"/>
      <c r="L171" s="300"/>
      <c r="M171" s="301"/>
      <c r="N171" s="302"/>
      <c r="O171" s="303"/>
      <c r="P171" s="304"/>
      <c r="Q171" s="300"/>
      <c r="R171" s="300"/>
      <c r="S171" s="300"/>
      <c r="T171" s="300"/>
      <c r="U171" s="300"/>
      <c r="V171" s="300"/>
      <c r="W171" s="301"/>
      <c r="X171" s="301"/>
      <c r="Y171" s="301"/>
      <c r="Z171" s="301"/>
      <c r="AA171" s="301"/>
      <c r="AB171" s="301"/>
      <c r="AC171" s="301"/>
      <c r="AD171" s="301"/>
      <c r="AE171" s="300"/>
    </row>
    <row r="172" spans="3:31">
      <c r="C172" s="300"/>
      <c r="D172" s="300"/>
      <c r="E172" s="300"/>
      <c r="F172" s="300"/>
      <c r="G172" s="300"/>
      <c r="H172" s="300"/>
      <c r="I172" s="300"/>
      <c r="J172" s="300"/>
      <c r="K172" s="300"/>
      <c r="L172" s="300"/>
      <c r="M172" s="301"/>
      <c r="N172" s="302"/>
      <c r="O172" s="303"/>
      <c r="P172" s="304"/>
      <c r="Q172" s="300"/>
      <c r="R172" s="300"/>
      <c r="S172" s="300"/>
      <c r="T172" s="300"/>
      <c r="U172" s="300"/>
      <c r="V172" s="300"/>
      <c r="W172" s="301"/>
      <c r="X172" s="301"/>
      <c r="Y172" s="301"/>
      <c r="Z172" s="301"/>
      <c r="AA172" s="301"/>
      <c r="AB172" s="301"/>
      <c r="AC172" s="301"/>
      <c r="AD172" s="301"/>
      <c r="AE172" s="300"/>
    </row>
    <row r="173" spans="3:31">
      <c r="C173" s="300"/>
      <c r="D173" s="300"/>
      <c r="E173" s="300"/>
      <c r="F173" s="300"/>
      <c r="G173" s="300"/>
      <c r="H173" s="300"/>
      <c r="I173" s="300"/>
      <c r="J173" s="300"/>
      <c r="K173" s="300"/>
      <c r="L173" s="300"/>
      <c r="M173" s="301"/>
      <c r="N173" s="302"/>
      <c r="O173" s="303"/>
      <c r="P173" s="304"/>
      <c r="Q173" s="300"/>
      <c r="R173" s="300"/>
      <c r="S173" s="300"/>
      <c r="T173" s="300"/>
      <c r="U173" s="300"/>
      <c r="V173" s="300"/>
      <c r="W173" s="301"/>
      <c r="X173" s="301"/>
      <c r="Y173" s="301"/>
      <c r="Z173" s="301"/>
      <c r="AA173" s="301"/>
      <c r="AB173" s="301"/>
      <c r="AC173" s="301"/>
      <c r="AD173" s="301"/>
      <c r="AE173" s="300"/>
    </row>
    <row r="174" spans="3:31">
      <c r="C174" s="300"/>
      <c r="D174" s="300"/>
      <c r="E174" s="300"/>
      <c r="F174" s="300"/>
      <c r="G174" s="300"/>
      <c r="H174" s="300"/>
      <c r="I174" s="300"/>
      <c r="J174" s="300"/>
      <c r="K174" s="300"/>
      <c r="L174" s="300"/>
      <c r="M174" s="301"/>
      <c r="N174" s="302"/>
      <c r="O174" s="303"/>
      <c r="P174" s="304"/>
      <c r="Q174" s="300"/>
      <c r="R174" s="300"/>
      <c r="S174" s="300"/>
      <c r="T174" s="300"/>
      <c r="U174" s="300"/>
      <c r="V174" s="300"/>
      <c r="W174" s="301"/>
      <c r="X174" s="301"/>
      <c r="Y174" s="301"/>
      <c r="Z174" s="301"/>
      <c r="AA174" s="301"/>
      <c r="AB174" s="301"/>
      <c r="AC174" s="301"/>
      <c r="AD174" s="301"/>
      <c r="AE174" s="300"/>
    </row>
    <row r="175" spans="3:31">
      <c r="C175" s="300"/>
      <c r="D175" s="300"/>
      <c r="E175" s="300"/>
      <c r="F175" s="300"/>
      <c r="G175" s="300"/>
      <c r="H175" s="300"/>
      <c r="I175" s="300"/>
      <c r="J175" s="300"/>
      <c r="K175" s="300"/>
      <c r="L175" s="300"/>
      <c r="M175" s="301"/>
      <c r="N175" s="302"/>
      <c r="O175" s="303"/>
      <c r="P175" s="304"/>
      <c r="Q175" s="300"/>
      <c r="R175" s="300"/>
      <c r="S175" s="300"/>
      <c r="T175" s="300"/>
      <c r="U175" s="300"/>
      <c r="V175" s="300"/>
      <c r="W175" s="301"/>
      <c r="X175" s="301"/>
      <c r="Y175" s="301"/>
      <c r="Z175" s="301"/>
      <c r="AA175" s="301"/>
      <c r="AB175" s="301"/>
      <c r="AC175" s="301"/>
      <c r="AD175" s="301"/>
      <c r="AE175" s="300"/>
    </row>
    <row r="176" spans="3:31">
      <c r="C176" s="300"/>
      <c r="D176" s="300"/>
      <c r="E176" s="300"/>
      <c r="F176" s="300"/>
      <c r="G176" s="300"/>
      <c r="H176" s="300"/>
      <c r="I176" s="300"/>
      <c r="J176" s="300"/>
      <c r="K176" s="300"/>
      <c r="L176" s="300"/>
      <c r="M176" s="301"/>
      <c r="N176" s="302"/>
      <c r="O176" s="303"/>
      <c r="P176" s="304"/>
      <c r="Q176" s="300"/>
      <c r="R176" s="300"/>
      <c r="S176" s="300"/>
      <c r="T176" s="300"/>
      <c r="U176" s="300"/>
      <c r="V176" s="300"/>
      <c r="W176" s="301"/>
      <c r="X176" s="301"/>
      <c r="Y176" s="301"/>
      <c r="Z176" s="301"/>
      <c r="AA176" s="301"/>
      <c r="AB176" s="301"/>
      <c r="AC176" s="301"/>
      <c r="AD176" s="301"/>
      <c r="AE176" s="300"/>
    </row>
    <row r="177" spans="3:31">
      <c r="C177" s="300"/>
      <c r="D177" s="300"/>
      <c r="E177" s="300"/>
      <c r="F177" s="300"/>
      <c r="G177" s="300"/>
      <c r="H177" s="300"/>
      <c r="I177" s="300"/>
      <c r="J177" s="300"/>
      <c r="K177" s="300"/>
      <c r="L177" s="300"/>
      <c r="M177" s="301"/>
      <c r="N177" s="302"/>
      <c r="O177" s="303"/>
      <c r="P177" s="304"/>
      <c r="Q177" s="300"/>
      <c r="R177" s="300"/>
      <c r="S177" s="300"/>
      <c r="T177" s="300"/>
      <c r="U177" s="300"/>
      <c r="V177" s="300"/>
      <c r="W177" s="301"/>
      <c r="X177" s="301"/>
      <c r="Y177" s="301"/>
      <c r="Z177" s="301"/>
      <c r="AA177" s="301"/>
      <c r="AB177" s="301"/>
      <c r="AC177" s="301"/>
      <c r="AD177" s="301"/>
      <c r="AE177" s="300"/>
    </row>
    <row r="178" spans="3:31">
      <c r="C178" s="300"/>
      <c r="D178" s="300"/>
      <c r="E178" s="300"/>
      <c r="F178" s="300"/>
      <c r="G178" s="300"/>
      <c r="H178" s="300"/>
      <c r="I178" s="300"/>
      <c r="J178" s="300"/>
      <c r="K178" s="300"/>
      <c r="L178" s="300"/>
      <c r="M178" s="301"/>
      <c r="N178" s="302"/>
      <c r="O178" s="303"/>
      <c r="P178" s="304"/>
      <c r="Q178" s="300"/>
      <c r="R178" s="300"/>
      <c r="S178" s="300"/>
      <c r="T178" s="300"/>
      <c r="U178" s="300"/>
      <c r="V178" s="300"/>
      <c r="W178" s="301"/>
      <c r="X178" s="301"/>
      <c r="Y178" s="301"/>
      <c r="Z178" s="301"/>
      <c r="AA178" s="301"/>
      <c r="AB178" s="301"/>
      <c r="AC178" s="301"/>
      <c r="AD178" s="301"/>
      <c r="AE178" s="300"/>
    </row>
    <row r="179" spans="3:31">
      <c r="C179" s="300"/>
      <c r="D179" s="300"/>
      <c r="E179" s="300"/>
      <c r="F179" s="300"/>
      <c r="G179" s="300"/>
      <c r="H179" s="300"/>
      <c r="I179" s="300"/>
      <c r="J179" s="300"/>
      <c r="K179" s="300"/>
      <c r="L179" s="300"/>
      <c r="M179" s="301"/>
      <c r="N179" s="302"/>
      <c r="O179" s="303"/>
      <c r="P179" s="304"/>
      <c r="Q179" s="300"/>
      <c r="R179" s="300"/>
      <c r="S179" s="300"/>
      <c r="T179" s="300"/>
      <c r="U179" s="300"/>
      <c r="V179" s="300"/>
      <c r="W179" s="301"/>
      <c r="X179" s="301"/>
      <c r="Y179" s="301"/>
      <c r="Z179" s="301"/>
      <c r="AA179" s="301"/>
      <c r="AB179" s="301"/>
      <c r="AC179" s="301"/>
      <c r="AD179" s="301"/>
      <c r="AE179" s="300"/>
    </row>
    <row r="180" spans="3:31">
      <c r="C180" s="300"/>
      <c r="D180" s="300"/>
      <c r="E180" s="300"/>
      <c r="F180" s="300"/>
      <c r="G180" s="300"/>
      <c r="H180" s="300"/>
      <c r="I180" s="300"/>
      <c r="J180" s="300"/>
      <c r="K180" s="300"/>
      <c r="L180" s="300"/>
      <c r="M180" s="301"/>
      <c r="N180" s="302"/>
      <c r="O180" s="303"/>
      <c r="P180" s="304"/>
      <c r="Q180" s="300"/>
      <c r="R180" s="300"/>
      <c r="S180" s="300"/>
      <c r="T180" s="300"/>
      <c r="U180" s="300"/>
      <c r="V180" s="300"/>
      <c r="W180" s="301"/>
      <c r="X180" s="301"/>
      <c r="Y180" s="301"/>
      <c r="Z180" s="301"/>
      <c r="AA180" s="301"/>
      <c r="AB180" s="301"/>
      <c r="AC180" s="301"/>
      <c r="AD180" s="301"/>
      <c r="AE180" s="300"/>
    </row>
    <row r="181" spans="3:31">
      <c r="C181" s="300"/>
      <c r="D181" s="300"/>
      <c r="E181" s="300"/>
      <c r="F181" s="300"/>
      <c r="G181" s="300"/>
      <c r="H181" s="300"/>
      <c r="I181" s="300"/>
      <c r="J181" s="300"/>
      <c r="K181" s="300"/>
      <c r="L181" s="300"/>
      <c r="M181" s="301"/>
      <c r="N181" s="302"/>
      <c r="O181" s="303"/>
      <c r="P181" s="304"/>
      <c r="Q181" s="300"/>
      <c r="R181" s="300"/>
      <c r="S181" s="300"/>
      <c r="T181" s="300"/>
      <c r="U181" s="300"/>
      <c r="V181" s="300"/>
      <c r="W181" s="301"/>
      <c r="X181" s="301"/>
      <c r="Y181" s="301"/>
      <c r="Z181" s="301"/>
      <c r="AA181" s="301"/>
      <c r="AB181" s="301"/>
      <c r="AC181" s="301"/>
      <c r="AD181" s="301"/>
      <c r="AE181" s="300"/>
    </row>
    <row r="182" spans="3:31">
      <c r="C182" s="300"/>
      <c r="D182" s="300"/>
      <c r="E182" s="300"/>
      <c r="F182" s="300"/>
      <c r="G182" s="300"/>
      <c r="H182" s="300"/>
      <c r="I182" s="300"/>
      <c r="J182" s="300"/>
      <c r="K182" s="300"/>
      <c r="L182" s="300"/>
      <c r="M182" s="301"/>
      <c r="N182" s="302"/>
      <c r="O182" s="303"/>
      <c r="P182" s="304"/>
      <c r="Q182" s="300"/>
      <c r="R182" s="300"/>
      <c r="S182" s="300"/>
      <c r="T182" s="300"/>
      <c r="U182" s="300"/>
      <c r="V182" s="300"/>
      <c r="W182" s="301"/>
      <c r="X182" s="301"/>
      <c r="Y182" s="301"/>
      <c r="Z182" s="301"/>
      <c r="AA182" s="301"/>
      <c r="AB182" s="301"/>
      <c r="AC182" s="301"/>
      <c r="AD182" s="301"/>
      <c r="AE182" s="300"/>
    </row>
    <row r="183" spans="3:31">
      <c r="C183" s="300"/>
      <c r="D183" s="300"/>
      <c r="E183" s="300"/>
      <c r="F183" s="300"/>
      <c r="G183" s="300"/>
      <c r="H183" s="300"/>
      <c r="I183" s="300"/>
      <c r="J183" s="300"/>
      <c r="K183" s="300"/>
      <c r="L183" s="300"/>
      <c r="M183" s="301"/>
      <c r="N183" s="302"/>
      <c r="O183" s="303"/>
      <c r="P183" s="304"/>
      <c r="Q183" s="300"/>
      <c r="R183" s="300"/>
      <c r="S183" s="300"/>
      <c r="T183" s="300"/>
      <c r="U183" s="300"/>
      <c r="V183" s="300"/>
      <c r="W183" s="301"/>
      <c r="X183" s="301"/>
      <c r="Y183" s="301"/>
      <c r="Z183" s="301"/>
      <c r="AA183" s="301"/>
      <c r="AB183" s="301"/>
      <c r="AC183" s="301"/>
      <c r="AD183" s="301"/>
      <c r="AE183" s="300"/>
    </row>
    <row r="184" spans="3:31">
      <c r="C184" s="300"/>
      <c r="D184" s="300"/>
      <c r="E184" s="300"/>
      <c r="F184" s="300"/>
      <c r="G184" s="300"/>
      <c r="H184" s="300"/>
      <c r="I184" s="300"/>
      <c r="J184" s="300"/>
      <c r="K184" s="300"/>
      <c r="L184" s="300"/>
      <c r="M184" s="301"/>
      <c r="N184" s="302"/>
      <c r="O184" s="303"/>
      <c r="P184" s="304"/>
      <c r="Q184" s="300"/>
      <c r="R184" s="300"/>
      <c r="S184" s="300"/>
      <c r="T184" s="300"/>
      <c r="U184" s="300"/>
      <c r="V184" s="300"/>
      <c r="W184" s="301"/>
      <c r="X184" s="301"/>
      <c r="Y184" s="301"/>
      <c r="Z184" s="301"/>
      <c r="AA184" s="301"/>
      <c r="AB184" s="301"/>
      <c r="AC184" s="301"/>
      <c r="AD184" s="301"/>
      <c r="AE184" s="300"/>
    </row>
    <row r="185" spans="3:31">
      <c r="C185" s="300"/>
      <c r="D185" s="300"/>
      <c r="E185" s="300"/>
      <c r="F185" s="300"/>
      <c r="G185" s="300"/>
      <c r="H185" s="300"/>
      <c r="I185" s="300"/>
      <c r="J185" s="300"/>
      <c r="K185" s="300"/>
      <c r="L185" s="300"/>
      <c r="M185" s="301"/>
      <c r="N185" s="302"/>
      <c r="O185" s="303"/>
      <c r="P185" s="304"/>
      <c r="Q185" s="300"/>
      <c r="R185" s="300"/>
      <c r="S185" s="300"/>
      <c r="T185" s="300"/>
      <c r="U185" s="300"/>
      <c r="V185" s="300"/>
      <c r="W185" s="301"/>
      <c r="X185" s="301"/>
      <c r="Y185" s="301"/>
      <c r="Z185" s="301"/>
      <c r="AA185" s="301"/>
      <c r="AB185" s="301"/>
      <c r="AC185" s="301"/>
      <c r="AD185" s="301"/>
      <c r="AE185" s="300"/>
    </row>
    <row r="186" spans="3:31">
      <c r="C186" s="300"/>
      <c r="D186" s="300"/>
      <c r="E186" s="300"/>
      <c r="F186" s="300"/>
      <c r="G186" s="300"/>
      <c r="H186" s="300"/>
      <c r="I186" s="300"/>
      <c r="J186" s="300"/>
      <c r="K186" s="300"/>
      <c r="L186" s="300"/>
      <c r="M186" s="301"/>
      <c r="N186" s="302"/>
      <c r="O186" s="303"/>
      <c r="P186" s="304"/>
      <c r="Q186" s="300"/>
      <c r="R186" s="300"/>
      <c r="S186" s="300"/>
      <c r="T186" s="300"/>
      <c r="U186" s="300"/>
      <c r="V186" s="300"/>
      <c r="W186" s="301"/>
      <c r="X186" s="301"/>
      <c r="Y186" s="301"/>
      <c r="Z186" s="301"/>
      <c r="AA186" s="301"/>
      <c r="AB186" s="301"/>
      <c r="AC186" s="301"/>
      <c r="AD186" s="301"/>
      <c r="AE186" s="300"/>
    </row>
    <row r="187" spans="3:31">
      <c r="C187" s="300"/>
      <c r="D187" s="300"/>
      <c r="E187" s="300"/>
      <c r="F187" s="300"/>
      <c r="G187" s="300"/>
      <c r="H187" s="300"/>
      <c r="I187" s="300"/>
      <c r="J187" s="300"/>
      <c r="K187" s="300"/>
      <c r="L187" s="300"/>
      <c r="M187" s="301"/>
      <c r="N187" s="302"/>
      <c r="O187" s="303"/>
      <c r="P187" s="304"/>
      <c r="Q187" s="300"/>
      <c r="R187" s="300"/>
      <c r="S187" s="300"/>
      <c r="T187" s="300"/>
      <c r="U187" s="300"/>
      <c r="V187" s="300"/>
      <c r="W187" s="301"/>
      <c r="X187" s="301"/>
      <c r="Y187" s="301"/>
      <c r="Z187" s="301"/>
      <c r="AA187" s="301"/>
      <c r="AB187" s="301"/>
      <c r="AC187" s="301"/>
      <c r="AD187" s="301"/>
      <c r="AE187" s="300"/>
    </row>
    <row r="188" spans="3:31">
      <c r="C188" s="300"/>
      <c r="D188" s="300"/>
      <c r="E188" s="300"/>
      <c r="F188" s="300"/>
      <c r="G188" s="300"/>
      <c r="H188" s="300"/>
      <c r="I188" s="300"/>
      <c r="J188" s="300"/>
      <c r="K188" s="300"/>
      <c r="L188" s="300"/>
      <c r="M188" s="301"/>
      <c r="N188" s="302"/>
      <c r="O188" s="303"/>
      <c r="P188" s="304"/>
      <c r="Q188" s="300"/>
      <c r="R188" s="300"/>
      <c r="S188" s="300"/>
      <c r="T188" s="300"/>
      <c r="U188" s="300"/>
      <c r="V188" s="300"/>
      <c r="W188" s="301"/>
      <c r="X188" s="301"/>
      <c r="Y188" s="301"/>
      <c r="Z188" s="301"/>
      <c r="AA188" s="301"/>
      <c r="AB188" s="301"/>
      <c r="AC188" s="301"/>
      <c r="AD188" s="301"/>
      <c r="AE188" s="300"/>
    </row>
    <row r="189" spans="3:31">
      <c r="C189" s="300"/>
      <c r="D189" s="300"/>
      <c r="E189" s="300"/>
      <c r="F189" s="300"/>
      <c r="G189" s="300"/>
      <c r="H189" s="300"/>
      <c r="I189" s="300"/>
      <c r="J189" s="300"/>
      <c r="K189" s="300"/>
      <c r="L189" s="300"/>
      <c r="M189" s="301"/>
      <c r="N189" s="302"/>
      <c r="O189" s="303"/>
      <c r="P189" s="304"/>
      <c r="Q189" s="300"/>
      <c r="R189" s="300"/>
      <c r="S189" s="300"/>
      <c r="T189" s="300"/>
      <c r="U189" s="300"/>
      <c r="V189" s="300"/>
      <c r="W189" s="301"/>
      <c r="X189" s="301"/>
      <c r="Y189" s="301"/>
      <c r="Z189" s="301"/>
      <c r="AA189" s="301"/>
      <c r="AB189" s="301"/>
      <c r="AC189" s="301"/>
      <c r="AD189" s="301"/>
      <c r="AE189" s="300"/>
    </row>
    <row r="190" spans="3:31">
      <c r="C190" s="300"/>
      <c r="D190" s="300"/>
      <c r="E190" s="300"/>
      <c r="F190" s="300"/>
      <c r="G190" s="300"/>
      <c r="H190" s="300"/>
      <c r="I190" s="300"/>
      <c r="J190" s="300"/>
      <c r="K190" s="300"/>
      <c r="L190" s="300"/>
      <c r="M190" s="301"/>
      <c r="N190" s="302"/>
      <c r="O190" s="303"/>
      <c r="P190" s="304"/>
      <c r="Q190" s="300"/>
      <c r="R190" s="300"/>
      <c r="S190" s="300"/>
      <c r="T190" s="300"/>
      <c r="U190" s="300"/>
      <c r="V190" s="300"/>
      <c r="W190" s="301"/>
      <c r="X190" s="301"/>
      <c r="Y190" s="301"/>
      <c r="Z190" s="301"/>
      <c r="AA190" s="301"/>
      <c r="AB190" s="301"/>
      <c r="AC190" s="301"/>
      <c r="AD190" s="301"/>
      <c r="AE190" s="300"/>
    </row>
    <row r="191" spans="3:31">
      <c r="C191" s="300"/>
      <c r="D191" s="300"/>
      <c r="E191" s="300"/>
      <c r="F191" s="300"/>
      <c r="G191" s="300"/>
      <c r="H191" s="300"/>
      <c r="I191" s="300"/>
      <c r="J191" s="300"/>
      <c r="K191" s="300"/>
      <c r="L191" s="300"/>
      <c r="M191" s="301"/>
      <c r="N191" s="302"/>
      <c r="O191" s="303"/>
      <c r="P191" s="304"/>
      <c r="Q191" s="300"/>
      <c r="R191" s="300"/>
      <c r="S191" s="300"/>
      <c r="T191" s="300"/>
      <c r="U191" s="300"/>
      <c r="V191" s="300"/>
      <c r="W191" s="301"/>
      <c r="X191" s="301"/>
      <c r="Y191" s="301"/>
      <c r="Z191" s="301"/>
      <c r="AA191" s="301"/>
      <c r="AB191" s="301"/>
      <c r="AC191" s="301"/>
      <c r="AD191" s="301"/>
      <c r="AE191" s="300"/>
    </row>
    <row r="192" spans="3:31">
      <c r="C192" s="300"/>
      <c r="D192" s="300"/>
      <c r="E192" s="300"/>
      <c r="F192" s="300"/>
      <c r="G192" s="300"/>
      <c r="H192" s="300"/>
      <c r="I192" s="300"/>
      <c r="J192" s="300"/>
      <c r="K192" s="300"/>
      <c r="L192" s="300"/>
      <c r="M192" s="301"/>
      <c r="N192" s="302"/>
      <c r="O192" s="303"/>
      <c r="P192" s="304"/>
      <c r="Q192" s="300"/>
      <c r="R192" s="300"/>
      <c r="S192" s="300"/>
      <c r="T192" s="300"/>
      <c r="U192" s="300"/>
      <c r="V192" s="300"/>
      <c r="W192" s="301"/>
      <c r="X192" s="301"/>
      <c r="Y192" s="301"/>
      <c r="Z192" s="301"/>
      <c r="AA192" s="301"/>
      <c r="AB192" s="301"/>
      <c r="AC192" s="301"/>
      <c r="AD192" s="301"/>
      <c r="AE192" s="300"/>
    </row>
    <row r="193" spans="3:31">
      <c r="C193" s="300"/>
      <c r="D193" s="300"/>
      <c r="E193" s="300"/>
      <c r="F193" s="300"/>
      <c r="G193" s="300"/>
      <c r="H193" s="300"/>
      <c r="I193" s="300"/>
      <c r="J193" s="300"/>
      <c r="K193" s="300"/>
      <c r="L193" s="300"/>
      <c r="M193" s="301"/>
      <c r="N193" s="302"/>
      <c r="O193" s="303"/>
      <c r="P193" s="304"/>
      <c r="Q193" s="300"/>
      <c r="R193" s="300"/>
      <c r="S193" s="300"/>
      <c r="T193" s="300"/>
      <c r="U193" s="300"/>
      <c r="V193" s="300"/>
      <c r="W193" s="301"/>
      <c r="X193" s="301"/>
      <c r="Y193" s="301"/>
      <c r="Z193" s="301"/>
      <c r="AA193" s="301"/>
      <c r="AB193" s="301"/>
      <c r="AC193" s="301"/>
      <c r="AD193" s="301"/>
      <c r="AE193" s="300"/>
    </row>
    <row r="194" spans="3:31">
      <c r="C194" s="300"/>
      <c r="D194" s="300"/>
      <c r="E194" s="300"/>
      <c r="F194" s="300"/>
      <c r="G194" s="300"/>
      <c r="H194" s="300"/>
      <c r="I194" s="300"/>
      <c r="J194" s="300"/>
      <c r="K194" s="300"/>
      <c r="L194" s="300"/>
      <c r="M194" s="301"/>
      <c r="N194" s="302"/>
      <c r="O194" s="303"/>
      <c r="P194" s="304"/>
      <c r="Q194" s="300"/>
      <c r="R194" s="300"/>
      <c r="S194" s="300"/>
      <c r="T194" s="300"/>
      <c r="U194" s="300"/>
      <c r="V194" s="300"/>
      <c r="W194" s="301"/>
      <c r="X194" s="301"/>
      <c r="Y194" s="301"/>
      <c r="Z194" s="301"/>
      <c r="AA194" s="301"/>
      <c r="AB194" s="301"/>
      <c r="AC194" s="301"/>
      <c r="AD194" s="301"/>
      <c r="AE194" s="300"/>
    </row>
    <row r="195" spans="3:31">
      <c r="C195" s="300"/>
      <c r="D195" s="300"/>
      <c r="E195" s="300"/>
      <c r="F195" s="300"/>
      <c r="G195" s="300"/>
      <c r="H195" s="300"/>
      <c r="I195" s="300"/>
      <c r="J195" s="300"/>
      <c r="K195" s="300"/>
      <c r="L195" s="300"/>
      <c r="M195" s="301"/>
      <c r="N195" s="302"/>
      <c r="O195" s="303"/>
      <c r="P195" s="304"/>
      <c r="Q195" s="300"/>
      <c r="R195" s="300"/>
      <c r="S195" s="300"/>
      <c r="T195" s="300"/>
      <c r="U195" s="300"/>
      <c r="V195" s="300"/>
      <c r="W195" s="301"/>
      <c r="X195" s="301"/>
      <c r="Y195" s="301"/>
      <c r="Z195" s="301"/>
      <c r="AA195" s="301"/>
      <c r="AB195" s="301"/>
      <c r="AC195" s="301"/>
      <c r="AD195" s="301"/>
      <c r="AE195" s="300"/>
    </row>
    <row r="196" spans="3:31">
      <c r="C196" s="300"/>
      <c r="D196" s="300"/>
      <c r="E196" s="300"/>
      <c r="F196" s="300"/>
      <c r="G196" s="300"/>
      <c r="H196" s="300"/>
      <c r="I196" s="300"/>
      <c r="J196" s="300"/>
      <c r="K196" s="300"/>
      <c r="L196" s="300"/>
      <c r="M196" s="301"/>
      <c r="N196" s="302"/>
      <c r="O196" s="303"/>
      <c r="P196" s="304"/>
      <c r="Q196" s="300"/>
      <c r="R196" s="300"/>
      <c r="S196" s="300"/>
      <c r="T196" s="300"/>
      <c r="U196" s="300"/>
      <c r="V196" s="300"/>
      <c r="W196" s="301"/>
      <c r="X196" s="301"/>
      <c r="Y196" s="301"/>
      <c r="Z196" s="301"/>
      <c r="AA196" s="301"/>
      <c r="AB196" s="301"/>
      <c r="AC196" s="301"/>
      <c r="AD196" s="301"/>
      <c r="AE196" s="300"/>
    </row>
    <row r="197" spans="3:31">
      <c r="C197" s="300"/>
      <c r="D197" s="300"/>
      <c r="E197" s="300"/>
      <c r="F197" s="300"/>
      <c r="G197" s="300"/>
      <c r="H197" s="300"/>
      <c r="I197" s="300"/>
      <c r="J197" s="300"/>
      <c r="K197" s="300"/>
      <c r="L197" s="300"/>
      <c r="M197" s="301"/>
      <c r="N197" s="302"/>
      <c r="O197" s="303"/>
      <c r="P197" s="304"/>
      <c r="Q197" s="300"/>
      <c r="R197" s="300"/>
      <c r="S197" s="300"/>
      <c r="T197" s="300"/>
      <c r="U197" s="300"/>
      <c r="V197" s="300"/>
      <c r="W197" s="301"/>
      <c r="X197" s="301"/>
      <c r="Y197" s="301"/>
      <c r="Z197" s="301"/>
      <c r="AA197" s="301"/>
      <c r="AB197" s="301"/>
      <c r="AC197" s="301"/>
      <c r="AD197" s="301"/>
      <c r="AE197" s="300"/>
    </row>
    <row r="198" spans="3:31">
      <c r="C198" s="300"/>
      <c r="D198" s="300"/>
      <c r="E198" s="300"/>
      <c r="F198" s="300"/>
      <c r="G198" s="300"/>
      <c r="H198" s="300"/>
      <c r="I198" s="300"/>
      <c r="J198" s="300"/>
      <c r="K198" s="300"/>
      <c r="L198" s="300"/>
      <c r="M198" s="301"/>
      <c r="N198" s="302"/>
      <c r="O198" s="303"/>
      <c r="P198" s="304"/>
      <c r="Q198" s="300"/>
      <c r="R198" s="300"/>
      <c r="S198" s="300"/>
      <c r="T198" s="300"/>
      <c r="U198" s="300"/>
      <c r="V198" s="300"/>
      <c r="W198" s="301"/>
      <c r="X198" s="301"/>
      <c r="Y198" s="301"/>
      <c r="Z198" s="301"/>
      <c r="AA198" s="301"/>
      <c r="AB198" s="301"/>
      <c r="AC198" s="301"/>
      <c r="AD198" s="301"/>
      <c r="AE198" s="300"/>
    </row>
    <row r="199" spans="3:31">
      <c r="C199" s="300"/>
      <c r="D199" s="300"/>
      <c r="E199" s="300"/>
      <c r="F199" s="300"/>
      <c r="G199" s="300"/>
      <c r="H199" s="300"/>
      <c r="I199" s="300"/>
      <c r="J199" s="300"/>
      <c r="K199" s="300"/>
      <c r="L199" s="300"/>
      <c r="M199" s="301"/>
      <c r="N199" s="302"/>
      <c r="O199" s="303"/>
      <c r="P199" s="304"/>
      <c r="Q199" s="300"/>
      <c r="R199" s="300"/>
      <c r="S199" s="300"/>
      <c r="T199" s="300"/>
      <c r="U199" s="300"/>
      <c r="V199" s="300"/>
      <c r="W199" s="301"/>
      <c r="X199" s="301"/>
      <c r="Y199" s="301"/>
      <c r="Z199" s="301"/>
      <c r="AA199" s="301"/>
      <c r="AB199" s="301"/>
      <c r="AC199" s="301"/>
      <c r="AD199" s="301"/>
      <c r="AE199" s="300"/>
    </row>
    <row r="200" spans="3:31">
      <c r="C200" s="300"/>
      <c r="D200" s="300"/>
      <c r="E200" s="300"/>
      <c r="F200" s="300"/>
      <c r="G200" s="300"/>
      <c r="H200" s="300"/>
      <c r="I200" s="300"/>
      <c r="J200" s="300"/>
      <c r="K200" s="300"/>
      <c r="L200" s="300"/>
      <c r="M200" s="301"/>
      <c r="N200" s="302"/>
      <c r="O200" s="303"/>
      <c r="P200" s="304"/>
      <c r="Q200" s="300"/>
      <c r="R200" s="300"/>
      <c r="S200" s="300"/>
      <c r="T200" s="300"/>
      <c r="U200" s="300"/>
      <c r="V200" s="300"/>
      <c r="W200" s="301"/>
      <c r="X200" s="301"/>
      <c r="Y200" s="301"/>
      <c r="Z200" s="301"/>
      <c r="AA200" s="301"/>
      <c r="AB200" s="301"/>
      <c r="AC200" s="301"/>
      <c r="AD200" s="301"/>
      <c r="AE200" s="300"/>
    </row>
    <row r="201" spans="3:31">
      <c r="C201" s="300"/>
      <c r="D201" s="300"/>
      <c r="E201" s="300"/>
      <c r="F201" s="300"/>
      <c r="G201" s="300"/>
      <c r="H201" s="300"/>
      <c r="I201" s="300"/>
      <c r="J201" s="300"/>
      <c r="K201" s="300"/>
      <c r="L201" s="300"/>
      <c r="M201" s="301"/>
      <c r="N201" s="302"/>
      <c r="O201" s="303"/>
      <c r="P201" s="304"/>
      <c r="Q201" s="300"/>
      <c r="R201" s="300"/>
      <c r="S201" s="300"/>
      <c r="T201" s="300"/>
      <c r="U201" s="300"/>
      <c r="V201" s="300"/>
      <c r="W201" s="301"/>
      <c r="X201" s="301"/>
      <c r="Y201" s="301"/>
      <c r="Z201" s="301"/>
      <c r="AA201" s="301"/>
      <c r="AB201" s="301"/>
      <c r="AC201" s="301"/>
      <c r="AD201" s="301"/>
      <c r="AE201" s="300"/>
    </row>
    <row r="202" spans="3:31">
      <c r="C202" s="300"/>
      <c r="D202" s="300"/>
      <c r="E202" s="300"/>
      <c r="F202" s="300"/>
      <c r="G202" s="300"/>
      <c r="H202" s="300"/>
      <c r="I202" s="300"/>
      <c r="J202" s="300"/>
      <c r="K202" s="300"/>
      <c r="L202" s="300"/>
      <c r="M202" s="301"/>
      <c r="N202" s="302"/>
      <c r="O202" s="303"/>
      <c r="P202" s="304"/>
      <c r="Q202" s="300"/>
      <c r="R202" s="300"/>
      <c r="S202" s="300"/>
      <c r="T202" s="300"/>
      <c r="U202" s="300"/>
      <c r="V202" s="300"/>
      <c r="W202" s="301"/>
      <c r="X202" s="301"/>
      <c r="Y202" s="301"/>
      <c r="Z202" s="301"/>
      <c r="AA202" s="301"/>
      <c r="AB202" s="301"/>
      <c r="AC202" s="301"/>
      <c r="AD202" s="301"/>
      <c r="AE202" s="300"/>
    </row>
    <row r="203" spans="3:31">
      <c r="C203" s="300"/>
      <c r="D203" s="300"/>
      <c r="E203" s="300"/>
      <c r="F203" s="300"/>
      <c r="G203" s="300"/>
      <c r="H203" s="300"/>
      <c r="I203" s="300"/>
      <c r="J203" s="300"/>
      <c r="K203" s="300"/>
      <c r="L203" s="300"/>
      <c r="M203" s="301"/>
      <c r="N203" s="302"/>
      <c r="O203" s="303"/>
      <c r="P203" s="304"/>
      <c r="Q203" s="300"/>
      <c r="R203" s="300"/>
      <c r="S203" s="300"/>
      <c r="T203" s="300"/>
      <c r="U203" s="300"/>
      <c r="V203" s="300"/>
      <c r="W203" s="301"/>
      <c r="X203" s="301"/>
      <c r="Y203" s="301"/>
      <c r="Z203" s="301"/>
      <c r="AA203" s="301"/>
      <c r="AB203" s="301"/>
      <c r="AC203" s="301"/>
      <c r="AD203" s="301"/>
      <c r="AE203" s="300"/>
    </row>
    <row r="204" spans="3:31">
      <c r="C204" s="300"/>
      <c r="D204" s="300"/>
      <c r="E204" s="300"/>
      <c r="F204" s="300"/>
      <c r="G204" s="300"/>
      <c r="H204" s="300"/>
      <c r="I204" s="300"/>
      <c r="J204" s="300"/>
      <c r="K204" s="300"/>
      <c r="L204" s="300"/>
      <c r="M204" s="301"/>
      <c r="N204" s="302"/>
      <c r="O204" s="303"/>
      <c r="P204" s="304"/>
      <c r="Q204" s="300"/>
      <c r="R204" s="300"/>
      <c r="S204" s="300"/>
      <c r="T204" s="300"/>
      <c r="U204" s="300"/>
      <c r="V204" s="300"/>
      <c r="W204" s="301"/>
      <c r="X204" s="301"/>
      <c r="Y204" s="301"/>
      <c r="Z204" s="301"/>
      <c r="AA204" s="301"/>
      <c r="AB204" s="301"/>
      <c r="AC204" s="301"/>
      <c r="AD204" s="301"/>
      <c r="AE204" s="300"/>
    </row>
    <row r="205" spans="3:31">
      <c r="C205" s="300"/>
      <c r="D205" s="300"/>
      <c r="E205" s="300"/>
      <c r="F205" s="300"/>
      <c r="G205" s="300"/>
      <c r="H205" s="300"/>
      <c r="I205" s="300"/>
      <c r="J205" s="300"/>
      <c r="K205" s="300"/>
      <c r="L205" s="300"/>
      <c r="M205" s="301"/>
      <c r="N205" s="302"/>
      <c r="O205" s="303"/>
      <c r="P205" s="304"/>
      <c r="Q205" s="300"/>
      <c r="R205" s="300"/>
      <c r="S205" s="300"/>
      <c r="T205" s="300"/>
      <c r="U205" s="300"/>
      <c r="V205" s="300"/>
      <c r="W205" s="301"/>
      <c r="X205" s="301"/>
      <c r="Y205" s="301"/>
      <c r="Z205" s="301"/>
      <c r="AA205" s="301"/>
      <c r="AB205" s="301"/>
      <c r="AC205" s="301"/>
      <c r="AD205" s="301"/>
      <c r="AE205" s="300"/>
    </row>
    <row r="206" spans="3:31">
      <c r="C206" s="300"/>
      <c r="D206" s="300"/>
      <c r="E206" s="300"/>
      <c r="F206" s="300"/>
      <c r="G206" s="300"/>
      <c r="H206" s="300"/>
      <c r="I206" s="300"/>
      <c r="J206" s="300"/>
      <c r="K206" s="300"/>
      <c r="L206" s="300"/>
      <c r="M206" s="301"/>
      <c r="N206" s="302"/>
      <c r="O206" s="303"/>
      <c r="P206" s="304"/>
      <c r="Q206" s="300"/>
      <c r="R206" s="300"/>
      <c r="S206" s="300"/>
      <c r="T206" s="300"/>
      <c r="U206" s="300"/>
      <c r="V206" s="300"/>
      <c r="W206" s="301"/>
      <c r="X206" s="301"/>
      <c r="Y206" s="301"/>
      <c r="Z206" s="301"/>
      <c r="AA206" s="301"/>
      <c r="AB206" s="301"/>
      <c r="AC206" s="301"/>
      <c r="AD206" s="301"/>
      <c r="AE206" s="300"/>
    </row>
    <row r="207" spans="3:31">
      <c r="C207" s="300"/>
      <c r="D207" s="300"/>
      <c r="E207" s="300"/>
      <c r="F207" s="300"/>
      <c r="G207" s="300"/>
      <c r="H207" s="300"/>
      <c r="I207" s="300"/>
      <c r="J207" s="300"/>
      <c r="K207" s="300"/>
      <c r="L207" s="300"/>
      <c r="M207" s="301"/>
      <c r="N207" s="302"/>
      <c r="O207" s="303"/>
      <c r="P207" s="304"/>
      <c r="Q207" s="300"/>
      <c r="R207" s="300"/>
      <c r="S207" s="300"/>
      <c r="T207" s="300"/>
      <c r="U207" s="300"/>
      <c r="V207" s="300"/>
      <c r="W207" s="301"/>
      <c r="X207" s="301"/>
      <c r="Y207" s="301"/>
      <c r="Z207" s="301"/>
      <c r="AA207" s="301"/>
      <c r="AB207" s="301"/>
      <c r="AC207" s="301"/>
      <c r="AD207" s="301"/>
      <c r="AE207" s="300"/>
    </row>
    <row r="208" spans="3:31">
      <c r="C208" s="300"/>
      <c r="D208" s="300"/>
      <c r="E208" s="300"/>
      <c r="F208" s="300"/>
      <c r="G208" s="300"/>
      <c r="H208" s="300"/>
      <c r="I208" s="300"/>
      <c r="J208" s="300"/>
      <c r="K208" s="300"/>
      <c r="L208" s="300"/>
      <c r="M208" s="301"/>
      <c r="N208" s="302"/>
      <c r="O208" s="303"/>
      <c r="P208" s="304"/>
      <c r="Q208" s="300"/>
      <c r="R208" s="300"/>
      <c r="S208" s="300"/>
      <c r="T208" s="300"/>
      <c r="U208" s="300"/>
      <c r="V208" s="300"/>
      <c r="W208" s="301"/>
      <c r="X208" s="301"/>
      <c r="Y208" s="301"/>
      <c r="Z208" s="301"/>
      <c r="AA208" s="301"/>
      <c r="AB208" s="301"/>
      <c r="AC208" s="301"/>
      <c r="AD208" s="301"/>
      <c r="AE208" s="300"/>
    </row>
    <row r="209" spans="3:31">
      <c r="C209" s="300"/>
      <c r="D209" s="300"/>
      <c r="E209" s="300"/>
      <c r="F209" s="300"/>
      <c r="G209" s="300"/>
      <c r="H209" s="300"/>
      <c r="I209" s="300"/>
      <c r="J209" s="300"/>
      <c r="K209" s="300"/>
      <c r="L209" s="300"/>
      <c r="M209" s="301"/>
      <c r="N209" s="302"/>
      <c r="O209" s="303"/>
      <c r="P209" s="304"/>
      <c r="Q209" s="300"/>
      <c r="R209" s="300"/>
      <c r="S209" s="300"/>
      <c r="T209" s="300"/>
      <c r="U209" s="300"/>
      <c r="V209" s="300"/>
      <c r="W209" s="301"/>
      <c r="X209" s="301"/>
      <c r="Y209" s="301"/>
      <c r="Z209" s="301"/>
      <c r="AA209" s="301"/>
      <c r="AB209" s="301"/>
      <c r="AC209" s="301"/>
      <c r="AD209" s="301"/>
      <c r="AE209" s="300"/>
    </row>
    <row r="210" spans="3:31">
      <c r="C210" s="300"/>
      <c r="D210" s="300"/>
      <c r="E210" s="300"/>
      <c r="F210" s="300"/>
      <c r="G210" s="300"/>
      <c r="H210" s="300"/>
      <c r="I210" s="300"/>
      <c r="J210" s="300"/>
      <c r="K210" s="300"/>
      <c r="L210" s="300"/>
      <c r="M210" s="301"/>
      <c r="N210" s="302"/>
      <c r="O210" s="303"/>
      <c r="P210" s="304"/>
      <c r="Q210" s="300"/>
      <c r="R210" s="300"/>
      <c r="S210" s="300"/>
      <c r="T210" s="300"/>
      <c r="U210" s="300"/>
      <c r="V210" s="300"/>
      <c r="W210" s="301"/>
      <c r="X210" s="301"/>
      <c r="Y210" s="301"/>
      <c r="Z210" s="301"/>
      <c r="AA210" s="301"/>
      <c r="AB210" s="301"/>
      <c r="AC210" s="301"/>
      <c r="AD210" s="301"/>
      <c r="AE210" s="300"/>
    </row>
    <row r="211" spans="3:31">
      <c r="C211" s="300"/>
      <c r="D211" s="300"/>
      <c r="E211" s="300"/>
      <c r="F211" s="300"/>
      <c r="G211" s="300"/>
      <c r="H211" s="300"/>
      <c r="I211" s="300"/>
      <c r="J211" s="300"/>
      <c r="K211" s="300"/>
      <c r="L211" s="300"/>
      <c r="M211" s="301"/>
      <c r="N211" s="302"/>
      <c r="O211" s="303"/>
      <c r="P211" s="304"/>
      <c r="Q211" s="300"/>
      <c r="R211" s="300"/>
      <c r="S211" s="300"/>
      <c r="T211" s="300"/>
      <c r="U211" s="300"/>
      <c r="V211" s="300"/>
      <c r="W211" s="301"/>
      <c r="X211" s="301"/>
      <c r="Y211" s="301"/>
      <c r="Z211" s="301"/>
      <c r="AA211" s="301"/>
      <c r="AB211" s="301"/>
      <c r="AC211" s="301"/>
      <c r="AD211" s="301"/>
      <c r="AE211" s="300"/>
    </row>
    <row r="212" spans="3:31">
      <c r="C212" s="300"/>
      <c r="D212" s="300"/>
      <c r="E212" s="300"/>
      <c r="F212" s="300"/>
      <c r="G212" s="300"/>
      <c r="H212" s="300"/>
      <c r="I212" s="300"/>
      <c r="J212" s="300"/>
      <c r="K212" s="300"/>
      <c r="L212" s="300"/>
      <c r="M212" s="301"/>
      <c r="N212" s="302"/>
      <c r="O212" s="303"/>
      <c r="P212" s="304"/>
      <c r="Q212" s="300"/>
      <c r="R212" s="300"/>
      <c r="S212" s="300"/>
      <c r="T212" s="300"/>
      <c r="U212" s="300"/>
      <c r="V212" s="300"/>
      <c r="W212" s="301"/>
      <c r="X212" s="301"/>
      <c r="Y212" s="301"/>
      <c r="Z212" s="301"/>
      <c r="AA212" s="301"/>
      <c r="AB212" s="301"/>
      <c r="AC212" s="301"/>
      <c r="AD212" s="301"/>
      <c r="AE212" s="300"/>
    </row>
    <row r="213" spans="3:31">
      <c r="C213" s="300"/>
      <c r="D213" s="300"/>
      <c r="E213" s="300"/>
      <c r="F213" s="300"/>
      <c r="G213" s="300"/>
      <c r="H213" s="300"/>
      <c r="I213" s="300"/>
      <c r="J213" s="300"/>
      <c r="K213" s="300"/>
      <c r="L213" s="300"/>
      <c r="M213" s="301"/>
      <c r="N213" s="302"/>
      <c r="O213" s="303"/>
      <c r="P213" s="304"/>
      <c r="Q213" s="300"/>
      <c r="R213" s="300"/>
      <c r="S213" s="300"/>
      <c r="T213" s="300"/>
      <c r="U213" s="300"/>
      <c r="V213" s="300"/>
      <c r="W213" s="301"/>
      <c r="X213" s="301"/>
      <c r="Y213" s="301"/>
      <c r="Z213" s="301"/>
      <c r="AA213" s="301"/>
      <c r="AB213" s="301"/>
      <c r="AC213" s="301"/>
      <c r="AD213" s="301"/>
      <c r="AE213" s="300"/>
    </row>
    <row r="214" spans="3:31">
      <c r="C214" s="300"/>
      <c r="D214" s="300"/>
      <c r="E214" s="300"/>
      <c r="F214" s="300"/>
      <c r="G214" s="300"/>
      <c r="H214" s="300"/>
      <c r="I214" s="300"/>
      <c r="J214" s="300"/>
      <c r="K214" s="300"/>
      <c r="L214" s="300"/>
      <c r="M214" s="301"/>
      <c r="N214" s="302"/>
      <c r="O214" s="303"/>
      <c r="P214" s="304"/>
      <c r="Q214" s="300"/>
      <c r="R214" s="300"/>
      <c r="S214" s="300"/>
      <c r="T214" s="300"/>
      <c r="U214" s="300"/>
      <c r="V214" s="300"/>
      <c r="W214" s="301"/>
      <c r="X214" s="301"/>
      <c r="Y214" s="301"/>
      <c r="Z214" s="301"/>
      <c r="AA214" s="301"/>
      <c r="AB214" s="301"/>
      <c r="AC214" s="301"/>
      <c r="AD214" s="301"/>
      <c r="AE214" s="300"/>
    </row>
    <row r="215" spans="3:31">
      <c r="C215" s="300"/>
      <c r="D215" s="300"/>
      <c r="E215" s="300"/>
      <c r="F215" s="300"/>
      <c r="G215" s="300"/>
      <c r="H215" s="300"/>
      <c r="I215" s="300"/>
      <c r="J215" s="300"/>
      <c r="K215" s="300"/>
      <c r="L215" s="300"/>
      <c r="M215" s="301"/>
      <c r="N215" s="302"/>
      <c r="O215" s="303"/>
      <c r="P215" s="304"/>
      <c r="Q215" s="300"/>
      <c r="R215" s="300"/>
      <c r="S215" s="300"/>
      <c r="T215" s="300"/>
      <c r="U215" s="300"/>
      <c r="V215" s="300"/>
      <c r="W215" s="301"/>
      <c r="X215" s="301"/>
      <c r="Y215" s="301"/>
      <c r="Z215" s="301"/>
      <c r="AA215" s="301"/>
      <c r="AB215" s="301"/>
      <c r="AC215" s="301"/>
      <c r="AD215" s="301"/>
      <c r="AE215" s="300"/>
    </row>
    <row r="216" spans="3:31">
      <c r="C216" s="300"/>
      <c r="D216" s="300"/>
      <c r="E216" s="300"/>
      <c r="F216" s="300"/>
      <c r="G216" s="300"/>
      <c r="H216" s="300"/>
      <c r="I216" s="300"/>
      <c r="J216" s="300"/>
      <c r="K216" s="300"/>
      <c r="L216" s="300"/>
      <c r="M216" s="301"/>
      <c r="N216" s="302"/>
      <c r="O216" s="303"/>
      <c r="P216" s="304"/>
      <c r="Q216" s="300"/>
      <c r="R216" s="300"/>
      <c r="S216" s="300"/>
      <c r="T216" s="300"/>
      <c r="U216" s="300"/>
      <c r="V216" s="300"/>
      <c r="W216" s="301"/>
      <c r="X216" s="301"/>
      <c r="Y216" s="301"/>
      <c r="Z216" s="301"/>
      <c r="AA216" s="301"/>
      <c r="AB216" s="301"/>
      <c r="AC216" s="301"/>
      <c r="AD216" s="301"/>
      <c r="AE216" s="300"/>
    </row>
    <row r="217" spans="3:31">
      <c r="C217" s="300"/>
      <c r="D217" s="300"/>
      <c r="E217" s="300"/>
      <c r="F217" s="300"/>
      <c r="G217" s="300"/>
      <c r="H217" s="300"/>
      <c r="I217" s="300"/>
      <c r="J217" s="300"/>
      <c r="K217" s="300"/>
      <c r="L217" s="300"/>
      <c r="M217" s="301"/>
      <c r="N217" s="302"/>
      <c r="O217" s="303"/>
      <c r="P217" s="304"/>
      <c r="Q217" s="300"/>
      <c r="R217" s="300"/>
      <c r="S217" s="300"/>
      <c r="T217" s="300"/>
      <c r="U217" s="300"/>
      <c r="V217" s="300"/>
      <c r="W217" s="301"/>
      <c r="X217" s="301"/>
      <c r="Y217" s="301"/>
      <c r="Z217" s="301"/>
      <c r="AA217" s="301"/>
      <c r="AB217" s="301"/>
      <c r="AC217" s="301"/>
      <c r="AD217" s="301"/>
      <c r="AE217" s="300"/>
    </row>
    <row r="218" spans="3:31">
      <c r="C218" s="300"/>
      <c r="D218" s="300"/>
      <c r="E218" s="300"/>
      <c r="F218" s="300"/>
      <c r="G218" s="300"/>
      <c r="H218" s="300"/>
      <c r="I218" s="300"/>
      <c r="J218" s="300"/>
      <c r="K218" s="300"/>
      <c r="L218" s="300"/>
      <c r="M218" s="301"/>
      <c r="N218" s="302"/>
      <c r="O218" s="303"/>
      <c r="P218" s="304"/>
      <c r="Q218" s="300"/>
      <c r="R218" s="300"/>
      <c r="S218" s="300"/>
      <c r="T218" s="300"/>
      <c r="U218" s="300"/>
      <c r="V218" s="300"/>
      <c r="W218" s="301"/>
      <c r="X218" s="301"/>
      <c r="Y218" s="301"/>
      <c r="Z218" s="301"/>
      <c r="AA218" s="301"/>
      <c r="AB218" s="301"/>
      <c r="AC218" s="301"/>
      <c r="AD218" s="301"/>
      <c r="AE218" s="300"/>
    </row>
    <row r="219" spans="3:31">
      <c r="C219" s="300"/>
      <c r="D219" s="300"/>
      <c r="E219" s="300"/>
      <c r="F219" s="300"/>
      <c r="G219" s="300"/>
      <c r="H219" s="300"/>
      <c r="I219" s="300"/>
      <c r="J219" s="300"/>
      <c r="K219" s="300"/>
      <c r="L219" s="300"/>
      <c r="M219" s="301"/>
      <c r="N219" s="302"/>
      <c r="O219" s="303"/>
      <c r="P219" s="304"/>
      <c r="Q219" s="300"/>
      <c r="R219" s="300"/>
      <c r="S219" s="300"/>
      <c r="T219" s="300"/>
      <c r="U219" s="300"/>
      <c r="V219" s="300"/>
      <c r="W219" s="301"/>
      <c r="X219" s="301"/>
      <c r="Y219" s="301"/>
      <c r="Z219" s="301"/>
      <c r="AA219" s="301"/>
      <c r="AB219" s="301"/>
      <c r="AC219" s="301"/>
      <c r="AD219" s="301"/>
      <c r="AE219" s="300"/>
    </row>
    <row r="220" spans="3:31">
      <c r="C220" s="300"/>
      <c r="D220" s="300"/>
      <c r="E220" s="300"/>
      <c r="F220" s="300"/>
      <c r="G220" s="300"/>
      <c r="H220" s="300"/>
      <c r="I220" s="300"/>
      <c r="J220" s="300"/>
      <c r="K220" s="300"/>
      <c r="L220" s="300"/>
      <c r="M220" s="301"/>
      <c r="N220" s="302"/>
      <c r="O220" s="303"/>
      <c r="P220" s="304"/>
      <c r="Q220" s="300"/>
      <c r="R220" s="300"/>
      <c r="S220" s="300"/>
      <c r="T220" s="300"/>
      <c r="U220" s="300"/>
      <c r="V220" s="300"/>
      <c r="W220" s="301"/>
      <c r="X220" s="301"/>
      <c r="Y220" s="301"/>
      <c r="Z220" s="301"/>
      <c r="AA220" s="301"/>
      <c r="AB220" s="301"/>
      <c r="AC220" s="301"/>
      <c r="AD220" s="301"/>
      <c r="AE220" s="300"/>
    </row>
    <row r="221" spans="3:31">
      <c r="C221" s="300"/>
      <c r="D221" s="300"/>
      <c r="E221" s="300"/>
      <c r="F221" s="300"/>
      <c r="G221" s="300"/>
      <c r="H221" s="300"/>
      <c r="I221" s="300"/>
      <c r="J221" s="300"/>
      <c r="K221" s="300"/>
      <c r="L221" s="300"/>
      <c r="M221" s="301"/>
      <c r="N221" s="302"/>
      <c r="O221" s="303"/>
      <c r="P221" s="304"/>
      <c r="Q221" s="300"/>
      <c r="R221" s="300"/>
      <c r="S221" s="300"/>
      <c r="T221" s="300"/>
      <c r="U221" s="300"/>
      <c r="V221" s="300"/>
      <c r="W221" s="301"/>
      <c r="X221" s="301"/>
      <c r="Y221" s="301"/>
      <c r="Z221" s="301"/>
      <c r="AA221" s="301"/>
      <c r="AB221" s="301"/>
      <c r="AC221" s="301"/>
      <c r="AD221" s="301"/>
      <c r="AE221" s="300"/>
    </row>
    <row r="222" spans="3:31">
      <c r="C222" s="300"/>
      <c r="D222" s="300"/>
      <c r="E222" s="300"/>
      <c r="F222" s="300"/>
      <c r="G222" s="300"/>
      <c r="H222" s="300"/>
      <c r="I222" s="300"/>
      <c r="J222" s="300"/>
      <c r="K222" s="300"/>
      <c r="L222" s="300"/>
      <c r="M222" s="301"/>
      <c r="N222" s="302"/>
      <c r="O222" s="303"/>
      <c r="P222" s="304"/>
      <c r="Q222" s="300"/>
      <c r="R222" s="300"/>
      <c r="S222" s="300"/>
      <c r="T222" s="300"/>
      <c r="U222" s="300"/>
      <c r="V222" s="300"/>
      <c r="W222" s="301"/>
      <c r="X222" s="301"/>
      <c r="Y222" s="301"/>
      <c r="Z222" s="301"/>
      <c r="AA222" s="301"/>
      <c r="AB222" s="301"/>
      <c r="AC222" s="301"/>
      <c r="AD222" s="301"/>
      <c r="AE222" s="300"/>
    </row>
    <row r="223" spans="3:31">
      <c r="C223" s="300"/>
      <c r="D223" s="300"/>
      <c r="E223" s="300"/>
      <c r="F223" s="300"/>
      <c r="G223" s="300"/>
      <c r="H223" s="300"/>
      <c r="I223" s="300"/>
      <c r="J223" s="300"/>
      <c r="K223" s="300"/>
      <c r="L223" s="300"/>
      <c r="M223" s="301"/>
      <c r="N223" s="302"/>
      <c r="O223" s="303"/>
      <c r="P223" s="304"/>
      <c r="Q223" s="300"/>
      <c r="R223" s="300"/>
      <c r="S223" s="300"/>
      <c r="T223" s="300"/>
      <c r="U223" s="300"/>
      <c r="V223" s="300"/>
      <c r="W223" s="301"/>
      <c r="X223" s="301"/>
      <c r="Y223" s="301"/>
      <c r="Z223" s="301"/>
      <c r="AA223" s="301"/>
      <c r="AB223" s="301"/>
      <c r="AC223" s="301"/>
      <c r="AD223" s="301"/>
      <c r="AE223" s="300"/>
    </row>
    <row r="224" spans="3:31">
      <c r="C224" s="300"/>
      <c r="D224" s="300"/>
      <c r="E224" s="300"/>
      <c r="F224" s="300"/>
      <c r="G224" s="300"/>
      <c r="H224" s="300"/>
      <c r="I224" s="300"/>
      <c r="J224" s="300"/>
      <c r="K224" s="300"/>
      <c r="L224" s="300"/>
      <c r="M224" s="301"/>
      <c r="N224" s="302"/>
      <c r="O224" s="303"/>
      <c r="P224" s="304"/>
      <c r="Q224" s="300"/>
      <c r="R224" s="300"/>
      <c r="S224" s="300"/>
      <c r="T224" s="300"/>
      <c r="U224" s="300"/>
      <c r="V224" s="300"/>
      <c r="W224" s="301"/>
      <c r="X224" s="301"/>
      <c r="Y224" s="301"/>
      <c r="Z224" s="301"/>
      <c r="AA224" s="301"/>
      <c r="AB224" s="301"/>
      <c r="AC224" s="301"/>
      <c r="AD224" s="301"/>
      <c r="AE224" s="300"/>
    </row>
    <row r="225" spans="3:31">
      <c r="C225" s="300"/>
      <c r="D225" s="300"/>
      <c r="E225" s="300"/>
      <c r="F225" s="300"/>
      <c r="G225" s="300"/>
      <c r="H225" s="300"/>
      <c r="I225" s="300"/>
      <c r="J225" s="300"/>
      <c r="K225" s="300"/>
      <c r="L225" s="300"/>
      <c r="M225" s="301"/>
      <c r="N225" s="302"/>
      <c r="O225" s="303"/>
      <c r="P225" s="304"/>
      <c r="Q225" s="300"/>
      <c r="R225" s="300"/>
      <c r="S225" s="300"/>
      <c r="T225" s="300"/>
      <c r="U225" s="300"/>
      <c r="V225" s="300"/>
      <c r="W225" s="301"/>
      <c r="X225" s="301"/>
      <c r="Y225" s="301"/>
      <c r="Z225" s="301"/>
      <c r="AA225" s="301"/>
      <c r="AB225" s="301"/>
      <c r="AC225" s="301"/>
      <c r="AD225" s="301"/>
      <c r="AE225" s="300"/>
    </row>
    <row r="226" spans="3:31">
      <c r="C226" s="300"/>
      <c r="D226" s="300"/>
      <c r="E226" s="300"/>
      <c r="F226" s="300"/>
      <c r="G226" s="300"/>
      <c r="H226" s="300"/>
      <c r="I226" s="300"/>
      <c r="J226" s="300"/>
      <c r="K226" s="300"/>
      <c r="L226" s="300"/>
      <c r="M226" s="301"/>
      <c r="N226" s="302"/>
      <c r="O226" s="303"/>
      <c r="P226" s="304"/>
      <c r="Q226" s="300"/>
      <c r="R226" s="300"/>
      <c r="S226" s="300"/>
      <c r="T226" s="300"/>
      <c r="U226" s="300"/>
      <c r="V226" s="300"/>
      <c r="W226" s="301"/>
      <c r="X226" s="301"/>
      <c r="Y226" s="301"/>
      <c r="Z226" s="301"/>
      <c r="AA226" s="301"/>
      <c r="AB226" s="301"/>
      <c r="AC226" s="301"/>
      <c r="AD226" s="301"/>
      <c r="AE226" s="300"/>
    </row>
    <row r="227" spans="3:31">
      <c r="C227" s="300"/>
      <c r="D227" s="300"/>
      <c r="E227" s="300"/>
      <c r="F227" s="300"/>
      <c r="G227" s="300"/>
      <c r="H227" s="300"/>
      <c r="I227" s="300"/>
      <c r="J227" s="300"/>
      <c r="K227" s="300"/>
      <c r="L227" s="300"/>
      <c r="M227" s="301"/>
      <c r="N227" s="302"/>
      <c r="O227" s="303"/>
      <c r="P227" s="304"/>
      <c r="Q227" s="300"/>
      <c r="R227" s="300"/>
      <c r="S227" s="300"/>
      <c r="T227" s="300"/>
      <c r="U227" s="300"/>
      <c r="V227" s="300"/>
      <c r="W227" s="301"/>
      <c r="X227" s="301"/>
      <c r="Y227" s="301"/>
      <c r="Z227" s="301"/>
      <c r="AA227" s="301"/>
      <c r="AB227" s="301"/>
      <c r="AC227" s="301"/>
      <c r="AD227" s="301"/>
      <c r="AE227" s="300"/>
    </row>
    <row r="228" spans="3:31">
      <c r="C228" s="300"/>
      <c r="D228" s="300"/>
      <c r="E228" s="300"/>
      <c r="F228" s="300"/>
      <c r="G228" s="300"/>
      <c r="H228" s="300"/>
      <c r="I228" s="300"/>
      <c r="J228" s="300"/>
      <c r="K228" s="300"/>
      <c r="L228" s="300"/>
      <c r="M228" s="301"/>
      <c r="N228" s="302"/>
      <c r="O228" s="303"/>
      <c r="P228" s="304"/>
      <c r="Q228" s="300"/>
      <c r="R228" s="300"/>
      <c r="S228" s="300"/>
      <c r="T228" s="300"/>
      <c r="U228" s="300"/>
      <c r="V228" s="300"/>
      <c r="W228" s="301"/>
      <c r="X228" s="301"/>
      <c r="Y228" s="301"/>
      <c r="Z228" s="301"/>
      <c r="AA228" s="301"/>
      <c r="AB228" s="301"/>
      <c r="AC228" s="301"/>
      <c r="AD228" s="301"/>
      <c r="AE228" s="300"/>
    </row>
    <row r="229" spans="3:31">
      <c r="C229" s="300"/>
      <c r="D229" s="300"/>
      <c r="E229" s="300"/>
      <c r="F229" s="300"/>
      <c r="G229" s="300"/>
      <c r="H229" s="300"/>
      <c r="I229" s="300"/>
      <c r="J229" s="300"/>
      <c r="K229" s="300"/>
      <c r="L229" s="300"/>
      <c r="M229" s="301"/>
      <c r="N229" s="302"/>
      <c r="O229" s="303"/>
      <c r="P229" s="304"/>
      <c r="Q229" s="300"/>
      <c r="R229" s="300"/>
      <c r="S229" s="300"/>
      <c r="T229" s="300"/>
      <c r="U229" s="300"/>
      <c r="V229" s="300"/>
      <c r="W229" s="301"/>
      <c r="X229" s="301"/>
      <c r="Y229" s="301"/>
      <c r="Z229" s="301"/>
      <c r="AA229" s="301"/>
      <c r="AB229" s="301"/>
      <c r="AC229" s="301"/>
      <c r="AD229" s="301"/>
      <c r="AE229" s="300"/>
    </row>
    <row r="230" spans="3:31">
      <c r="C230" s="300"/>
      <c r="D230" s="300"/>
      <c r="E230" s="300"/>
      <c r="F230" s="300"/>
      <c r="G230" s="300"/>
      <c r="H230" s="300"/>
      <c r="I230" s="300"/>
      <c r="J230" s="300"/>
      <c r="K230" s="300"/>
      <c r="L230" s="300"/>
      <c r="M230" s="301"/>
      <c r="N230" s="302"/>
      <c r="O230" s="303"/>
      <c r="P230" s="304"/>
      <c r="Q230" s="300"/>
      <c r="R230" s="300"/>
      <c r="S230" s="300"/>
      <c r="T230" s="300"/>
      <c r="U230" s="300"/>
      <c r="V230" s="300"/>
      <c r="W230" s="301"/>
      <c r="X230" s="301"/>
      <c r="Y230" s="301"/>
      <c r="Z230" s="301"/>
      <c r="AA230" s="301"/>
      <c r="AB230" s="301"/>
      <c r="AC230" s="301"/>
      <c r="AD230" s="301"/>
      <c r="AE230" s="300"/>
    </row>
    <row r="231" spans="3:31">
      <c r="C231" s="300"/>
      <c r="D231" s="300"/>
      <c r="E231" s="300"/>
      <c r="F231" s="300"/>
      <c r="G231" s="300"/>
      <c r="H231" s="300"/>
      <c r="I231" s="300"/>
      <c r="J231" s="300"/>
      <c r="K231" s="300"/>
      <c r="L231" s="300"/>
      <c r="M231" s="301"/>
      <c r="N231" s="302"/>
      <c r="O231" s="303"/>
      <c r="P231" s="304"/>
      <c r="Q231" s="300"/>
      <c r="R231" s="300"/>
      <c r="S231" s="300"/>
      <c r="T231" s="300"/>
      <c r="U231" s="300"/>
      <c r="V231" s="300"/>
      <c r="W231" s="301"/>
      <c r="X231" s="301"/>
      <c r="Y231" s="301"/>
      <c r="Z231" s="301"/>
      <c r="AA231" s="301"/>
      <c r="AB231" s="301"/>
      <c r="AC231" s="301"/>
      <c r="AD231" s="301"/>
      <c r="AE231" s="300"/>
    </row>
    <row r="232" spans="3:31">
      <c r="C232" s="300"/>
      <c r="D232" s="300"/>
      <c r="E232" s="300"/>
      <c r="F232" s="300"/>
      <c r="G232" s="300"/>
      <c r="H232" s="300"/>
      <c r="I232" s="300"/>
      <c r="J232" s="300"/>
      <c r="K232" s="300"/>
      <c r="L232" s="300"/>
      <c r="M232" s="301"/>
      <c r="N232" s="302"/>
      <c r="O232" s="303"/>
      <c r="P232" s="304"/>
      <c r="Q232" s="300"/>
      <c r="R232" s="300"/>
      <c r="S232" s="300"/>
      <c r="T232" s="300"/>
      <c r="U232" s="300"/>
      <c r="V232" s="300"/>
      <c r="W232" s="301"/>
      <c r="X232" s="301"/>
      <c r="Y232" s="301"/>
      <c r="Z232" s="301"/>
      <c r="AA232" s="301"/>
      <c r="AB232" s="301"/>
      <c r="AC232" s="301"/>
      <c r="AD232" s="301"/>
      <c r="AE232" s="300"/>
    </row>
    <row r="233" spans="3:31">
      <c r="C233" s="300"/>
      <c r="D233" s="300"/>
      <c r="E233" s="300"/>
      <c r="F233" s="300"/>
      <c r="G233" s="300"/>
      <c r="H233" s="300"/>
      <c r="I233" s="300"/>
      <c r="J233" s="300"/>
      <c r="K233" s="300"/>
      <c r="L233" s="300"/>
      <c r="M233" s="301"/>
      <c r="N233" s="302"/>
      <c r="O233" s="303"/>
      <c r="P233" s="304"/>
      <c r="Q233" s="300"/>
      <c r="R233" s="300"/>
      <c r="S233" s="300"/>
      <c r="T233" s="300"/>
      <c r="U233" s="300"/>
      <c r="V233" s="300"/>
      <c r="W233" s="301"/>
      <c r="X233" s="301"/>
      <c r="Y233" s="301"/>
      <c r="Z233" s="301"/>
      <c r="AA233" s="301"/>
      <c r="AB233" s="301"/>
      <c r="AC233" s="301"/>
      <c r="AD233" s="301"/>
      <c r="AE233" s="300"/>
    </row>
    <row r="234" spans="3:31">
      <c r="C234" s="300"/>
      <c r="D234" s="300"/>
      <c r="E234" s="300"/>
      <c r="F234" s="300"/>
      <c r="G234" s="300"/>
      <c r="H234" s="300"/>
      <c r="I234" s="300"/>
      <c r="J234" s="300"/>
      <c r="K234" s="300"/>
      <c r="L234" s="300"/>
      <c r="M234" s="301"/>
      <c r="N234" s="302"/>
      <c r="O234" s="303"/>
      <c r="P234" s="304"/>
      <c r="Q234" s="300"/>
      <c r="R234" s="300"/>
      <c r="S234" s="300"/>
      <c r="T234" s="300"/>
      <c r="U234" s="300"/>
      <c r="V234" s="300"/>
      <c r="W234" s="301"/>
      <c r="X234" s="301"/>
      <c r="Y234" s="301"/>
      <c r="Z234" s="301"/>
      <c r="AA234" s="301"/>
      <c r="AB234" s="301"/>
      <c r="AC234" s="301"/>
      <c r="AD234" s="301"/>
      <c r="AE234" s="300"/>
    </row>
    <row r="235" spans="3:31">
      <c r="C235" s="300"/>
      <c r="D235" s="300"/>
      <c r="E235" s="300"/>
      <c r="F235" s="300"/>
      <c r="G235" s="300"/>
      <c r="H235" s="300"/>
      <c r="I235" s="300"/>
      <c r="J235" s="300"/>
      <c r="K235" s="300"/>
      <c r="L235" s="300"/>
      <c r="M235" s="301"/>
      <c r="N235" s="302"/>
      <c r="O235" s="303"/>
      <c r="P235" s="304"/>
      <c r="Q235" s="300"/>
      <c r="R235" s="300"/>
      <c r="S235" s="300"/>
      <c r="T235" s="300"/>
      <c r="U235" s="300"/>
      <c r="V235" s="300"/>
      <c r="W235" s="301"/>
      <c r="X235" s="301"/>
      <c r="Y235" s="301"/>
      <c r="Z235" s="301"/>
      <c r="AA235" s="301"/>
      <c r="AB235" s="301"/>
      <c r="AC235" s="301"/>
      <c r="AD235" s="301"/>
      <c r="AE235" s="300"/>
    </row>
    <row r="236" spans="3:31">
      <c r="C236" s="300"/>
      <c r="D236" s="300"/>
      <c r="E236" s="300"/>
      <c r="F236" s="300"/>
      <c r="G236" s="300"/>
      <c r="H236" s="300"/>
      <c r="I236" s="300"/>
      <c r="J236" s="300"/>
      <c r="K236" s="300"/>
      <c r="L236" s="300"/>
      <c r="M236" s="301"/>
      <c r="N236" s="302"/>
      <c r="O236" s="303"/>
      <c r="P236" s="304"/>
      <c r="Q236" s="300"/>
      <c r="R236" s="300"/>
      <c r="S236" s="300"/>
      <c r="T236" s="300"/>
      <c r="U236" s="300"/>
      <c r="V236" s="300"/>
      <c r="W236" s="301"/>
      <c r="X236" s="301"/>
      <c r="Y236" s="301"/>
      <c r="Z236" s="301"/>
      <c r="AA236" s="301"/>
      <c r="AB236" s="301"/>
      <c r="AC236" s="301"/>
      <c r="AD236" s="301"/>
      <c r="AE236" s="300"/>
    </row>
    <row r="237" spans="3:31">
      <c r="C237" s="300"/>
      <c r="D237" s="300"/>
      <c r="E237" s="300"/>
      <c r="F237" s="300"/>
      <c r="G237" s="300"/>
      <c r="H237" s="300"/>
      <c r="I237" s="300"/>
      <c r="J237" s="300"/>
      <c r="K237" s="300"/>
      <c r="L237" s="300"/>
      <c r="M237" s="301"/>
      <c r="N237" s="302"/>
      <c r="O237" s="303"/>
      <c r="P237" s="304"/>
      <c r="Q237" s="300"/>
      <c r="R237" s="300"/>
      <c r="S237" s="300"/>
      <c r="T237" s="300"/>
      <c r="U237" s="300"/>
      <c r="V237" s="300"/>
      <c r="W237" s="301"/>
      <c r="X237" s="301"/>
      <c r="Y237" s="301"/>
      <c r="Z237" s="301"/>
      <c r="AA237" s="301"/>
      <c r="AB237" s="301"/>
      <c r="AC237" s="301"/>
      <c r="AD237" s="301"/>
      <c r="AE237" s="300"/>
    </row>
    <row r="238" spans="3:31">
      <c r="C238" s="300"/>
      <c r="D238" s="300"/>
      <c r="E238" s="300"/>
      <c r="F238" s="300"/>
      <c r="G238" s="300"/>
      <c r="H238" s="300"/>
      <c r="I238" s="300"/>
      <c r="J238" s="300"/>
      <c r="K238" s="300"/>
      <c r="L238" s="300"/>
      <c r="M238" s="301"/>
      <c r="N238" s="302"/>
      <c r="O238" s="303"/>
      <c r="P238" s="304"/>
      <c r="Q238" s="300"/>
      <c r="R238" s="300"/>
      <c r="S238" s="300"/>
      <c r="T238" s="300"/>
      <c r="U238" s="300"/>
      <c r="V238" s="300"/>
      <c r="W238" s="301"/>
      <c r="X238" s="301"/>
      <c r="Y238" s="301"/>
      <c r="Z238" s="301"/>
      <c r="AA238" s="301"/>
      <c r="AB238" s="301"/>
      <c r="AC238" s="301"/>
      <c r="AD238" s="301"/>
      <c r="AE238" s="300"/>
    </row>
    <row r="239" spans="3:31">
      <c r="C239" s="300"/>
      <c r="D239" s="300"/>
      <c r="E239" s="300"/>
      <c r="F239" s="300"/>
      <c r="G239" s="300"/>
      <c r="H239" s="300"/>
      <c r="I239" s="300"/>
      <c r="J239" s="300"/>
      <c r="K239" s="300"/>
      <c r="L239" s="300"/>
      <c r="M239" s="301"/>
      <c r="N239" s="302"/>
      <c r="O239" s="303"/>
      <c r="P239" s="304"/>
      <c r="Q239" s="300"/>
      <c r="R239" s="300"/>
      <c r="S239" s="300"/>
      <c r="T239" s="300"/>
      <c r="U239" s="300"/>
      <c r="V239" s="300"/>
      <c r="W239" s="301"/>
      <c r="X239" s="301"/>
      <c r="Y239" s="301"/>
      <c r="Z239" s="301"/>
      <c r="AA239" s="301"/>
      <c r="AB239" s="301"/>
      <c r="AC239" s="301"/>
      <c r="AD239" s="301"/>
      <c r="AE239" s="300"/>
    </row>
    <row r="240" spans="3:31">
      <c r="C240" s="300"/>
      <c r="D240" s="300"/>
      <c r="E240" s="300"/>
      <c r="F240" s="300"/>
      <c r="G240" s="300"/>
      <c r="H240" s="300"/>
      <c r="I240" s="300"/>
      <c r="J240" s="300"/>
      <c r="K240" s="300"/>
      <c r="L240" s="300"/>
      <c r="M240" s="301"/>
      <c r="N240" s="302"/>
      <c r="O240" s="303"/>
      <c r="P240" s="304"/>
      <c r="Q240" s="300"/>
      <c r="R240" s="300"/>
      <c r="S240" s="300"/>
      <c r="T240" s="300"/>
      <c r="U240" s="300"/>
      <c r="V240" s="300"/>
      <c r="W240" s="301"/>
      <c r="X240" s="301"/>
      <c r="Y240" s="301"/>
      <c r="Z240" s="301"/>
      <c r="AA240" s="301"/>
      <c r="AB240" s="301"/>
      <c r="AC240" s="301"/>
      <c r="AD240" s="301"/>
      <c r="AE240" s="300"/>
    </row>
    <row r="241" spans="3:31">
      <c r="C241" s="300"/>
      <c r="D241" s="300"/>
      <c r="E241" s="300"/>
      <c r="F241" s="300"/>
      <c r="G241" s="300"/>
      <c r="H241" s="300"/>
      <c r="I241" s="300"/>
      <c r="J241" s="300"/>
      <c r="K241" s="300"/>
      <c r="L241" s="300"/>
      <c r="M241" s="301"/>
      <c r="N241" s="302"/>
      <c r="O241" s="303"/>
      <c r="P241" s="304"/>
      <c r="Q241" s="300"/>
      <c r="R241" s="300"/>
      <c r="S241" s="300"/>
      <c r="T241" s="300"/>
      <c r="U241" s="300"/>
      <c r="V241" s="300"/>
      <c r="W241" s="301"/>
      <c r="X241" s="301"/>
      <c r="Y241" s="301"/>
      <c r="Z241" s="301"/>
      <c r="AA241" s="301"/>
      <c r="AB241" s="301"/>
      <c r="AC241" s="301"/>
      <c r="AD241" s="301"/>
      <c r="AE241" s="300"/>
    </row>
    <row r="242" spans="3:31">
      <c r="C242" s="300"/>
      <c r="D242" s="300"/>
      <c r="E242" s="300"/>
      <c r="F242" s="300"/>
      <c r="G242" s="300"/>
      <c r="H242" s="300"/>
      <c r="I242" s="300"/>
      <c r="J242" s="300"/>
      <c r="K242" s="300"/>
      <c r="L242" s="300"/>
      <c r="M242" s="301"/>
      <c r="N242" s="302"/>
      <c r="O242" s="303"/>
      <c r="P242" s="304"/>
      <c r="Q242" s="300"/>
      <c r="R242" s="300"/>
      <c r="S242" s="300"/>
      <c r="T242" s="300"/>
      <c r="U242" s="300"/>
      <c r="V242" s="300"/>
      <c r="W242" s="301"/>
      <c r="X242" s="301"/>
      <c r="Y242" s="301"/>
      <c r="Z242" s="301"/>
      <c r="AA242" s="301"/>
      <c r="AB242" s="301"/>
      <c r="AC242" s="301"/>
      <c r="AD242" s="301"/>
      <c r="AE242" s="300"/>
    </row>
    <row r="243" spans="3:31">
      <c r="C243" s="300"/>
      <c r="D243" s="300"/>
      <c r="E243" s="300"/>
      <c r="F243" s="300"/>
      <c r="G243" s="300"/>
      <c r="H243" s="300"/>
      <c r="I243" s="300"/>
      <c r="J243" s="300"/>
      <c r="K243" s="300"/>
      <c r="L243" s="300"/>
      <c r="M243" s="301"/>
      <c r="N243" s="302"/>
      <c r="O243" s="303"/>
      <c r="P243" s="304"/>
      <c r="Q243" s="300"/>
      <c r="R243" s="300"/>
      <c r="S243" s="300"/>
      <c r="T243" s="300"/>
      <c r="U243" s="300"/>
      <c r="V243" s="300"/>
      <c r="W243" s="301"/>
      <c r="X243" s="301"/>
      <c r="Y243" s="301"/>
      <c r="Z243" s="301"/>
      <c r="AA243" s="301"/>
      <c r="AB243" s="301"/>
      <c r="AC243" s="301"/>
      <c r="AD243" s="301"/>
      <c r="AE243" s="300"/>
    </row>
    <row r="244" spans="3:31">
      <c r="C244" s="300"/>
      <c r="D244" s="300"/>
      <c r="E244" s="300"/>
      <c r="F244" s="300"/>
      <c r="G244" s="300"/>
      <c r="H244" s="300"/>
      <c r="I244" s="300"/>
      <c r="J244" s="300"/>
      <c r="K244" s="300"/>
      <c r="L244" s="300"/>
      <c r="M244" s="301"/>
      <c r="N244" s="302"/>
      <c r="O244" s="303"/>
      <c r="P244" s="304"/>
      <c r="Q244" s="300"/>
      <c r="R244" s="300"/>
      <c r="S244" s="300"/>
      <c r="T244" s="300"/>
      <c r="U244" s="300"/>
      <c r="V244" s="300"/>
      <c r="W244" s="301"/>
      <c r="X244" s="301"/>
      <c r="Y244" s="301"/>
      <c r="Z244" s="301"/>
      <c r="AA244" s="301"/>
      <c r="AB244" s="301"/>
      <c r="AC244" s="301"/>
      <c r="AD244" s="301"/>
      <c r="AE244" s="300"/>
    </row>
    <row r="245" spans="3:31">
      <c r="C245" s="300"/>
      <c r="D245" s="300"/>
      <c r="E245" s="300"/>
      <c r="F245" s="300"/>
      <c r="G245" s="300"/>
      <c r="H245" s="300"/>
      <c r="I245" s="300"/>
      <c r="J245" s="300"/>
      <c r="K245" s="300"/>
      <c r="L245" s="300"/>
      <c r="M245" s="301"/>
      <c r="N245" s="302"/>
      <c r="O245" s="303"/>
      <c r="P245" s="304"/>
      <c r="Q245" s="300"/>
      <c r="R245" s="300"/>
      <c r="S245" s="300"/>
      <c r="T245" s="300"/>
      <c r="U245" s="300"/>
      <c r="V245" s="300"/>
      <c r="W245" s="301"/>
      <c r="X245" s="301"/>
      <c r="Y245" s="301"/>
      <c r="Z245" s="301"/>
      <c r="AA245" s="301"/>
      <c r="AB245" s="301"/>
      <c r="AC245" s="301"/>
      <c r="AD245" s="301"/>
      <c r="AE245" s="300"/>
    </row>
    <row r="246" spans="3:31">
      <c r="C246" s="300"/>
      <c r="D246" s="300"/>
      <c r="E246" s="300"/>
      <c r="F246" s="300"/>
      <c r="G246" s="300"/>
      <c r="H246" s="300"/>
      <c r="I246" s="300"/>
      <c r="J246" s="300"/>
      <c r="K246" s="300"/>
      <c r="L246" s="300"/>
      <c r="M246" s="301"/>
      <c r="N246" s="302"/>
      <c r="O246" s="303"/>
      <c r="P246" s="304"/>
      <c r="Q246" s="300"/>
      <c r="R246" s="300"/>
      <c r="S246" s="300"/>
      <c r="T246" s="300"/>
      <c r="U246" s="300"/>
      <c r="V246" s="300"/>
      <c r="W246" s="301"/>
      <c r="X246" s="301"/>
      <c r="Y246" s="301"/>
      <c r="Z246" s="301"/>
      <c r="AA246" s="301"/>
      <c r="AB246" s="301"/>
      <c r="AC246" s="301"/>
      <c r="AD246" s="301"/>
      <c r="AE246" s="300"/>
    </row>
    <row r="247" spans="3:31">
      <c r="C247" s="300"/>
      <c r="D247" s="300"/>
      <c r="E247" s="300"/>
      <c r="F247" s="300"/>
      <c r="G247" s="300"/>
      <c r="H247" s="300"/>
      <c r="I247" s="300"/>
      <c r="J247" s="300"/>
      <c r="K247" s="300"/>
      <c r="L247" s="300"/>
      <c r="M247" s="301"/>
      <c r="N247" s="302"/>
      <c r="O247" s="303"/>
      <c r="P247" s="304"/>
      <c r="Q247" s="300"/>
      <c r="R247" s="300"/>
      <c r="S247" s="300"/>
      <c r="T247" s="300"/>
      <c r="U247" s="300"/>
      <c r="V247" s="300"/>
      <c r="W247" s="301"/>
      <c r="X247" s="301"/>
      <c r="Y247" s="301"/>
      <c r="Z247" s="301"/>
      <c r="AA247" s="301"/>
      <c r="AB247" s="301"/>
      <c r="AC247" s="301"/>
      <c r="AD247" s="301"/>
      <c r="AE247" s="300"/>
    </row>
    <row r="248" spans="3:31">
      <c r="C248" s="300"/>
      <c r="D248" s="300"/>
      <c r="E248" s="300"/>
      <c r="F248" s="300"/>
      <c r="G248" s="300"/>
      <c r="H248" s="300"/>
      <c r="I248" s="300"/>
      <c r="J248" s="300"/>
      <c r="K248" s="300"/>
      <c r="L248" s="300"/>
      <c r="M248" s="301"/>
      <c r="N248" s="302"/>
      <c r="O248" s="303"/>
      <c r="P248" s="304"/>
      <c r="Q248" s="300"/>
      <c r="R248" s="300"/>
      <c r="S248" s="300"/>
      <c r="T248" s="300"/>
      <c r="U248" s="300"/>
      <c r="V248" s="300"/>
      <c r="W248" s="301"/>
      <c r="X248" s="301"/>
      <c r="Y248" s="301"/>
      <c r="Z248" s="301"/>
      <c r="AA248" s="301"/>
      <c r="AB248" s="301"/>
      <c r="AC248" s="301"/>
      <c r="AD248" s="301"/>
      <c r="AE248" s="300"/>
    </row>
    <row r="249" spans="3:31">
      <c r="C249" s="300"/>
      <c r="D249" s="300"/>
      <c r="E249" s="300"/>
      <c r="F249" s="300"/>
      <c r="G249" s="300"/>
      <c r="H249" s="300"/>
      <c r="I249" s="300"/>
      <c r="J249" s="300"/>
      <c r="K249" s="300"/>
      <c r="L249" s="300"/>
      <c r="M249" s="301"/>
      <c r="N249" s="302"/>
      <c r="O249" s="303"/>
      <c r="P249" s="304"/>
      <c r="Q249" s="300"/>
      <c r="R249" s="300"/>
      <c r="S249" s="300"/>
      <c r="T249" s="300"/>
      <c r="U249" s="300"/>
      <c r="V249" s="300"/>
      <c r="W249" s="301"/>
      <c r="X249" s="301"/>
      <c r="Y249" s="301"/>
      <c r="Z249" s="301"/>
      <c r="AA249" s="301"/>
      <c r="AB249" s="301"/>
      <c r="AC249" s="301"/>
      <c r="AD249" s="301"/>
      <c r="AE249" s="300"/>
    </row>
    <row r="250" spans="3:31">
      <c r="C250" s="300"/>
      <c r="D250" s="300"/>
      <c r="E250" s="300"/>
      <c r="F250" s="300"/>
      <c r="G250" s="300"/>
      <c r="H250" s="300"/>
      <c r="I250" s="300"/>
      <c r="J250" s="300"/>
      <c r="K250" s="300"/>
      <c r="L250" s="300"/>
      <c r="M250" s="301"/>
      <c r="N250" s="302"/>
      <c r="O250" s="303"/>
      <c r="P250" s="304"/>
      <c r="Q250" s="300"/>
      <c r="R250" s="300"/>
      <c r="S250" s="300"/>
      <c r="T250" s="300"/>
      <c r="U250" s="300"/>
      <c r="V250" s="300"/>
      <c r="W250" s="301"/>
      <c r="X250" s="301"/>
      <c r="Y250" s="301"/>
      <c r="Z250" s="301"/>
      <c r="AA250" s="301"/>
      <c r="AB250" s="301"/>
      <c r="AC250" s="301"/>
      <c r="AD250" s="301"/>
      <c r="AE250" s="300"/>
    </row>
    <row r="251" spans="3:31">
      <c r="C251" s="300"/>
      <c r="D251" s="300"/>
      <c r="E251" s="300"/>
      <c r="F251" s="300"/>
      <c r="G251" s="300"/>
      <c r="H251" s="300"/>
      <c r="I251" s="300"/>
      <c r="J251" s="300"/>
      <c r="K251" s="300"/>
      <c r="L251" s="300"/>
      <c r="M251" s="301"/>
      <c r="N251" s="302"/>
      <c r="O251" s="303"/>
      <c r="P251" s="304"/>
      <c r="Q251" s="300"/>
      <c r="R251" s="300"/>
      <c r="S251" s="300"/>
      <c r="T251" s="300"/>
      <c r="U251" s="300"/>
      <c r="V251" s="300"/>
      <c r="W251" s="301"/>
      <c r="X251" s="301"/>
      <c r="Y251" s="301"/>
      <c r="Z251" s="301"/>
      <c r="AA251" s="301"/>
      <c r="AB251" s="301"/>
      <c r="AC251" s="301"/>
      <c r="AD251" s="301"/>
      <c r="AE251" s="300"/>
    </row>
    <row r="252" spans="3:31">
      <c r="C252" s="300"/>
      <c r="D252" s="300"/>
      <c r="E252" s="300"/>
      <c r="F252" s="300"/>
      <c r="G252" s="300"/>
      <c r="H252" s="300"/>
      <c r="I252" s="300"/>
      <c r="J252" s="300"/>
      <c r="K252" s="300"/>
      <c r="L252" s="300"/>
      <c r="M252" s="301"/>
      <c r="N252" s="302"/>
      <c r="O252" s="303"/>
      <c r="P252" s="304"/>
      <c r="Q252" s="300"/>
      <c r="R252" s="300"/>
      <c r="S252" s="300"/>
      <c r="T252" s="300"/>
      <c r="U252" s="300"/>
      <c r="V252" s="300"/>
      <c r="W252" s="301"/>
      <c r="X252" s="301"/>
      <c r="Y252" s="301"/>
      <c r="Z252" s="301"/>
      <c r="AA252" s="301"/>
      <c r="AB252" s="301"/>
      <c r="AC252" s="301"/>
      <c r="AD252" s="301"/>
      <c r="AE252" s="300"/>
    </row>
    <row r="253" spans="3:31">
      <c r="C253" s="300"/>
      <c r="D253" s="300"/>
      <c r="E253" s="300"/>
      <c r="F253" s="300"/>
      <c r="G253" s="300"/>
      <c r="H253" s="300"/>
      <c r="I253" s="300"/>
      <c r="J253" s="300"/>
      <c r="K253" s="300"/>
      <c r="L253" s="300"/>
      <c r="M253" s="301"/>
      <c r="N253" s="302"/>
      <c r="O253" s="303"/>
      <c r="P253" s="304"/>
      <c r="Q253" s="300"/>
      <c r="R253" s="300"/>
      <c r="S253" s="300"/>
      <c r="T253" s="300"/>
      <c r="U253" s="300"/>
      <c r="V253" s="300"/>
      <c r="W253" s="301"/>
      <c r="X253" s="301"/>
      <c r="Y253" s="301"/>
      <c r="Z253" s="301"/>
      <c r="AA253" s="301"/>
      <c r="AB253" s="301"/>
      <c r="AC253" s="301"/>
      <c r="AD253" s="301"/>
      <c r="AE253" s="300"/>
    </row>
    <row r="254" spans="3:31">
      <c r="C254" s="300"/>
      <c r="D254" s="300"/>
      <c r="E254" s="300"/>
      <c r="F254" s="300"/>
      <c r="G254" s="300"/>
      <c r="H254" s="300"/>
      <c r="I254" s="300"/>
      <c r="J254" s="300"/>
      <c r="K254" s="300"/>
      <c r="L254" s="300"/>
      <c r="M254" s="301"/>
      <c r="N254" s="302"/>
      <c r="O254" s="303"/>
      <c r="P254" s="304"/>
      <c r="Q254" s="300"/>
      <c r="R254" s="300"/>
      <c r="S254" s="300"/>
      <c r="T254" s="300"/>
      <c r="U254" s="300"/>
      <c r="V254" s="300"/>
      <c r="W254" s="301"/>
      <c r="X254" s="301"/>
      <c r="Y254" s="301"/>
      <c r="Z254" s="301"/>
      <c r="AA254" s="301"/>
      <c r="AB254" s="301"/>
      <c r="AC254" s="301"/>
      <c r="AD254" s="301"/>
      <c r="AE254" s="300"/>
    </row>
    <row r="255" spans="3:31">
      <c r="C255" s="300"/>
      <c r="D255" s="300"/>
      <c r="E255" s="300"/>
      <c r="F255" s="300"/>
      <c r="G255" s="300"/>
      <c r="H255" s="300"/>
      <c r="I255" s="300"/>
      <c r="J255" s="300"/>
      <c r="K255" s="300"/>
      <c r="L255" s="300"/>
      <c r="M255" s="301"/>
      <c r="N255" s="302"/>
      <c r="O255" s="303"/>
      <c r="P255" s="304"/>
      <c r="Q255" s="300"/>
      <c r="R255" s="300"/>
      <c r="S255" s="300"/>
      <c r="T255" s="300"/>
      <c r="U255" s="300"/>
      <c r="V255" s="300"/>
      <c r="W255" s="301"/>
      <c r="X255" s="301"/>
      <c r="Y255" s="301"/>
      <c r="Z255" s="301"/>
      <c r="AA255" s="301"/>
      <c r="AB255" s="301"/>
      <c r="AC255" s="301"/>
      <c r="AD255" s="301"/>
      <c r="AE255" s="300"/>
    </row>
    <row r="256" spans="3:31">
      <c r="C256" s="300"/>
      <c r="D256" s="300"/>
      <c r="E256" s="300"/>
      <c r="F256" s="300"/>
      <c r="G256" s="300"/>
      <c r="H256" s="300"/>
      <c r="I256" s="300"/>
      <c r="J256" s="300"/>
      <c r="K256" s="300"/>
      <c r="L256" s="300"/>
      <c r="M256" s="301"/>
      <c r="N256" s="302"/>
      <c r="O256" s="303"/>
      <c r="P256" s="304"/>
      <c r="Q256" s="300"/>
      <c r="R256" s="300"/>
      <c r="S256" s="300"/>
      <c r="T256" s="300"/>
      <c r="U256" s="300"/>
      <c r="V256" s="300"/>
      <c r="W256" s="301"/>
      <c r="X256" s="301"/>
      <c r="Y256" s="301"/>
      <c r="Z256" s="301"/>
      <c r="AA256" s="301"/>
      <c r="AB256" s="301"/>
      <c r="AC256" s="301"/>
      <c r="AD256" s="301"/>
      <c r="AE256" s="300"/>
    </row>
    <row r="257" spans="3:31">
      <c r="C257" s="300"/>
      <c r="D257" s="300"/>
      <c r="E257" s="300"/>
      <c r="F257" s="300"/>
      <c r="G257" s="300"/>
      <c r="H257" s="300"/>
      <c r="I257" s="300"/>
      <c r="J257" s="300"/>
      <c r="K257" s="300"/>
      <c r="L257" s="300"/>
      <c r="M257" s="301"/>
      <c r="N257" s="302"/>
      <c r="O257" s="303"/>
      <c r="P257" s="304"/>
      <c r="Q257" s="300"/>
      <c r="R257" s="300"/>
      <c r="S257" s="300"/>
      <c r="T257" s="300"/>
      <c r="U257" s="300"/>
      <c r="V257" s="300"/>
      <c r="W257" s="301"/>
      <c r="X257" s="301"/>
      <c r="Y257" s="301"/>
      <c r="Z257" s="301"/>
      <c r="AA257" s="301"/>
      <c r="AB257" s="301"/>
      <c r="AC257" s="301"/>
      <c r="AD257" s="301"/>
      <c r="AE257" s="300"/>
    </row>
    <row r="258" spans="3:31">
      <c r="C258" s="300"/>
      <c r="D258" s="300"/>
      <c r="E258" s="300"/>
      <c r="F258" s="300"/>
      <c r="G258" s="300"/>
      <c r="H258" s="300"/>
      <c r="I258" s="300"/>
      <c r="J258" s="300"/>
      <c r="K258" s="300"/>
      <c r="L258" s="300"/>
      <c r="M258" s="301"/>
      <c r="N258" s="302"/>
      <c r="O258" s="303"/>
      <c r="P258" s="304"/>
      <c r="Q258" s="300"/>
      <c r="R258" s="300"/>
      <c r="S258" s="300"/>
      <c r="T258" s="300"/>
      <c r="U258" s="300"/>
      <c r="V258" s="300"/>
      <c r="W258" s="301"/>
      <c r="X258" s="301"/>
      <c r="Y258" s="301"/>
      <c r="Z258" s="301"/>
      <c r="AA258" s="301"/>
      <c r="AB258" s="301"/>
      <c r="AC258" s="301"/>
      <c r="AD258" s="301"/>
      <c r="AE258" s="300"/>
    </row>
    <row r="259" spans="3:31">
      <c r="C259" s="300"/>
      <c r="D259" s="300"/>
      <c r="E259" s="300"/>
      <c r="F259" s="300"/>
      <c r="G259" s="300"/>
      <c r="H259" s="300"/>
      <c r="I259" s="300"/>
      <c r="J259" s="300"/>
      <c r="K259" s="300"/>
      <c r="L259" s="300"/>
      <c r="M259" s="301"/>
      <c r="N259" s="302"/>
      <c r="O259" s="303"/>
      <c r="P259" s="304"/>
      <c r="Q259" s="300"/>
      <c r="R259" s="300"/>
      <c r="S259" s="300"/>
      <c r="T259" s="300"/>
      <c r="U259" s="300"/>
      <c r="V259" s="300"/>
      <c r="W259" s="301"/>
      <c r="X259" s="301"/>
      <c r="Y259" s="301"/>
      <c r="Z259" s="301"/>
      <c r="AA259" s="301"/>
      <c r="AB259" s="301"/>
      <c r="AC259" s="301"/>
      <c r="AD259" s="301"/>
      <c r="AE259" s="300"/>
    </row>
    <row r="260" spans="3:31">
      <c r="C260" s="300"/>
      <c r="D260" s="300"/>
      <c r="E260" s="300"/>
      <c r="F260" s="300"/>
      <c r="G260" s="300"/>
      <c r="H260" s="300"/>
      <c r="I260" s="300"/>
      <c r="J260" s="300"/>
      <c r="K260" s="300"/>
      <c r="L260" s="300"/>
      <c r="M260" s="301"/>
      <c r="N260" s="302"/>
      <c r="O260" s="303"/>
      <c r="P260" s="304"/>
      <c r="Q260" s="300"/>
      <c r="R260" s="300"/>
      <c r="S260" s="300"/>
      <c r="T260" s="300"/>
      <c r="U260" s="300"/>
      <c r="V260" s="300"/>
      <c r="W260" s="301"/>
      <c r="X260" s="301"/>
      <c r="Y260" s="301"/>
      <c r="Z260" s="301"/>
      <c r="AA260" s="301"/>
      <c r="AB260" s="301"/>
      <c r="AC260" s="301"/>
      <c r="AD260" s="301"/>
      <c r="AE260" s="300"/>
    </row>
    <row r="261" spans="3:31">
      <c r="C261" s="300"/>
      <c r="D261" s="300"/>
      <c r="E261" s="300"/>
      <c r="F261" s="300"/>
      <c r="G261" s="300"/>
      <c r="H261" s="300"/>
      <c r="I261" s="300"/>
      <c r="J261" s="300"/>
      <c r="K261" s="300"/>
      <c r="L261" s="300"/>
      <c r="M261" s="301"/>
      <c r="N261" s="302"/>
      <c r="O261" s="303"/>
      <c r="P261" s="304"/>
      <c r="Q261" s="300"/>
      <c r="R261" s="300"/>
      <c r="S261" s="300"/>
      <c r="T261" s="300"/>
      <c r="U261" s="300"/>
      <c r="V261" s="300"/>
      <c r="W261" s="301"/>
      <c r="X261" s="301"/>
      <c r="Y261" s="301"/>
      <c r="Z261" s="301"/>
      <c r="AA261" s="301"/>
      <c r="AB261" s="301"/>
      <c r="AC261" s="301"/>
      <c r="AD261" s="301"/>
      <c r="AE261" s="300"/>
    </row>
    <row r="262" spans="3:31">
      <c r="C262" s="300"/>
      <c r="D262" s="300"/>
      <c r="E262" s="300"/>
      <c r="F262" s="300"/>
      <c r="G262" s="300"/>
      <c r="H262" s="300"/>
      <c r="I262" s="300"/>
      <c r="J262" s="300"/>
      <c r="K262" s="300"/>
      <c r="L262" s="300"/>
      <c r="M262" s="301"/>
      <c r="N262" s="302"/>
      <c r="O262" s="303"/>
      <c r="P262" s="304"/>
      <c r="Q262" s="300"/>
      <c r="R262" s="300"/>
      <c r="S262" s="300"/>
      <c r="T262" s="300"/>
      <c r="U262" s="300"/>
      <c r="V262" s="300"/>
      <c r="W262" s="301"/>
      <c r="X262" s="301"/>
      <c r="Y262" s="301"/>
      <c r="Z262" s="301"/>
      <c r="AA262" s="301"/>
      <c r="AB262" s="301"/>
      <c r="AC262" s="301"/>
      <c r="AD262" s="301"/>
      <c r="AE262" s="300"/>
    </row>
    <row r="263" spans="3:31">
      <c r="C263" s="300"/>
      <c r="D263" s="300"/>
      <c r="E263" s="300"/>
      <c r="F263" s="300"/>
      <c r="G263" s="300"/>
      <c r="H263" s="300"/>
      <c r="I263" s="300"/>
      <c r="J263" s="300"/>
      <c r="K263" s="300"/>
      <c r="L263" s="300"/>
      <c r="M263" s="301"/>
      <c r="N263" s="302"/>
      <c r="O263" s="303"/>
      <c r="P263" s="304"/>
      <c r="Q263" s="300"/>
      <c r="R263" s="300"/>
      <c r="S263" s="300"/>
      <c r="T263" s="300"/>
      <c r="U263" s="300"/>
      <c r="V263" s="300"/>
      <c r="W263" s="301"/>
      <c r="X263" s="301"/>
      <c r="Y263" s="301"/>
      <c r="Z263" s="301"/>
      <c r="AA263" s="301"/>
      <c r="AB263" s="301"/>
      <c r="AC263" s="301"/>
      <c r="AD263" s="301"/>
      <c r="AE263" s="300"/>
    </row>
    <row r="264" spans="3:31">
      <c r="C264" s="300"/>
      <c r="D264" s="300"/>
      <c r="E264" s="300"/>
      <c r="F264" s="300"/>
      <c r="G264" s="300"/>
      <c r="H264" s="300"/>
      <c r="I264" s="300"/>
      <c r="J264" s="300"/>
      <c r="K264" s="300"/>
      <c r="L264" s="300"/>
      <c r="M264" s="301"/>
      <c r="N264" s="302"/>
      <c r="O264" s="303"/>
      <c r="P264" s="304"/>
      <c r="Q264" s="300"/>
      <c r="R264" s="300"/>
      <c r="S264" s="300"/>
      <c r="T264" s="300"/>
      <c r="U264" s="300"/>
      <c r="V264" s="300"/>
      <c r="W264" s="301"/>
      <c r="X264" s="301"/>
      <c r="Y264" s="301"/>
      <c r="Z264" s="301"/>
      <c r="AA264" s="301"/>
      <c r="AB264" s="301"/>
      <c r="AC264" s="301"/>
      <c r="AD264" s="301"/>
      <c r="AE264" s="300"/>
    </row>
    <row r="265" spans="3:31">
      <c r="C265" s="300"/>
      <c r="D265" s="300"/>
      <c r="E265" s="300"/>
      <c r="F265" s="300"/>
      <c r="G265" s="300"/>
      <c r="H265" s="300"/>
      <c r="I265" s="300"/>
      <c r="J265" s="300"/>
      <c r="K265" s="300"/>
      <c r="L265" s="300"/>
      <c r="M265" s="301"/>
      <c r="N265" s="302"/>
      <c r="O265" s="303"/>
      <c r="P265" s="304"/>
      <c r="Q265" s="300"/>
      <c r="R265" s="300"/>
      <c r="S265" s="300"/>
      <c r="T265" s="300"/>
      <c r="U265" s="300"/>
      <c r="V265" s="300"/>
      <c r="W265" s="301"/>
      <c r="X265" s="301"/>
      <c r="Y265" s="301"/>
      <c r="Z265" s="301"/>
      <c r="AA265" s="301"/>
      <c r="AB265" s="301"/>
      <c r="AC265" s="301"/>
      <c r="AD265" s="301"/>
      <c r="AE265" s="300"/>
    </row>
    <row r="266" spans="3:31">
      <c r="C266" s="300"/>
      <c r="D266" s="300"/>
      <c r="E266" s="300"/>
      <c r="F266" s="300"/>
      <c r="G266" s="300"/>
      <c r="H266" s="300"/>
      <c r="I266" s="300"/>
      <c r="J266" s="300"/>
      <c r="K266" s="300"/>
      <c r="L266" s="300"/>
      <c r="M266" s="301"/>
      <c r="N266" s="302"/>
      <c r="O266" s="303"/>
      <c r="P266" s="304"/>
      <c r="Q266" s="300"/>
      <c r="R266" s="300"/>
      <c r="S266" s="300"/>
      <c r="T266" s="300"/>
      <c r="U266" s="300"/>
      <c r="V266" s="300"/>
      <c r="W266" s="301"/>
      <c r="X266" s="301"/>
      <c r="Y266" s="301"/>
      <c r="Z266" s="301"/>
      <c r="AA266" s="301"/>
      <c r="AB266" s="301"/>
      <c r="AC266" s="301"/>
      <c r="AD266" s="301"/>
      <c r="AE266" s="300"/>
    </row>
    <row r="267" spans="3:31">
      <c r="C267" s="300"/>
      <c r="D267" s="300"/>
      <c r="E267" s="300"/>
      <c r="F267" s="300"/>
      <c r="G267" s="300"/>
      <c r="H267" s="300"/>
      <c r="I267" s="300"/>
      <c r="J267" s="300"/>
      <c r="K267" s="300"/>
      <c r="L267" s="300"/>
      <c r="M267" s="301"/>
      <c r="N267" s="302"/>
      <c r="O267" s="303"/>
      <c r="P267" s="304"/>
      <c r="Q267" s="300"/>
      <c r="R267" s="300"/>
      <c r="S267" s="300"/>
      <c r="T267" s="300"/>
      <c r="U267" s="300"/>
      <c r="V267" s="300"/>
      <c r="W267" s="301"/>
      <c r="X267" s="301"/>
      <c r="Y267" s="301"/>
      <c r="Z267" s="301"/>
      <c r="AA267" s="301"/>
      <c r="AB267" s="301"/>
      <c r="AC267" s="301"/>
      <c r="AD267" s="301"/>
      <c r="AE267" s="300"/>
    </row>
    <row r="268" spans="3:31">
      <c r="C268" s="300"/>
      <c r="D268" s="300"/>
      <c r="E268" s="300"/>
      <c r="F268" s="300"/>
      <c r="G268" s="300"/>
      <c r="H268" s="300"/>
      <c r="I268" s="300"/>
      <c r="J268" s="300"/>
      <c r="K268" s="300"/>
      <c r="L268" s="300"/>
      <c r="M268" s="301"/>
      <c r="N268" s="302"/>
      <c r="O268" s="303"/>
      <c r="P268" s="304"/>
      <c r="Q268" s="300"/>
      <c r="R268" s="300"/>
      <c r="S268" s="300"/>
      <c r="T268" s="300"/>
      <c r="U268" s="300"/>
      <c r="V268" s="300"/>
      <c r="W268" s="301"/>
      <c r="X268" s="301"/>
      <c r="Y268" s="301"/>
      <c r="Z268" s="301"/>
      <c r="AA268" s="301"/>
      <c r="AB268" s="301"/>
      <c r="AC268" s="301"/>
      <c r="AD268" s="301"/>
      <c r="AE268" s="300"/>
    </row>
    <row r="269" spans="3:31">
      <c r="C269" s="300"/>
      <c r="D269" s="300"/>
      <c r="E269" s="300"/>
      <c r="F269" s="300"/>
      <c r="G269" s="300"/>
      <c r="H269" s="300"/>
      <c r="I269" s="300"/>
      <c r="J269" s="300"/>
      <c r="K269" s="300"/>
      <c r="L269" s="300"/>
      <c r="M269" s="301"/>
      <c r="N269" s="302"/>
      <c r="O269" s="303"/>
      <c r="P269" s="304"/>
      <c r="Q269" s="300"/>
      <c r="R269" s="300"/>
      <c r="S269" s="300"/>
      <c r="T269" s="300"/>
      <c r="U269" s="300"/>
      <c r="V269" s="300"/>
      <c r="W269" s="301"/>
      <c r="X269" s="301"/>
      <c r="Y269" s="301"/>
      <c r="Z269" s="301"/>
      <c r="AA269" s="301"/>
      <c r="AB269" s="301"/>
      <c r="AC269" s="301"/>
      <c r="AD269" s="301"/>
      <c r="AE269" s="300"/>
    </row>
    <row r="270" spans="3:31">
      <c r="C270" s="300"/>
      <c r="D270" s="300"/>
      <c r="E270" s="300"/>
      <c r="F270" s="300"/>
      <c r="G270" s="300"/>
      <c r="H270" s="300"/>
      <c r="I270" s="300"/>
      <c r="J270" s="300"/>
      <c r="K270" s="300"/>
      <c r="L270" s="300"/>
      <c r="M270" s="301"/>
      <c r="N270" s="302"/>
      <c r="O270" s="303"/>
      <c r="P270" s="304"/>
      <c r="Q270" s="300"/>
      <c r="R270" s="300"/>
      <c r="S270" s="300"/>
      <c r="T270" s="300"/>
      <c r="U270" s="300"/>
      <c r="V270" s="300"/>
      <c r="W270" s="301"/>
      <c r="X270" s="301"/>
      <c r="Y270" s="301"/>
      <c r="Z270" s="301"/>
      <c r="AA270" s="301"/>
      <c r="AB270" s="301"/>
      <c r="AC270" s="301"/>
      <c r="AD270" s="301"/>
      <c r="AE270" s="300"/>
    </row>
    <row r="271" spans="3:31">
      <c r="C271" s="300"/>
      <c r="D271" s="300"/>
      <c r="E271" s="300"/>
      <c r="F271" s="300"/>
      <c r="G271" s="300"/>
      <c r="H271" s="300"/>
      <c r="I271" s="300"/>
      <c r="J271" s="300"/>
      <c r="K271" s="300"/>
      <c r="L271" s="300"/>
      <c r="M271" s="301"/>
      <c r="N271" s="302"/>
      <c r="O271" s="303"/>
      <c r="P271" s="304"/>
      <c r="Q271" s="300"/>
      <c r="R271" s="300"/>
      <c r="S271" s="300"/>
      <c r="T271" s="300"/>
      <c r="U271" s="300"/>
      <c r="V271" s="300"/>
      <c r="W271" s="301"/>
      <c r="X271" s="301"/>
      <c r="Y271" s="301"/>
      <c r="Z271" s="301"/>
      <c r="AA271" s="301"/>
      <c r="AB271" s="301"/>
      <c r="AC271" s="301"/>
      <c r="AD271" s="301"/>
      <c r="AE271" s="300"/>
    </row>
    <row r="272" spans="3:31">
      <c r="C272" s="300"/>
      <c r="D272" s="300"/>
      <c r="E272" s="300"/>
      <c r="F272" s="300"/>
      <c r="G272" s="300"/>
      <c r="H272" s="300"/>
      <c r="I272" s="300"/>
      <c r="J272" s="300"/>
      <c r="K272" s="300"/>
      <c r="L272" s="300"/>
      <c r="M272" s="301"/>
      <c r="N272" s="302"/>
      <c r="O272" s="303"/>
      <c r="P272" s="304"/>
      <c r="Q272" s="300"/>
      <c r="R272" s="300"/>
      <c r="S272" s="300"/>
      <c r="T272" s="300"/>
      <c r="U272" s="300"/>
      <c r="V272" s="300"/>
      <c r="W272" s="301"/>
      <c r="X272" s="301"/>
      <c r="Y272" s="301"/>
      <c r="Z272" s="301"/>
      <c r="AA272" s="301"/>
      <c r="AB272" s="301"/>
      <c r="AC272" s="301"/>
      <c r="AD272" s="301"/>
      <c r="AE272" s="300"/>
    </row>
    <row r="273" spans="3:31">
      <c r="C273" s="300"/>
      <c r="D273" s="300"/>
      <c r="E273" s="300"/>
      <c r="F273" s="300"/>
      <c r="G273" s="300"/>
      <c r="H273" s="300"/>
      <c r="I273" s="300"/>
      <c r="J273" s="300"/>
      <c r="K273" s="300"/>
      <c r="L273" s="300"/>
      <c r="M273" s="301"/>
      <c r="N273" s="302"/>
      <c r="O273" s="303"/>
      <c r="P273" s="304"/>
      <c r="Q273" s="300"/>
      <c r="R273" s="300"/>
      <c r="S273" s="300"/>
      <c r="T273" s="300"/>
      <c r="U273" s="300"/>
      <c r="V273" s="300"/>
      <c r="W273" s="301"/>
      <c r="X273" s="301"/>
      <c r="Y273" s="301"/>
      <c r="Z273" s="301"/>
      <c r="AA273" s="301"/>
      <c r="AB273" s="301"/>
      <c r="AC273" s="301"/>
      <c r="AD273" s="301"/>
      <c r="AE273" s="300"/>
    </row>
    <row r="274" spans="3:31">
      <c r="C274" s="300"/>
      <c r="D274" s="300"/>
      <c r="E274" s="300"/>
      <c r="F274" s="300"/>
      <c r="G274" s="300"/>
      <c r="H274" s="300"/>
      <c r="I274" s="300"/>
      <c r="J274" s="300"/>
      <c r="K274" s="300"/>
      <c r="L274" s="300"/>
      <c r="M274" s="301"/>
      <c r="N274" s="302"/>
      <c r="O274" s="303"/>
      <c r="P274" s="304"/>
      <c r="Q274" s="300"/>
      <c r="R274" s="300"/>
      <c r="S274" s="300"/>
      <c r="T274" s="300"/>
      <c r="U274" s="300"/>
      <c r="V274" s="300"/>
      <c r="W274" s="301"/>
      <c r="X274" s="301"/>
      <c r="Y274" s="301"/>
      <c r="Z274" s="301"/>
      <c r="AA274" s="301"/>
      <c r="AB274" s="301"/>
      <c r="AC274" s="301"/>
      <c r="AD274" s="301"/>
      <c r="AE274" s="300"/>
    </row>
    <row r="275" spans="3:31">
      <c r="C275" s="300"/>
      <c r="D275" s="300"/>
      <c r="E275" s="300"/>
      <c r="F275" s="300"/>
      <c r="G275" s="300"/>
      <c r="H275" s="300"/>
      <c r="I275" s="300"/>
      <c r="J275" s="300"/>
      <c r="K275" s="300"/>
      <c r="L275" s="300"/>
      <c r="M275" s="301"/>
      <c r="N275" s="302"/>
      <c r="O275" s="303"/>
      <c r="P275" s="304"/>
      <c r="Q275" s="300"/>
      <c r="R275" s="300"/>
      <c r="S275" s="300"/>
      <c r="T275" s="300"/>
      <c r="U275" s="300"/>
      <c r="V275" s="300"/>
      <c r="W275" s="301"/>
      <c r="X275" s="301"/>
      <c r="Y275" s="301"/>
      <c r="Z275" s="301"/>
      <c r="AA275" s="301"/>
      <c r="AB275" s="301"/>
      <c r="AC275" s="301"/>
      <c r="AD275" s="301"/>
      <c r="AE275" s="300"/>
    </row>
    <row r="276" spans="3:31">
      <c r="C276" s="300"/>
      <c r="D276" s="300"/>
      <c r="E276" s="300"/>
      <c r="F276" s="300"/>
      <c r="G276" s="300"/>
      <c r="H276" s="300"/>
      <c r="I276" s="300"/>
      <c r="J276" s="300"/>
      <c r="K276" s="300"/>
      <c r="L276" s="300"/>
      <c r="M276" s="301"/>
      <c r="N276" s="302"/>
      <c r="O276" s="303"/>
      <c r="P276" s="304"/>
      <c r="Q276" s="300"/>
      <c r="R276" s="300"/>
      <c r="S276" s="300"/>
      <c r="T276" s="300"/>
      <c r="U276" s="300"/>
      <c r="V276" s="300"/>
      <c r="W276" s="301"/>
      <c r="X276" s="301"/>
      <c r="Y276" s="301"/>
      <c r="Z276" s="301"/>
      <c r="AA276" s="301"/>
      <c r="AB276" s="301"/>
      <c r="AC276" s="301"/>
      <c r="AD276" s="301"/>
      <c r="AE276" s="300"/>
    </row>
    <row r="277" spans="3:31">
      <c r="C277" s="300"/>
      <c r="D277" s="300"/>
      <c r="E277" s="300"/>
      <c r="F277" s="300"/>
      <c r="G277" s="300"/>
      <c r="H277" s="300"/>
      <c r="I277" s="300"/>
      <c r="J277" s="300"/>
      <c r="K277" s="300"/>
      <c r="L277" s="300"/>
      <c r="M277" s="301"/>
      <c r="N277" s="302"/>
      <c r="O277" s="303"/>
      <c r="P277" s="304"/>
      <c r="Q277" s="300"/>
      <c r="R277" s="300"/>
      <c r="S277" s="300"/>
      <c r="T277" s="300"/>
      <c r="U277" s="300"/>
      <c r="V277" s="300"/>
      <c r="W277" s="301"/>
      <c r="X277" s="301"/>
      <c r="Y277" s="301"/>
      <c r="Z277" s="301"/>
      <c r="AA277" s="301"/>
      <c r="AB277" s="301"/>
      <c r="AC277" s="301"/>
      <c r="AD277" s="301"/>
      <c r="AE277" s="300"/>
    </row>
    <row r="278" spans="3:31">
      <c r="C278" s="300"/>
      <c r="D278" s="300"/>
      <c r="E278" s="300"/>
      <c r="F278" s="300"/>
      <c r="G278" s="300"/>
      <c r="H278" s="300"/>
      <c r="I278" s="300"/>
      <c r="J278" s="300"/>
      <c r="K278" s="300"/>
      <c r="L278" s="300"/>
      <c r="M278" s="301"/>
      <c r="N278" s="302"/>
      <c r="O278" s="303"/>
      <c r="P278" s="304"/>
      <c r="Q278" s="300"/>
      <c r="R278" s="300"/>
      <c r="S278" s="300"/>
      <c r="T278" s="300"/>
      <c r="U278" s="300"/>
      <c r="V278" s="300"/>
      <c r="W278" s="301"/>
      <c r="X278" s="301"/>
      <c r="Y278" s="301"/>
      <c r="Z278" s="301"/>
      <c r="AA278" s="301"/>
      <c r="AB278" s="301"/>
      <c r="AC278" s="301"/>
      <c r="AD278" s="301"/>
      <c r="AE278" s="300"/>
    </row>
    <row r="279" spans="3:31">
      <c r="C279" s="300"/>
      <c r="D279" s="300"/>
      <c r="E279" s="300"/>
      <c r="F279" s="300"/>
      <c r="G279" s="300"/>
      <c r="H279" s="300"/>
      <c r="I279" s="300"/>
      <c r="J279" s="300"/>
      <c r="K279" s="300"/>
      <c r="L279" s="300"/>
      <c r="M279" s="301"/>
      <c r="N279" s="302"/>
      <c r="O279" s="303"/>
      <c r="P279" s="304"/>
      <c r="Q279" s="300"/>
      <c r="R279" s="300"/>
      <c r="S279" s="300"/>
      <c r="T279" s="300"/>
      <c r="U279" s="300"/>
      <c r="V279" s="300"/>
      <c r="W279" s="301"/>
      <c r="X279" s="301"/>
      <c r="Y279" s="301"/>
      <c r="Z279" s="301"/>
      <c r="AA279" s="301"/>
      <c r="AB279" s="301"/>
      <c r="AC279" s="301"/>
      <c r="AD279" s="301"/>
      <c r="AE279" s="300"/>
    </row>
    <row r="280" spans="3:31">
      <c r="C280" s="300"/>
      <c r="D280" s="300"/>
      <c r="E280" s="300"/>
      <c r="F280" s="300"/>
      <c r="G280" s="300"/>
      <c r="H280" s="300"/>
      <c r="I280" s="300"/>
      <c r="J280" s="300"/>
      <c r="K280" s="300"/>
      <c r="L280" s="300"/>
      <c r="M280" s="301"/>
      <c r="N280" s="302"/>
      <c r="O280" s="303"/>
      <c r="P280" s="304"/>
      <c r="Q280" s="300"/>
      <c r="R280" s="300"/>
      <c r="S280" s="300"/>
      <c r="T280" s="300"/>
      <c r="U280" s="300"/>
      <c r="V280" s="300"/>
      <c r="W280" s="301"/>
      <c r="X280" s="301"/>
      <c r="Y280" s="301"/>
      <c r="Z280" s="301"/>
      <c r="AA280" s="301"/>
      <c r="AB280" s="301"/>
      <c r="AC280" s="301"/>
      <c r="AD280" s="301"/>
      <c r="AE280" s="300"/>
    </row>
    <row r="281" spans="3:31">
      <c r="C281" s="300"/>
      <c r="D281" s="300"/>
      <c r="E281" s="300"/>
      <c r="F281" s="300"/>
      <c r="G281" s="300"/>
      <c r="H281" s="300"/>
      <c r="I281" s="300"/>
      <c r="J281" s="300"/>
      <c r="K281" s="300"/>
      <c r="L281" s="300"/>
      <c r="M281" s="301"/>
      <c r="N281" s="302"/>
      <c r="O281" s="303"/>
      <c r="P281" s="304"/>
      <c r="Q281" s="300"/>
      <c r="R281" s="300"/>
      <c r="S281" s="300"/>
      <c r="T281" s="300"/>
      <c r="U281" s="300"/>
      <c r="V281" s="300"/>
      <c r="W281" s="301"/>
      <c r="X281" s="301"/>
      <c r="Y281" s="301"/>
      <c r="Z281" s="301"/>
      <c r="AA281" s="301"/>
      <c r="AB281" s="301"/>
      <c r="AC281" s="301"/>
      <c r="AD281" s="301"/>
      <c r="AE281" s="300"/>
    </row>
    <row r="282" spans="3:31">
      <c r="C282" s="300"/>
      <c r="D282" s="300"/>
      <c r="E282" s="300"/>
      <c r="F282" s="300"/>
      <c r="G282" s="300"/>
      <c r="H282" s="300"/>
      <c r="I282" s="300"/>
      <c r="J282" s="300"/>
      <c r="K282" s="300"/>
      <c r="L282" s="300"/>
      <c r="M282" s="301"/>
      <c r="N282" s="302"/>
      <c r="O282" s="303"/>
      <c r="P282" s="304"/>
      <c r="Q282" s="300"/>
      <c r="R282" s="300"/>
      <c r="S282" s="300"/>
      <c r="T282" s="300"/>
      <c r="U282" s="300"/>
      <c r="V282" s="300"/>
      <c r="W282" s="301"/>
      <c r="X282" s="301"/>
      <c r="Y282" s="301"/>
      <c r="Z282" s="301"/>
      <c r="AA282" s="301"/>
      <c r="AB282" s="301"/>
      <c r="AC282" s="301"/>
      <c r="AD282" s="301"/>
      <c r="AE282" s="300"/>
    </row>
    <row r="283" spans="3:31">
      <c r="C283" s="300"/>
      <c r="D283" s="300"/>
      <c r="E283" s="300"/>
      <c r="F283" s="300"/>
      <c r="G283" s="300"/>
      <c r="H283" s="300"/>
      <c r="I283" s="300"/>
      <c r="J283" s="300"/>
      <c r="K283" s="300"/>
      <c r="L283" s="300"/>
      <c r="M283" s="301"/>
      <c r="N283" s="302"/>
      <c r="O283" s="303"/>
      <c r="P283" s="304"/>
      <c r="Q283" s="300"/>
      <c r="R283" s="300"/>
      <c r="S283" s="300"/>
      <c r="T283" s="300"/>
      <c r="U283" s="300"/>
      <c r="V283" s="300"/>
      <c r="W283" s="301"/>
      <c r="X283" s="301"/>
      <c r="Y283" s="301"/>
      <c r="Z283" s="301"/>
      <c r="AA283" s="301"/>
      <c r="AB283" s="301"/>
      <c r="AC283" s="301"/>
      <c r="AD283" s="301"/>
      <c r="AE283" s="300"/>
    </row>
    <row r="284" spans="3:31">
      <c r="C284" s="300"/>
      <c r="D284" s="300"/>
      <c r="E284" s="300"/>
      <c r="F284" s="300"/>
      <c r="G284" s="300"/>
      <c r="H284" s="300"/>
      <c r="I284" s="300"/>
      <c r="J284" s="300"/>
      <c r="K284" s="300"/>
      <c r="L284" s="300"/>
      <c r="M284" s="301"/>
      <c r="N284" s="302"/>
      <c r="O284" s="303"/>
      <c r="P284" s="304"/>
      <c r="Q284" s="300"/>
      <c r="R284" s="300"/>
      <c r="S284" s="300"/>
      <c r="T284" s="300"/>
      <c r="U284" s="300"/>
      <c r="V284" s="300"/>
      <c r="W284" s="301"/>
      <c r="X284" s="301"/>
      <c r="Y284" s="301"/>
      <c r="Z284" s="301"/>
      <c r="AA284" s="301"/>
      <c r="AB284" s="301"/>
      <c r="AC284" s="301"/>
      <c r="AD284" s="301"/>
      <c r="AE284" s="300"/>
    </row>
    <row r="285" spans="3:31">
      <c r="C285" s="300"/>
      <c r="D285" s="300"/>
      <c r="E285" s="300"/>
      <c r="F285" s="300"/>
      <c r="G285" s="300"/>
      <c r="H285" s="300"/>
      <c r="I285" s="300"/>
      <c r="J285" s="300"/>
      <c r="K285" s="300"/>
      <c r="L285" s="300"/>
      <c r="M285" s="301"/>
      <c r="N285" s="302"/>
      <c r="O285" s="303"/>
      <c r="P285" s="304"/>
      <c r="Q285" s="300"/>
      <c r="R285" s="300"/>
      <c r="S285" s="300"/>
      <c r="T285" s="300"/>
      <c r="U285" s="300"/>
      <c r="V285" s="300"/>
      <c r="W285" s="301"/>
      <c r="X285" s="301"/>
      <c r="Y285" s="301"/>
      <c r="Z285" s="301"/>
      <c r="AA285" s="301"/>
      <c r="AB285" s="301"/>
      <c r="AC285" s="301"/>
      <c r="AD285" s="301"/>
      <c r="AE285" s="300"/>
    </row>
    <row r="286" spans="3:31">
      <c r="C286" s="300"/>
      <c r="D286" s="300"/>
      <c r="E286" s="300"/>
      <c r="F286" s="300"/>
      <c r="G286" s="300"/>
      <c r="H286" s="300"/>
      <c r="I286" s="300"/>
      <c r="J286" s="300"/>
      <c r="K286" s="300"/>
      <c r="L286" s="300"/>
      <c r="M286" s="301"/>
      <c r="N286" s="302"/>
      <c r="O286" s="303"/>
      <c r="P286" s="304"/>
      <c r="Q286" s="300"/>
      <c r="R286" s="300"/>
      <c r="S286" s="300"/>
      <c r="T286" s="300"/>
      <c r="U286" s="300"/>
      <c r="V286" s="300"/>
      <c r="W286" s="301"/>
      <c r="X286" s="301"/>
      <c r="Y286" s="301"/>
      <c r="Z286" s="301"/>
      <c r="AA286" s="301"/>
      <c r="AB286" s="301"/>
      <c r="AC286" s="301"/>
      <c r="AD286" s="301"/>
      <c r="AE286" s="300"/>
    </row>
    <row r="287" spans="3:31">
      <c r="C287" s="300"/>
      <c r="D287" s="300"/>
      <c r="E287" s="300"/>
      <c r="F287" s="300"/>
      <c r="G287" s="300"/>
      <c r="H287" s="300"/>
      <c r="I287" s="300"/>
      <c r="J287" s="300"/>
      <c r="K287" s="300"/>
      <c r="L287" s="300"/>
      <c r="M287" s="301"/>
      <c r="N287" s="302"/>
      <c r="O287" s="303"/>
      <c r="P287" s="304"/>
      <c r="Q287" s="300"/>
      <c r="R287" s="300"/>
      <c r="S287" s="300"/>
      <c r="T287" s="300"/>
      <c r="U287" s="300"/>
      <c r="V287" s="300"/>
      <c r="W287" s="301"/>
      <c r="X287" s="301"/>
      <c r="Y287" s="301"/>
      <c r="Z287" s="301"/>
      <c r="AA287" s="301"/>
      <c r="AB287" s="301"/>
      <c r="AC287" s="301"/>
      <c r="AD287" s="301"/>
      <c r="AE287" s="300"/>
    </row>
    <row r="288" spans="3:31">
      <c r="C288" s="300"/>
      <c r="D288" s="300"/>
      <c r="E288" s="300"/>
      <c r="F288" s="300"/>
      <c r="G288" s="300"/>
      <c r="H288" s="300"/>
      <c r="I288" s="300"/>
      <c r="J288" s="300"/>
      <c r="K288" s="300"/>
      <c r="L288" s="300"/>
      <c r="M288" s="301"/>
      <c r="N288" s="302"/>
      <c r="O288" s="303"/>
      <c r="P288" s="304"/>
      <c r="Q288" s="300"/>
      <c r="R288" s="300"/>
      <c r="S288" s="300"/>
      <c r="T288" s="300"/>
      <c r="U288" s="300"/>
      <c r="V288" s="300"/>
      <c r="W288" s="301"/>
      <c r="X288" s="301"/>
      <c r="Y288" s="301"/>
      <c r="Z288" s="301"/>
      <c r="AA288" s="301"/>
      <c r="AB288" s="301"/>
      <c r="AC288" s="301"/>
      <c r="AD288" s="301"/>
      <c r="AE288" s="300"/>
    </row>
    <row r="289" spans="3:31">
      <c r="C289" s="300"/>
      <c r="D289" s="300"/>
      <c r="E289" s="300"/>
      <c r="F289" s="300"/>
      <c r="G289" s="300"/>
      <c r="H289" s="300"/>
      <c r="I289" s="300"/>
      <c r="J289" s="300"/>
      <c r="K289" s="300"/>
      <c r="L289" s="300"/>
      <c r="M289" s="301"/>
      <c r="N289" s="302"/>
      <c r="O289" s="303"/>
      <c r="P289" s="304"/>
      <c r="Q289" s="300"/>
      <c r="R289" s="300"/>
      <c r="S289" s="300"/>
      <c r="T289" s="300"/>
      <c r="U289" s="300"/>
      <c r="V289" s="300"/>
      <c r="W289" s="301"/>
      <c r="X289" s="301"/>
      <c r="Y289" s="301"/>
      <c r="Z289" s="301"/>
      <c r="AA289" s="301"/>
      <c r="AB289" s="301"/>
      <c r="AC289" s="301"/>
      <c r="AD289" s="301"/>
      <c r="AE289" s="300"/>
    </row>
    <row r="290" spans="3:31">
      <c r="C290" s="300"/>
      <c r="D290" s="300"/>
      <c r="E290" s="300"/>
      <c r="F290" s="300"/>
      <c r="G290" s="300"/>
      <c r="H290" s="300"/>
      <c r="I290" s="300"/>
      <c r="J290" s="300"/>
      <c r="K290" s="300"/>
      <c r="L290" s="300"/>
      <c r="M290" s="301"/>
      <c r="N290" s="302"/>
      <c r="O290" s="303"/>
      <c r="P290" s="304"/>
      <c r="Q290" s="300"/>
      <c r="R290" s="300"/>
      <c r="S290" s="300"/>
      <c r="T290" s="300"/>
      <c r="U290" s="300"/>
      <c r="V290" s="300"/>
      <c r="W290" s="301"/>
      <c r="X290" s="301"/>
      <c r="Y290" s="301"/>
      <c r="Z290" s="301"/>
      <c r="AA290" s="301"/>
      <c r="AB290" s="301"/>
      <c r="AC290" s="301"/>
      <c r="AD290" s="301"/>
      <c r="AE290" s="300"/>
    </row>
    <row r="291" spans="3:31">
      <c r="C291" s="300"/>
      <c r="D291" s="300"/>
      <c r="E291" s="300"/>
      <c r="F291" s="300"/>
      <c r="G291" s="300"/>
      <c r="H291" s="300"/>
      <c r="I291" s="300"/>
      <c r="J291" s="300"/>
      <c r="K291" s="300"/>
      <c r="L291" s="300"/>
      <c r="M291" s="301"/>
      <c r="N291" s="302"/>
      <c r="O291" s="303"/>
      <c r="P291" s="304"/>
      <c r="Q291" s="300"/>
      <c r="R291" s="300"/>
      <c r="S291" s="300"/>
      <c r="T291" s="300"/>
      <c r="U291" s="300"/>
      <c r="V291" s="300"/>
      <c r="W291" s="301"/>
      <c r="X291" s="301"/>
      <c r="Y291" s="301"/>
      <c r="Z291" s="301"/>
      <c r="AA291" s="301"/>
      <c r="AB291" s="301"/>
      <c r="AC291" s="301"/>
      <c r="AD291" s="301"/>
      <c r="AE291" s="300"/>
    </row>
    <row r="292" spans="3:31">
      <c r="C292" s="300"/>
      <c r="D292" s="300"/>
      <c r="E292" s="300"/>
      <c r="F292" s="300"/>
      <c r="G292" s="300"/>
      <c r="H292" s="300"/>
      <c r="I292" s="300"/>
      <c r="J292" s="300"/>
      <c r="K292" s="300"/>
      <c r="L292" s="300"/>
      <c r="M292" s="301"/>
      <c r="N292" s="302"/>
      <c r="O292" s="303"/>
      <c r="P292" s="304"/>
      <c r="Q292" s="300"/>
      <c r="R292" s="300"/>
      <c r="S292" s="300"/>
      <c r="T292" s="300"/>
      <c r="U292" s="300"/>
      <c r="V292" s="300"/>
      <c r="W292" s="301"/>
      <c r="X292" s="301"/>
      <c r="Y292" s="301"/>
      <c r="Z292" s="301"/>
      <c r="AA292" s="301"/>
      <c r="AB292" s="301"/>
      <c r="AC292" s="301"/>
      <c r="AD292" s="301"/>
      <c r="AE292" s="300"/>
    </row>
    <row r="293" spans="3:31">
      <c r="C293" s="300"/>
      <c r="D293" s="300"/>
      <c r="E293" s="300"/>
      <c r="F293" s="300"/>
      <c r="G293" s="300"/>
      <c r="H293" s="300"/>
      <c r="I293" s="300"/>
      <c r="J293" s="300"/>
      <c r="K293" s="300"/>
      <c r="L293" s="300"/>
      <c r="M293" s="301"/>
      <c r="N293" s="302"/>
      <c r="O293" s="303"/>
      <c r="P293" s="304"/>
      <c r="Q293" s="300"/>
      <c r="R293" s="300"/>
      <c r="S293" s="300"/>
      <c r="T293" s="300"/>
      <c r="U293" s="300"/>
      <c r="V293" s="300"/>
      <c r="W293" s="301"/>
      <c r="X293" s="301"/>
      <c r="Y293" s="301"/>
      <c r="Z293" s="301"/>
      <c r="AA293" s="301"/>
      <c r="AB293" s="301"/>
      <c r="AC293" s="301"/>
      <c r="AD293" s="301"/>
      <c r="AE293" s="300"/>
    </row>
    <row r="294" spans="3:31">
      <c r="C294" s="300"/>
      <c r="D294" s="300"/>
      <c r="E294" s="300"/>
      <c r="F294" s="300"/>
      <c r="G294" s="300"/>
      <c r="H294" s="300"/>
      <c r="I294" s="300"/>
      <c r="J294" s="300"/>
      <c r="K294" s="300"/>
      <c r="L294" s="300"/>
      <c r="M294" s="301"/>
      <c r="N294" s="302"/>
      <c r="O294" s="303"/>
      <c r="P294" s="304"/>
      <c r="Q294" s="300"/>
      <c r="R294" s="300"/>
      <c r="S294" s="300"/>
      <c r="T294" s="300"/>
      <c r="U294" s="300"/>
      <c r="V294" s="300"/>
      <c r="W294" s="301"/>
      <c r="X294" s="301"/>
      <c r="Y294" s="301"/>
      <c r="Z294" s="301"/>
      <c r="AA294" s="301"/>
      <c r="AB294" s="301"/>
      <c r="AC294" s="301"/>
      <c r="AD294" s="301"/>
      <c r="AE294" s="300"/>
    </row>
    <row r="295" spans="3:31">
      <c r="C295" s="300"/>
      <c r="D295" s="300"/>
      <c r="E295" s="300"/>
      <c r="F295" s="300"/>
      <c r="G295" s="300"/>
      <c r="H295" s="300"/>
      <c r="I295" s="300"/>
      <c r="J295" s="300"/>
      <c r="K295" s="300"/>
      <c r="L295" s="300"/>
      <c r="M295" s="301"/>
      <c r="N295" s="302"/>
      <c r="O295" s="303"/>
      <c r="P295" s="304"/>
      <c r="Q295" s="300"/>
      <c r="R295" s="300"/>
      <c r="S295" s="300"/>
      <c r="T295" s="300"/>
      <c r="U295" s="300"/>
      <c r="V295" s="300"/>
      <c r="W295" s="301"/>
      <c r="X295" s="301"/>
      <c r="Y295" s="301"/>
      <c r="Z295" s="301"/>
      <c r="AA295" s="301"/>
      <c r="AB295" s="301"/>
      <c r="AC295" s="301"/>
      <c r="AD295" s="301"/>
      <c r="AE295" s="300"/>
    </row>
    <row r="296" spans="3:31">
      <c r="C296" s="300"/>
      <c r="D296" s="300"/>
      <c r="E296" s="300"/>
      <c r="F296" s="300"/>
      <c r="G296" s="300"/>
      <c r="H296" s="300"/>
      <c r="I296" s="300"/>
      <c r="J296" s="300"/>
      <c r="K296" s="300"/>
      <c r="L296" s="300"/>
      <c r="M296" s="301"/>
      <c r="N296" s="302"/>
      <c r="O296" s="303"/>
      <c r="P296" s="304"/>
      <c r="Q296" s="300"/>
      <c r="R296" s="300"/>
      <c r="S296" s="300"/>
      <c r="T296" s="300"/>
      <c r="U296" s="300"/>
      <c r="V296" s="300"/>
      <c r="W296" s="301"/>
      <c r="X296" s="301"/>
      <c r="Y296" s="301"/>
      <c r="Z296" s="301"/>
      <c r="AA296" s="301"/>
      <c r="AB296" s="301"/>
      <c r="AC296" s="301"/>
      <c r="AD296" s="301"/>
      <c r="AE296" s="300"/>
    </row>
    <row r="297" spans="3:31">
      <c r="C297" s="300"/>
      <c r="D297" s="300"/>
      <c r="E297" s="300"/>
      <c r="F297" s="300"/>
      <c r="G297" s="300"/>
      <c r="H297" s="300"/>
      <c r="I297" s="300"/>
      <c r="J297" s="300"/>
      <c r="K297" s="300"/>
      <c r="L297" s="300"/>
      <c r="M297" s="301"/>
      <c r="N297" s="302"/>
      <c r="O297" s="303"/>
      <c r="P297" s="304"/>
      <c r="Q297" s="300"/>
      <c r="R297" s="300"/>
      <c r="S297" s="300"/>
      <c r="T297" s="300"/>
      <c r="U297" s="300"/>
      <c r="V297" s="300"/>
      <c r="W297" s="301"/>
      <c r="X297" s="301"/>
      <c r="Y297" s="301"/>
      <c r="Z297" s="301"/>
      <c r="AA297" s="301"/>
      <c r="AB297" s="301"/>
      <c r="AC297" s="301"/>
      <c r="AD297" s="301"/>
      <c r="AE297" s="300"/>
    </row>
    <row r="298" spans="3:31">
      <c r="C298" s="300"/>
      <c r="D298" s="300"/>
      <c r="E298" s="300"/>
      <c r="F298" s="300"/>
      <c r="G298" s="300"/>
      <c r="H298" s="300"/>
      <c r="I298" s="300"/>
      <c r="J298" s="300"/>
      <c r="K298" s="300"/>
      <c r="L298" s="300"/>
      <c r="M298" s="301"/>
      <c r="N298" s="302"/>
      <c r="O298" s="303"/>
      <c r="P298" s="304"/>
      <c r="Q298" s="300"/>
      <c r="R298" s="300"/>
      <c r="S298" s="300"/>
      <c r="T298" s="300"/>
      <c r="U298" s="300"/>
      <c r="V298" s="300"/>
      <c r="W298" s="301"/>
      <c r="X298" s="301"/>
      <c r="Y298" s="301"/>
      <c r="Z298" s="301"/>
      <c r="AA298" s="301"/>
      <c r="AB298" s="301"/>
      <c r="AC298" s="301"/>
      <c r="AD298" s="301"/>
      <c r="AE298" s="300"/>
    </row>
    <row r="299" spans="3:31">
      <c r="C299" s="300"/>
      <c r="D299" s="300"/>
      <c r="E299" s="300"/>
      <c r="F299" s="300"/>
      <c r="G299" s="300"/>
      <c r="H299" s="300"/>
      <c r="I299" s="300"/>
      <c r="J299" s="300"/>
      <c r="K299" s="300"/>
      <c r="L299" s="300"/>
      <c r="M299" s="301"/>
      <c r="N299" s="302"/>
      <c r="O299" s="303"/>
      <c r="P299" s="304"/>
      <c r="Q299" s="300"/>
      <c r="R299" s="300"/>
      <c r="S299" s="300"/>
      <c r="T299" s="300"/>
      <c r="U299" s="300"/>
      <c r="V299" s="300"/>
      <c r="W299" s="301"/>
      <c r="X299" s="301"/>
      <c r="Y299" s="301"/>
      <c r="Z299" s="301"/>
      <c r="AA299" s="301"/>
      <c r="AB299" s="301"/>
      <c r="AC299" s="301"/>
      <c r="AD299" s="301"/>
      <c r="AE299" s="300"/>
    </row>
    <row r="300" spans="3:31">
      <c r="C300" s="300"/>
      <c r="D300" s="300"/>
      <c r="E300" s="300"/>
      <c r="F300" s="300"/>
      <c r="G300" s="300"/>
      <c r="H300" s="300"/>
      <c r="I300" s="300"/>
      <c r="J300" s="300"/>
      <c r="K300" s="300"/>
      <c r="L300" s="300"/>
      <c r="M300" s="301"/>
      <c r="N300" s="302"/>
      <c r="O300" s="303"/>
      <c r="P300" s="304"/>
      <c r="Q300" s="300"/>
      <c r="R300" s="300"/>
      <c r="S300" s="300"/>
      <c r="T300" s="300"/>
      <c r="U300" s="300"/>
      <c r="V300" s="300"/>
      <c r="W300" s="301"/>
      <c r="X300" s="301"/>
      <c r="Y300" s="301"/>
      <c r="Z300" s="301"/>
      <c r="AA300" s="301"/>
      <c r="AB300" s="301"/>
      <c r="AC300" s="301"/>
      <c r="AD300" s="301"/>
      <c r="AE300" s="300"/>
    </row>
    <row r="301" spans="3:31">
      <c r="C301" s="300"/>
      <c r="D301" s="300"/>
      <c r="E301" s="300"/>
      <c r="F301" s="300"/>
      <c r="G301" s="300"/>
      <c r="H301" s="300"/>
      <c r="I301" s="300"/>
      <c r="J301" s="300"/>
      <c r="K301" s="300"/>
      <c r="L301" s="300"/>
      <c r="M301" s="301"/>
      <c r="N301" s="302"/>
      <c r="O301" s="303"/>
      <c r="P301" s="304"/>
      <c r="Q301" s="300"/>
      <c r="R301" s="300"/>
      <c r="S301" s="300"/>
      <c r="T301" s="300"/>
      <c r="U301" s="300"/>
      <c r="V301" s="300"/>
      <c r="W301" s="301"/>
      <c r="X301" s="301"/>
      <c r="Y301" s="301"/>
      <c r="Z301" s="301"/>
      <c r="AA301" s="301"/>
      <c r="AB301" s="301"/>
      <c r="AC301" s="301"/>
      <c r="AD301" s="301"/>
      <c r="AE301" s="300"/>
    </row>
    <row r="302" spans="3:31">
      <c r="C302" s="300"/>
      <c r="D302" s="300"/>
      <c r="E302" s="300"/>
      <c r="F302" s="300"/>
      <c r="G302" s="300"/>
      <c r="H302" s="300"/>
      <c r="I302" s="300"/>
      <c r="J302" s="300"/>
      <c r="K302" s="300"/>
      <c r="L302" s="300"/>
      <c r="M302" s="301"/>
      <c r="N302" s="302"/>
      <c r="O302" s="303"/>
      <c r="P302" s="304"/>
      <c r="Q302" s="300"/>
      <c r="R302" s="300"/>
      <c r="S302" s="300"/>
      <c r="T302" s="300"/>
      <c r="U302" s="300"/>
      <c r="V302" s="300"/>
      <c r="W302" s="301"/>
      <c r="X302" s="301"/>
      <c r="Y302" s="301"/>
      <c r="Z302" s="301"/>
      <c r="AA302" s="301"/>
      <c r="AB302" s="301"/>
      <c r="AC302" s="301"/>
      <c r="AD302" s="301"/>
      <c r="AE302" s="300"/>
    </row>
    <row r="303" spans="3:31">
      <c r="C303" s="300"/>
      <c r="D303" s="300"/>
      <c r="E303" s="300"/>
      <c r="F303" s="300"/>
      <c r="G303" s="300"/>
      <c r="H303" s="300"/>
      <c r="I303" s="300"/>
      <c r="J303" s="300"/>
      <c r="K303" s="300"/>
      <c r="L303" s="300"/>
      <c r="M303" s="301"/>
      <c r="N303" s="302"/>
      <c r="O303" s="303"/>
      <c r="P303" s="304"/>
      <c r="Q303" s="300"/>
      <c r="R303" s="300"/>
      <c r="S303" s="300"/>
      <c r="T303" s="300"/>
      <c r="U303" s="300"/>
      <c r="V303" s="300"/>
      <c r="W303" s="301"/>
      <c r="X303" s="301"/>
      <c r="Y303" s="301"/>
      <c r="Z303" s="301"/>
      <c r="AA303" s="301"/>
      <c r="AB303" s="301"/>
      <c r="AC303" s="301"/>
      <c r="AD303" s="301"/>
      <c r="AE303" s="300"/>
    </row>
    <row r="304" spans="3:31">
      <c r="C304" s="300"/>
      <c r="D304" s="300"/>
      <c r="E304" s="300"/>
      <c r="F304" s="300"/>
      <c r="G304" s="300"/>
      <c r="H304" s="300"/>
      <c r="I304" s="300"/>
      <c r="J304" s="300"/>
      <c r="K304" s="300"/>
      <c r="L304" s="300"/>
      <c r="M304" s="301"/>
      <c r="N304" s="302"/>
      <c r="O304" s="303"/>
      <c r="P304" s="304"/>
      <c r="Q304" s="300"/>
      <c r="R304" s="300"/>
      <c r="S304" s="300"/>
      <c r="T304" s="300"/>
      <c r="U304" s="300"/>
      <c r="V304" s="300"/>
      <c r="W304" s="301"/>
      <c r="X304" s="301"/>
      <c r="Y304" s="301"/>
      <c r="Z304" s="301"/>
      <c r="AA304" s="301"/>
      <c r="AB304" s="301"/>
      <c r="AC304" s="301"/>
      <c r="AD304" s="301"/>
      <c r="AE304" s="300"/>
    </row>
    <row r="305" spans="3:31">
      <c r="C305" s="300"/>
      <c r="D305" s="300"/>
      <c r="E305" s="300"/>
      <c r="F305" s="300"/>
      <c r="G305" s="300"/>
      <c r="H305" s="300"/>
      <c r="I305" s="300"/>
      <c r="J305" s="300"/>
      <c r="K305" s="300"/>
      <c r="L305" s="300"/>
      <c r="M305" s="301"/>
      <c r="N305" s="302"/>
      <c r="O305" s="303"/>
      <c r="P305" s="304"/>
      <c r="Q305" s="300"/>
      <c r="R305" s="300"/>
      <c r="S305" s="300"/>
      <c r="T305" s="300"/>
      <c r="U305" s="300"/>
      <c r="V305" s="300"/>
      <c r="W305" s="301"/>
      <c r="X305" s="301"/>
      <c r="Y305" s="301"/>
      <c r="Z305" s="301"/>
      <c r="AA305" s="301"/>
      <c r="AB305" s="301"/>
      <c r="AC305" s="301"/>
      <c r="AD305" s="301"/>
      <c r="AE305" s="300"/>
    </row>
    <row r="306" spans="3:31">
      <c r="C306" s="300"/>
      <c r="D306" s="300"/>
      <c r="E306" s="300"/>
      <c r="F306" s="300"/>
      <c r="G306" s="300"/>
      <c r="H306" s="300"/>
      <c r="I306" s="300"/>
      <c r="J306" s="300"/>
      <c r="K306" s="300"/>
      <c r="L306" s="300"/>
      <c r="M306" s="301"/>
      <c r="N306" s="302"/>
      <c r="O306" s="303"/>
      <c r="P306" s="304"/>
      <c r="Q306" s="300"/>
      <c r="R306" s="300"/>
      <c r="S306" s="300"/>
      <c r="T306" s="300"/>
      <c r="U306" s="300"/>
      <c r="V306" s="300"/>
      <c r="W306" s="301"/>
      <c r="X306" s="301"/>
      <c r="Y306" s="301"/>
      <c r="Z306" s="301"/>
      <c r="AA306" s="301"/>
      <c r="AB306" s="301"/>
      <c r="AC306" s="301"/>
      <c r="AD306" s="301"/>
      <c r="AE306" s="300"/>
    </row>
    <row r="307" spans="3:31">
      <c r="C307" s="300"/>
      <c r="D307" s="300"/>
      <c r="E307" s="300"/>
      <c r="F307" s="300"/>
      <c r="G307" s="300"/>
      <c r="H307" s="300"/>
      <c r="I307" s="300"/>
      <c r="J307" s="300"/>
      <c r="K307" s="300"/>
      <c r="L307" s="300"/>
      <c r="M307" s="301"/>
      <c r="N307" s="302"/>
      <c r="O307" s="303"/>
      <c r="P307" s="304"/>
      <c r="Q307" s="300"/>
      <c r="R307" s="300"/>
      <c r="S307" s="300"/>
      <c r="T307" s="300"/>
      <c r="U307" s="300"/>
      <c r="V307" s="300"/>
      <c r="W307" s="301"/>
      <c r="X307" s="301"/>
      <c r="Y307" s="301"/>
      <c r="Z307" s="301"/>
      <c r="AA307" s="301"/>
      <c r="AB307" s="301"/>
      <c r="AC307" s="301"/>
      <c r="AD307" s="301"/>
      <c r="AE307" s="300"/>
    </row>
    <row r="308" spans="3:31">
      <c r="C308" s="300"/>
      <c r="D308" s="300"/>
      <c r="E308" s="300"/>
      <c r="F308" s="300"/>
      <c r="G308" s="300"/>
      <c r="H308" s="300"/>
      <c r="I308" s="300"/>
      <c r="J308" s="300"/>
      <c r="K308" s="300"/>
      <c r="L308" s="300"/>
      <c r="M308" s="301"/>
      <c r="N308" s="302"/>
      <c r="O308" s="303"/>
      <c r="P308" s="304"/>
      <c r="Q308" s="300"/>
      <c r="R308" s="300"/>
      <c r="S308" s="300"/>
      <c r="T308" s="300"/>
      <c r="U308" s="300"/>
      <c r="V308" s="300"/>
      <c r="W308" s="301"/>
      <c r="X308" s="301"/>
      <c r="Y308" s="301"/>
      <c r="Z308" s="301"/>
      <c r="AA308" s="301"/>
      <c r="AB308" s="301"/>
      <c r="AC308" s="301"/>
      <c r="AD308" s="301"/>
      <c r="AE308" s="300"/>
    </row>
    <row r="309" spans="3:31">
      <c r="C309" s="300"/>
      <c r="D309" s="300"/>
      <c r="E309" s="300"/>
      <c r="F309" s="300"/>
      <c r="G309" s="300"/>
      <c r="H309" s="300"/>
      <c r="I309" s="300"/>
      <c r="J309" s="300"/>
      <c r="K309" s="300"/>
      <c r="L309" s="300"/>
      <c r="M309" s="301"/>
      <c r="N309" s="302"/>
      <c r="O309" s="303"/>
      <c r="P309" s="304"/>
      <c r="Q309" s="300"/>
      <c r="R309" s="300"/>
      <c r="S309" s="300"/>
      <c r="T309" s="300"/>
      <c r="U309" s="300"/>
      <c r="V309" s="300"/>
      <c r="W309" s="301"/>
      <c r="X309" s="301"/>
      <c r="Y309" s="301"/>
      <c r="Z309" s="301"/>
      <c r="AA309" s="301"/>
      <c r="AB309" s="301"/>
      <c r="AC309" s="301"/>
      <c r="AD309" s="301"/>
      <c r="AE309" s="300"/>
    </row>
    <row r="310" spans="3:31">
      <c r="C310" s="300"/>
      <c r="D310" s="300"/>
      <c r="E310" s="300"/>
      <c r="F310" s="300"/>
      <c r="G310" s="300"/>
      <c r="H310" s="300"/>
      <c r="I310" s="300"/>
      <c r="J310" s="300"/>
      <c r="K310" s="300"/>
      <c r="L310" s="300"/>
      <c r="M310" s="301"/>
      <c r="N310" s="302"/>
      <c r="O310" s="303"/>
      <c r="P310" s="304"/>
      <c r="Q310" s="300"/>
      <c r="R310" s="300"/>
      <c r="S310" s="300"/>
      <c r="T310" s="300"/>
      <c r="U310" s="300"/>
      <c r="V310" s="300"/>
      <c r="W310" s="301"/>
      <c r="X310" s="301"/>
      <c r="Y310" s="301"/>
      <c r="Z310" s="301"/>
      <c r="AA310" s="301"/>
      <c r="AB310" s="301"/>
      <c r="AC310" s="301"/>
      <c r="AD310" s="301"/>
      <c r="AE310" s="300"/>
    </row>
    <row r="311" spans="3:31">
      <c r="C311" s="300"/>
      <c r="D311" s="300"/>
      <c r="E311" s="300"/>
      <c r="F311" s="300"/>
      <c r="G311" s="300"/>
      <c r="H311" s="300"/>
      <c r="I311" s="300"/>
      <c r="J311" s="300"/>
      <c r="K311" s="300"/>
      <c r="L311" s="300"/>
      <c r="M311" s="301"/>
      <c r="N311" s="302"/>
      <c r="O311" s="303"/>
      <c r="P311" s="304"/>
      <c r="Q311" s="300"/>
      <c r="R311" s="300"/>
      <c r="S311" s="300"/>
      <c r="T311" s="300"/>
      <c r="U311" s="300"/>
      <c r="V311" s="300"/>
      <c r="W311" s="301"/>
      <c r="X311" s="301"/>
      <c r="Y311" s="301"/>
      <c r="Z311" s="301"/>
      <c r="AA311" s="301"/>
      <c r="AB311" s="301"/>
      <c r="AC311" s="301"/>
      <c r="AD311" s="301"/>
      <c r="AE311" s="300"/>
    </row>
    <row r="312" spans="3:31">
      <c r="C312" s="300"/>
      <c r="D312" s="300"/>
      <c r="E312" s="300"/>
      <c r="F312" s="300"/>
      <c r="G312" s="300"/>
      <c r="H312" s="300"/>
      <c r="I312" s="300"/>
      <c r="J312" s="300"/>
      <c r="K312" s="300"/>
      <c r="L312" s="300"/>
      <c r="M312" s="301"/>
      <c r="N312" s="302"/>
      <c r="O312" s="303"/>
      <c r="P312" s="304"/>
      <c r="Q312" s="300"/>
      <c r="R312" s="300"/>
      <c r="S312" s="300"/>
      <c r="T312" s="300"/>
      <c r="U312" s="300"/>
      <c r="V312" s="300"/>
      <c r="W312" s="301"/>
      <c r="X312" s="301"/>
      <c r="Y312" s="301"/>
      <c r="Z312" s="301"/>
      <c r="AA312" s="301"/>
      <c r="AB312" s="301"/>
      <c r="AC312" s="301"/>
      <c r="AD312" s="301"/>
      <c r="AE312" s="300"/>
    </row>
    <row r="313" spans="3:31">
      <c r="C313" s="300"/>
      <c r="D313" s="300"/>
      <c r="E313" s="300"/>
      <c r="F313" s="300"/>
      <c r="G313" s="300"/>
      <c r="H313" s="300"/>
      <c r="I313" s="300"/>
      <c r="J313" s="300"/>
      <c r="K313" s="300"/>
      <c r="L313" s="300"/>
      <c r="M313" s="301"/>
      <c r="N313" s="302"/>
      <c r="O313" s="303"/>
      <c r="P313" s="304"/>
      <c r="Q313" s="300"/>
      <c r="R313" s="300"/>
      <c r="S313" s="300"/>
      <c r="T313" s="300"/>
      <c r="U313" s="300"/>
      <c r="V313" s="300"/>
      <c r="W313" s="301"/>
      <c r="X313" s="301"/>
      <c r="Y313" s="301"/>
      <c r="Z313" s="301"/>
      <c r="AA313" s="301"/>
      <c r="AB313" s="301"/>
      <c r="AC313" s="301"/>
      <c r="AD313" s="301"/>
      <c r="AE313" s="300"/>
    </row>
    <row r="314" spans="3:31">
      <c r="C314" s="300"/>
      <c r="D314" s="300"/>
      <c r="E314" s="300"/>
      <c r="F314" s="300"/>
      <c r="G314" s="300"/>
      <c r="H314" s="300"/>
      <c r="I314" s="300"/>
      <c r="J314" s="300"/>
      <c r="K314" s="300"/>
      <c r="L314" s="300"/>
      <c r="M314" s="301"/>
      <c r="N314" s="302"/>
      <c r="O314" s="303"/>
      <c r="P314" s="304"/>
      <c r="Q314" s="300"/>
      <c r="R314" s="300"/>
      <c r="S314" s="300"/>
      <c r="T314" s="300"/>
      <c r="U314" s="300"/>
      <c r="V314" s="300"/>
      <c r="W314" s="301"/>
      <c r="X314" s="301"/>
      <c r="Y314" s="301"/>
      <c r="Z314" s="301"/>
      <c r="AA314" s="301"/>
      <c r="AB314" s="301"/>
      <c r="AC314" s="301"/>
      <c r="AD314" s="301"/>
      <c r="AE314" s="300"/>
    </row>
    <row r="315" spans="3:31">
      <c r="C315" s="300"/>
      <c r="D315" s="300"/>
      <c r="E315" s="300"/>
      <c r="F315" s="300"/>
      <c r="G315" s="300"/>
      <c r="H315" s="300"/>
      <c r="I315" s="300"/>
      <c r="J315" s="300"/>
      <c r="K315" s="300"/>
      <c r="L315" s="300"/>
      <c r="M315" s="301"/>
      <c r="N315" s="302"/>
      <c r="O315" s="303"/>
      <c r="P315" s="304"/>
      <c r="Q315" s="300"/>
      <c r="R315" s="300"/>
      <c r="S315" s="300"/>
      <c r="T315" s="300"/>
      <c r="U315" s="300"/>
      <c r="V315" s="300"/>
      <c r="W315" s="301"/>
      <c r="X315" s="301"/>
      <c r="Y315" s="301"/>
      <c r="Z315" s="301"/>
      <c r="AA315" s="301"/>
      <c r="AB315" s="301"/>
      <c r="AC315" s="301"/>
      <c r="AD315" s="301"/>
      <c r="AE315" s="300"/>
    </row>
    <row r="316" spans="3:31">
      <c r="C316" s="300"/>
      <c r="D316" s="300"/>
      <c r="E316" s="300"/>
      <c r="F316" s="300"/>
      <c r="G316" s="300"/>
      <c r="H316" s="300"/>
      <c r="I316" s="300"/>
      <c r="J316" s="300"/>
      <c r="K316" s="300"/>
      <c r="L316" s="300"/>
      <c r="M316" s="301"/>
      <c r="N316" s="302"/>
      <c r="O316" s="303"/>
      <c r="P316" s="304"/>
      <c r="Q316" s="300"/>
      <c r="R316" s="300"/>
      <c r="S316" s="300"/>
      <c r="T316" s="300"/>
      <c r="U316" s="300"/>
      <c r="V316" s="300"/>
      <c r="W316" s="301"/>
      <c r="X316" s="301"/>
      <c r="Y316" s="301"/>
      <c r="Z316" s="301"/>
      <c r="AA316" s="301"/>
      <c r="AB316" s="301"/>
      <c r="AC316" s="301"/>
      <c r="AD316" s="301"/>
      <c r="AE316" s="300"/>
    </row>
    <row r="317" spans="3:31">
      <c r="C317" s="300"/>
      <c r="D317" s="300"/>
      <c r="E317" s="300"/>
      <c r="F317" s="300"/>
      <c r="G317" s="300"/>
      <c r="H317" s="300"/>
      <c r="I317" s="300"/>
      <c r="J317" s="300"/>
      <c r="K317" s="300"/>
      <c r="L317" s="300"/>
      <c r="M317" s="301"/>
      <c r="N317" s="302"/>
      <c r="O317" s="303"/>
      <c r="P317" s="304"/>
      <c r="Q317" s="300"/>
      <c r="R317" s="300"/>
      <c r="S317" s="300"/>
      <c r="T317" s="300"/>
      <c r="U317" s="300"/>
      <c r="V317" s="300"/>
      <c r="W317" s="301"/>
      <c r="X317" s="301"/>
      <c r="Y317" s="301"/>
      <c r="Z317" s="301"/>
      <c r="AA317" s="301"/>
      <c r="AB317" s="301"/>
      <c r="AC317" s="301"/>
      <c r="AD317" s="301"/>
      <c r="AE317" s="300"/>
    </row>
    <row r="318" spans="3:31">
      <c r="C318" s="300"/>
      <c r="D318" s="300"/>
      <c r="E318" s="300"/>
      <c r="F318" s="300"/>
      <c r="G318" s="300"/>
      <c r="H318" s="300"/>
      <c r="I318" s="300"/>
      <c r="J318" s="300"/>
      <c r="K318" s="300"/>
      <c r="L318" s="300"/>
      <c r="M318" s="301"/>
      <c r="N318" s="302"/>
      <c r="O318" s="303"/>
      <c r="P318" s="304"/>
      <c r="Q318" s="300"/>
      <c r="R318" s="300"/>
      <c r="S318" s="300"/>
      <c r="T318" s="300"/>
      <c r="U318" s="300"/>
      <c r="V318" s="300"/>
      <c r="W318" s="301"/>
      <c r="X318" s="301"/>
      <c r="Y318" s="301"/>
      <c r="Z318" s="301"/>
      <c r="AA318" s="301"/>
      <c r="AB318" s="301"/>
      <c r="AC318" s="301"/>
      <c r="AD318" s="301"/>
      <c r="AE318" s="300"/>
    </row>
    <row r="319" spans="3:31">
      <c r="C319" s="300"/>
      <c r="D319" s="300"/>
      <c r="E319" s="300"/>
      <c r="F319" s="300"/>
      <c r="G319" s="300"/>
      <c r="H319" s="300"/>
      <c r="I319" s="300"/>
      <c r="J319" s="300"/>
      <c r="K319" s="300"/>
      <c r="L319" s="300"/>
      <c r="M319" s="301"/>
      <c r="N319" s="302"/>
      <c r="O319" s="303"/>
      <c r="P319" s="304"/>
      <c r="Q319" s="300"/>
      <c r="R319" s="300"/>
      <c r="S319" s="300"/>
      <c r="T319" s="300"/>
      <c r="U319" s="300"/>
      <c r="V319" s="300"/>
      <c r="W319" s="301"/>
      <c r="X319" s="301"/>
      <c r="Y319" s="301"/>
      <c r="Z319" s="301"/>
      <c r="AA319" s="301"/>
      <c r="AB319" s="301"/>
      <c r="AC319" s="301"/>
      <c r="AD319" s="301"/>
      <c r="AE319" s="300"/>
    </row>
    <row r="320" spans="3:31">
      <c r="C320" s="300"/>
      <c r="D320" s="300"/>
      <c r="E320" s="300"/>
      <c r="F320" s="300"/>
      <c r="G320" s="300"/>
      <c r="H320" s="300"/>
      <c r="I320" s="300"/>
      <c r="J320" s="300"/>
      <c r="K320" s="300"/>
      <c r="L320" s="300"/>
      <c r="M320" s="301"/>
      <c r="N320" s="302"/>
      <c r="O320" s="303"/>
      <c r="P320" s="304"/>
      <c r="Q320" s="300"/>
      <c r="R320" s="300"/>
      <c r="S320" s="300"/>
      <c r="T320" s="300"/>
      <c r="U320" s="300"/>
      <c r="V320" s="300"/>
      <c r="W320" s="301"/>
      <c r="X320" s="301"/>
      <c r="Y320" s="301"/>
      <c r="Z320" s="301"/>
      <c r="AA320" s="301"/>
      <c r="AB320" s="301"/>
      <c r="AC320" s="301"/>
      <c r="AD320" s="301"/>
      <c r="AE320" s="300"/>
    </row>
    <row r="321" spans="3:31">
      <c r="C321" s="300"/>
      <c r="D321" s="300"/>
      <c r="E321" s="300"/>
      <c r="F321" s="300"/>
      <c r="G321" s="300"/>
      <c r="H321" s="300"/>
      <c r="I321" s="300"/>
      <c r="J321" s="300"/>
      <c r="K321" s="300"/>
      <c r="L321" s="300"/>
      <c r="M321" s="301"/>
      <c r="N321" s="302"/>
      <c r="O321" s="303"/>
      <c r="P321" s="304"/>
      <c r="Q321" s="300"/>
      <c r="R321" s="300"/>
      <c r="S321" s="300"/>
      <c r="T321" s="300"/>
      <c r="U321" s="300"/>
      <c r="V321" s="300"/>
      <c r="W321" s="301"/>
      <c r="X321" s="301"/>
      <c r="Y321" s="301"/>
      <c r="Z321" s="301"/>
      <c r="AA321" s="301"/>
      <c r="AB321" s="301"/>
      <c r="AC321" s="301"/>
      <c r="AD321" s="301"/>
      <c r="AE321" s="300"/>
    </row>
    <row r="322" spans="3:31">
      <c r="C322" s="300"/>
      <c r="D322" s="300"/>
      <c r="E322" s="300"/>
      <c r="F322" s="300"/>
      <c r="G322" s="300"/>
      <c r="H322" s="300"/>
      <c r="I322" s="300"/>
      <c r="J322" s="300"/>
      <c r="K322" s="300"/>
      <c r="L322" s="300"/>
      <c r="M322" s="301"/>
      <c r="N322" s="302"/>
      <c r="O322" s="303"/>
      <c r="P322" s="304"/>
      <c r="Q322" s="300"/>
      <c r="R322" s="300"/>
      <c r="S322" s="300"/>
      <c r="T322" s="300"/>
      <c r="U322" s="300"/>
      <c r="V322" s="300"/>
      <c r="W322" s="301"/>
      <c r="X322" s="301"/>
      <c r="Y322" s="301"/>
      <c r="Z322" s="301"/>
      <c r="AA322" s="301"/>
      <c r="AB322" s="301"/>
      <c r="AC322" s="301"/>
      <c r="AD322" s="301"/>
      <c r="AE322" s="300"/>
    </row>
    <row r="323" spans="3:31">
      <c r="C323" s="300"/>
      <c r="D323" s="300"/>
      <c r="E323" s="300"/>
      <c r="F323" s="300"/>
      <c r="G323" s="300"/>
      <c r="H323" s="300"/>
      <c r="I323" s="300"/>
      <c r="J323" s="300"/>
      <c r="K323" s="300"/>
      <c r="L323" s="300"/>
      <c r="M323" s="301"/>
      <c r="N323" s="302"/>
      <c r="O323" s="303"/>
      <c r="P323" s="304"/>
      <c r="Q323" s="300"/>
      <c r="R323" s="300"/>
      <c r="S323" s="300"/>
      <c r="T323" s="300"/>
      <c r="U323" s="300"/>
      <c r="V323" s="300"/>
      <c r="W323" s="301"/>
      <c r="X323" s="301"/>
      <c r="Y323" s="301"/>
      <c r="Z323" s="301"/>
      <c r="AA323" s="301"/>
      <c r="AB323" s="301"/>
      <c r="AC323" s="301"/>
      <c r="AD323" s="301"/>
      <c r="AE323" s="300"/>
    </row>
    <row r="324" spans="3:31">
      <c r="C324" s="300"/>
      <c r="D324" s="300"/>
      <c r="E324" s="300"/>
      <c r="F324" s="300"/>
      <c r="G324" s="300"/>
      <c r="H324" s="300"/>
      <c r="I324" s="300"/>
      <c r="J324" s="300"/>
      <c r="K324" s="300"/>
      <c r="L324" s="300"/>
      <c r="M324" s="301"/>
      <c r="N324" s="302"/>
      <c r="O324" s="303"/>
      <c r="P324" s="304"/>
      <c r="Q324" s="300"/>
      <c r="R324" s="300"/>
      <c r="S324" s="300"/>
      <c r="T324" s="300"/>
      <c r="U324" s="300"/>
      <c r="V324" s="300"/>
      <c r="W324" s="301"/>
      <c r="X324" s="301"/>
      <c r="Y324" s="301"/>
      <c r="Z324" s="301"/>
      <c r="AA324" s="301"/>
      <c r="AB324" s="301"/>
      <c r="AC324" s="301"/>
      <c r="AD324" s="301"/>
      <c r="AE324" s="300"/>
    </row>
    <row r="325" spans="3:31">
      <c r="C325" s="300"/>
      <c r="D325" s="300"/>
      <c r="E325" s="300"/>
      <c r="F325" s="300"/>
      <c r="G325" s="300"/>
      <c r="H325" s="300"/>
      <c r="I325" s="300"/>
      <c r="J325" s="300"/>
      <c r="K325" s="300"/>
      <c r="L325" s="300"/>
      <c r="M325" s="301"/>
      <c r="N325" s="302"/>
      <c r="O325" s="303"/>
      <c r="P325" s="304"/>
      <c r="Q325" s="300"/>
      <c r="R325" s="300"/>
      <c r="S325" s="300"/>
      <c r="T325" s="300"/>
      <c r="U325" s="300"/>
      <c r="V325" s="300"/>
      <c r="W325" s="301"/>
      <c r="X325" s="301"/>
      <c r="Y325" s="301"/>
      <c r="Z325" s="301"/>
      <c r="AA325" s="301"/>
      <c r="AB325" s="301"/>
      <c r="AC325" s="301"/>
      <c r="AD325" s="301"/>
      <c r="AE325" s="300"/>
    </row>
    <row r="326" spans="3:31">
      <c r="C326" s="300"/>
      <c r="D326" s="300"/>
      <c r="E326" s="300"/>
      <c r="F326" s="300"/>
      <c r="G326" s="300"/>
      <c r="H326" s="300"/>
      <c r="I326" s="300"/>
      <c r="J326" s="300"/>
      <c r="K326" s="300"/>
      <c r="L326" s="300"/>
      <c r="M326" s="301"/>
      <c r="N326" s="302"/>
      <c r="O326" s="303"/>
      <c r="P326" s="304"/>
      <c r="Q326" s="300"/>
      <c r="R326" s="300"/>
      <c r="S326" s="300"/>
      <c r="T326" s="300"/>
      <c r="U326" s="300"/>
      <c r="V326" s="300"/>
      <c r="W326" s="301"/>
      <c r="X326" s="301"/>
      <c r="Y326" s="301"/>
      <c r="Z326" s="301"/>
      <c r="AA326" s="301"/>
      <c r="AB326" s="301"/>
      <c r="AC326" s="301"/>
      <c r="AD326" s="301"/>
      <c r="AE326" s="300"/>
    </row>
    <row r="327" spans="3:31">
      <c r="C327" s="300"/>
      <c r="D327" s="300"/>
      <c r="E327" s="300"/>
      <c r="F327" s="300"/>
      <c r="G327" s="300"/>
      <c r="H327" s="300"/>
      <c r="I327" s="300"/>
      <c r="J327" s="300"/>
      <c r="K327" s="300"/>
      <c r="L327" s="300"/>
      <c r="M327" s="301"/>
      <c r="N327" s="302"/>
      <c r="O327" s="303"/>
      <c r="P327" s="304"/>
      <c r="Q327" s="300"/>
      <c r="R327" s="300"/>
      <c r="S327" s="300"/>
      <c r="T327" s="300"/>
      <c r="U327" s="300"/>
      <c r="V327" s="300"/>
      <c r="W327" s="301"/>
      <c r="X327" s="301"/>
      <c r="Y327" s="301"/>
      <c r="Z327" s="301"/>
      <c r="AA327" s="301"/>
      <c r="AB327" s="301"/>
      <c r="AC327" s="301"/>
      <c r="AD327" s="301"/>
      <c r="AE327" s="300"/>
    </row>
    <row r="328" spans="3:31">
      <c r="C328" s="300"/>
      <c r="D328" s="300"/>
      <c r="E328" s="300"/>
      <c r="F328" s="300"/>
      <c r="G328" s="300"/>
      <c r="H328" s="300"/>
      <c r="I328" s="300"/>
      <c r="J328" s="300"/>
      <c r="K328" s="300"/>
      <c r="L328" s="300"/>
      <c r="M328" s="301"/>
      <c r="N328" s="302"/>
      <c r="O328" s="303"/>
      <c r="P328" s="304"/>
      <c r="Q328" s="300"/>
      <c r="R328" s="300"/>
      <c r="S328" s="300"/>
      <c r="T328" s="300"/>
      <c r="U328" s="300"/>
      <c r="V328" s="300"/>
      <c r="W328" s="301"/>
      <c r="X328" s="301"/>
      <c r="Y328" s="301"/>
      <c r="Z328" s="301"/>
      <c r="AA328" s="301"/>
      <c r="AB328" s="301"/>
      <c r="AC328" s="301"/>
      <c r="AD328" s="301"/>
      <c r="AE328" s="300"/>
    </row>
    <row r="329" spans="3:31">
      <c r="C329" s="300"/>
      <c r="D329" s="300"/>
      <c r="E329" s="300"/>
      <c r="F329" s="300"/>
      <c r="G329" s="300"/>
      <c r="H329" s="300"/>
      <c r="I329" s="300"/>
      <c r="J329" s="300"/>
      <c r="K329" s="300"/>
      <c r="L329" s="300"/>
      <c r="M329" s="301"/>
      <c r="N329" s="302"/>
      <c r="O329" s="303"/>
      <c r="P329" s="304"/>
      <c r="Q329" s="300"/>
      <c r="R329" s="300"/>
      <c r="S329" s="300"/>
      <c r="T329" s="300"/>
      <c r="U329" s="300"/>
      <c r="V329" s="300"/>
      <c r="W329" s="301"/>
      <c r="X329" s="301"/>
      <c r="Y329" s="301"/>
      <c r="Z329" s="301"/>
      <c r="AA329" s="301"/>
      <c r="AB329" s="301"/>
      <c r="AC329" s="301"/>
      <c r="AD329" s="301"/>
      <c r="AE329" s="300"/>
    </row>
    <row r="330" spans="3:31">
      <c r="C330" s="300"/>
      <c r="D330" s="300"/>
      <c r="E330" s="300"/>
      <c r="F330" s="300"/>
      <c r="G330" s="300"/>
      <c r="H330" s="300"/>
      <c r="I330" s="300"/>
      <c r="J330" s="300"/>
      <c r="K330" s="300"/>
      <c r="L330" s="300"/>
      <c r="M330" s="301"/>
      <c r="N330" s="302"/>
      <c r="O330" s="303"/>
      <c r="P330" s="304"/>
      <c r="Q330" s="300"/>
      <c r="R330" s="300"/>
      <c r="S330" s="300"/>
      <c r="T330" s="300"/>
      <c r="U330" s="300"/>
      <c r="V330" s="300"/>
      <c r="W330" s="301"/>
      <c r="X330" s="301"/>
      <c r="Y330" s="301"/>
      <c r="Z330" s="301"/>
      <c r="AA330" s="301"/>
      <c r="AB330" s="301"/>
      <c r="AC330" s="301"/>
      <c r="AD330" s="301"/>
      <c r="AE330" s="300"/>
    </row>
    <row r="331" spans="3:31">
      <c r="C331" s="300"/>
      <c r="D331" s="300"/>
      <c r="E331" s="300"/>
      <c r="F331" s="300"/>
      <c r="G331" s="300"/>
      <c r="H331" s="300"/>
      <c r="I331" s="300"/>
      <c r="J331" s="300"/>
      <c r="K331" s="300"/>
      <c r="L331" s="300"/>
      <c r="M331" s="301"/>
      <c r="N331" s="302"/>
      <c r="O331" s="303"/>
      <c r="P331" s="304"/>
      <c r="Q331" s="300"/>
      <c r="R331" s="300"/>
      <c r="S331" s="300"/>
      <c r="T331" s="300"/>
      <c r="U331" s="300"/>
      <c r="V331" s="300"/>
      <c r="W331" s="301"/>
      <c r="X331" s="301"/>
      <c r="Y331" s="301"/>
      <c r="Z331" s="301"/>
      <c r="AA331" s="301"/>
      <c r="AB331" s="301"/>
      <c r="AC331" s="301"/>
      <c r="AD331" s="301"/>
      <c r="AE331" s="300"/>
    </row>
    <row r="332" spans="3:31">
      <c r="C332" s="300"/>
      <c r="D332" s="300"/>
      <c r="E332" s="300"/>
      <c r="F332" s="300"/>
      <c r="G332" s="300"/>
      <c r="H332" s="300"/>
      <c r="I332" s="300"/>
      <c r="J332" s="300"/>
      <c r="K332" s="300"/>
      <c r="L332" s="300"/>
      <c r="M332" s="301"/>
      <c r="N332" s="302"/>
      <c r="O332" s="303"/>
      <c r="P332" s="304"/>
      <c r="Q332" s="300"/>
      <c r="R332" s="300"/>
      <c r="S332" s="300"/>
      <c r="T332" s="300"/>
      <c r="U332" s="300"/>
      <c r="V332" s="300"/>
      <c r="W332" s="301"/>
      <c r="X332" s="301"/>
      <c r="Y332" s="301"/>
      <c r="Z332" s="301"/>
      <c r="AA332" s="301"/>
      <c r="AB332" s="301"/>
      <c r="AC332" s="301"/>
      <c r="AD332" s="301"/>
      <c r="AE332" s="300"/>
    </row>
    <row r="333" spans="3:31">
      <c r="C333" s="300"/>
      <c r="D333" s="300"/>
      <c r="E333" s="300"/>
      <c r="F333" s="300"/>
      <c r="G333" s="300"/>
      <c r="H333" s="300"/>
      <c r="I333" s="300"/>
      <c r="J333" s="300"/>
      <c r="K333" s="300"/>
      <c r="L333" s="300"/>
      <c r="M333" s="301"/>
      <c r="N333" s="302"/>
      <c r="O333" s="303"/>
      <c r="P333" s="304"/>
      <c r="Q333" s="300"/>
      <c r="R333" s="300"/>
      <c r="S333" s="300"/>
      <c r="T333" s="300"/>
      <c r="U333" s="300"/>
      <c r="V333" s="300"/>
      <c r="W333" s="301"/>
      <c r="X333" s="301"/>
      <c r="Y333" s="301"/>
      <c r="Z333" s="301"/>
      <c r="AA333" s="301"/>
      <c r="AB333" s="301"/>
      <c r="AC333" s="301"/>
      <c r="AD333" s="301"/>
      <c r="AE333" s="300"/>
    </row>
    <row r="334" spans="3:31">
      <c r="C334" s="300"/>
      <c r="D334" s="300"/>
      <c r="E334" s="300"/>
      <c r="F334" s="300"/>
      <c r="G334" s="300"/>
      <c r="H334" s="300"/>
      <c r="I334" s="300"/>
      <c r="J334" s="300"/>
      <c r="K334" s="300"/>
      <c r="L334" s="300"/>
      <c r="M334" s="301"/>
      <c r="N334" s="302"/>
      <c r="O334" s="303"/>
      <c r="P334" s="304"/>
      <c r="Q334" s="300"/>
      <c r="R334" s="300"/>
      <c r="S334" s="300"/>
      <c r="T334" s="300"/>
      <c r="U334" s="300"/>
      <c r="V334" s="300"/>
      <c r="W334" s="301"/>
      <c r="X334" s="301"/>
      <c r="Y334" s="301"/>
      <c r="Z334" s="301"/>
      <c r="AA334" s="301"/>
      <c r="AB334" s="301"/>
      <c r="AC334" s="301"/>
      <c r="AD334" s="301"/>
      <c r="AE334" s="300"/>
    </row>
    <row r="335" spans="3:31">
      <c r="C335" s="300"/>
      <c r="D335" s="300"/>
      <c r="E335" s="300"/>
      <c r="F335" s="300"/>
      <c r="G335" s="300"/>
      <c r="H335" s="300"/>
      <c r="I335" s="300"/>
      <c r="J335" s="300"/>
      <c r="K335" s="300"/>
      <c r="L335" s="300"/>
      <c r="M335" s="301"/>
      <c r="N335" s="302"/>
      <c r="O335" s="303"/>
      <c r="P335" s="304"/>
      <c r="Q335" s="300"/>
      <c r="R335" s="300"/>
      <c r="S335" s="300"/>
      <c r="T335" s="300"/>
      <c r="U335" s="300"/>
      <c r="V335" s="300"/>
      <c r="W335" s="301"/>
      <c r="X335" s="301"/>
      <c r="Y335" s="301"/>
      <c r="Z335" s="301"/>
      <c r="AA335" s="301"/>
      <c r="AB335" s="301"/>
      <c r="AC335" s="301"/>
      <c r="AD335" s="301"/>
      <c r="AE335" s="300"/>
    </row>
    <row r="336" spans="3:31">
      <c r="C336" s="300"/>
      <c r="D336" s="300"/>
      <c r="E336" s="300"/>
      <c r="F336" s="300"/>
      <c r="G336" s="300"/>
      <c r="H336" s="300"/>
      <c r="I336" s="300"/>
      <c r="J336" s="300"/>
      <c r="K336" s="300"/>
      <c r="L336" s="300"/>
      <c r="M336" s="301"/>
      <c r="N336" s="302"/>
      <c r="O336" s="303"/>
      <c r="P336" s="304"/>
      <c r="Q336" s="300"/>
      <c r="R336" s="300"/>
      <c r="S336" s="300"/>
      <c r="T336" s="300"/>
      <c r="U336" s="300"/>
      <c r="V336" s="300"/>
      <c r="W336" s="301"/>
      <c r="X336" s="301"/>
      <c r="Y336" s="301"/>
      <c r="Z336" s="301"/>
      <c r="AA336" s="301"/>
      <c r="AB336" s="301"/>
      <c r="AC336" s="301"/>
      <c r="AD336" s="301"/>
      <c r="AE336" s="300"/>
    </row>
    <row r="337" spans="3:31">
      <c r="C337" s="300"/>
      <c r="D337" s="300"/>
      <c r="E337" s="300"/>
      <c r="F337" s="300"/>
      <c r="G337" s="300"/>
      <c r="H337" s="300"/>
      <c r="I337" s="300"/>
      <c r="J337" s="300"/>
      <c r="K337" s="300"/>
      <c r="L337" s="300"/>
      <c r="M337" s="301"/>
      <c r="N337" s="302"/>
      <c r="O337" s="303"/>
      <c r="P337" s="304"/>
      <c r="Q337" s="300"/>
      <c r="R337" s="300"/>
      <c r="S337" s="300"/>
      <c r="T337" s="300"/>
      <c r="U337" s="300"/>
      <c r="V337" s="300"/>
      <c r="W337" s="301"/>
      <c r="X337" s="301"/>
      <c r="Y337" s="301"/>
      <c r="Z337" s="301"/>
      <c r="AA337" s="301"/>
      <c r="AB337" s="301"/>
      <c r="AC337" s="301"/>
      <c r="AD337" s="301"/>
      <c r="AE337" s="300"/>
    </row>
    <row r="338" spans="3:31">
      <c r="C338" s="300"/>
      <c r="D338" s="300"/>
      <c r="E338" s="300"/>
      <c r="F338" s="300"/>
      <c r="G338" s="300"/>
      <c r="H338" s="300"/>
      <c r="I338" s="300"/>
      <c r="J338" s="300"/>
      <c r="K338" s="300"/>
      <c r="L338" s="300"/>
      <c r="M338" s="301"/>
      <c r="N338" s="302"/>
      <c r="O338" s="303"/>
      <c r="P338" s="304"/>
      <c r="Q338" s="300"/>
      <c r="R338" s="300"/>
      <c r="S338" s="300"/>
      <c r="T338" s="300"/>
      <c r="U338" s="300"/>
      <c r="V338" s="300"/>
      <c r="W338" s="301"/>
      <c r="X338" s="301"/>
      <c r="Y338" s="301"/>
      <c r="Z338" s="301"/>
      <c r="AA338" s="301"/>
      <c r="AB338" s="301"/>
      <c r="AC338" s="301"/>
      <c r="AD338" s="301"/>
      <c r="AE338" s="300"/>
    </row>
    <row r="339" spans="3:31">
      <c r="C339" s="300"/>
      <c r="D339" s="300"/>
      <c r="E339" s="300"/>
      <c r="F339" s="300"/>
      <c r="G339" s="300"/>
      <c r="H339" s="300"/>
      <c r="I339" s="300"/>
      <c r="J339" s="300"/>
      <c r="K339" s="300"/>
      <c r="L339" s="300"/>
      <c r="M339" s="301"/>
      <c r="N339" s="302"/>
      <c r="O339" s="303"/>
      <c r="P339" s="304"/>
      <c r="Q339" s="300"/>
      <c r="R339" s="300"/>
      <c r="S339" s="300"/>
      <c r="T339" s="300"/>
      <c r="U339" s="300"/>
      <c r="V339" s="300"/>
      <c r="W339" s="301"/>
      <c r="X339" s="301"/>
      <c r="Y339" s="301"/>
      <c r="Z339" s="301"/>
      <c r="AA339" s="301"/>
      <c r="AB339" s="301"/>
      <c r="AC339" s="301"/>
      <c r="AD339" s="301"/>
      <c r="AE339" s="300"/>
    </row>
    <row r="340" spans="3:31">
      <c r="C340" s="300"/>
      <c r="D340" s="300"/>
      <c r="E340" s="300"/>
      <c r="F340" s="300"/>
      <c r="G340" s="300"/>
      <c r="H340" s="300"/>
      <c r="I340" s="300"/>
      <c r="J340" s="300"/>
      <c r="K340" s="300"/>
      <c r="L340" s="300"/>
      <c r="M340" s="301"/>
      <c r="N340" s="302"/>
      <c r="O340" s="303"/>
      <c r="P340" s="304"/>
      <c r="Q340" s="300"/>
      <c r="R340" s="300"/>
      <c r="S340" s="300"/>
      <c r="T340" s="300"/>
      <c r="U340" s="300"/>
      <c r="V340" s="300"/>
      <c r="W340" s="301"/>
      <c r="X340" s="301"/>
      <c r="Y340" s="301"/>
      <c r="Z340" s="301"/>
      <c r="AA340" s="301"/>
      <c r="AB340" s="301"/>
      <c r="AC340" s="301"/>
      <c r="AD340" s="301"/>
      <c r="AE340" s="300"/>
    </row>
    <row r="341" spans="3:31">
      <c r="C341" s="300"/>
      <c r="D341" s="300"/>
      <c r="E341" s="300"/>
      <c r="F341" s="300"/>
      <c r="G341" s="300"/>
      <c r="H341" s="300"/>
      <c r="I341" s="300"/>
      <c r="J341" s="300"/>
      <c r="K341" s="300"/>
      <c r="L341" s="300"/>
      <c r="M341" s="301"/>
      <c r="N341" s="302"/>
      <c r="O341" s="303"/>
      <c r="P341" s="304"/>
      <c r="Q341" s="300"/>
      <c r="R341" s="300"/>
      <c r="S341" s="300"/>
      <c r="T341" s="300"/>
      <c r="U341" s="300"/>
      <c r="V341" s="300"/>
      <c r="W341" s="301"/>
      <c r="X341" s="301"/>
      <c r="Y341" s="301"/>
      <c r="Z341" s="301"/>
      <c r="AA341" s="301"/>
      <c r="AB341" s="301"/>
      <c r="AC341" s="301"/>
      <c r="AD341" s="301"/>
      <c r="AE341" s="300"/>
    </row>
    <row r="342" spans="3:31">
      <c r="C342" s="300"/>
      <c r="D342" s="300"/>
      <c r="E342" s="300"/>
      <c r="F342" s="300"/>
      <c r="G342" s="300"/>
      <c r="H342" s="300"/>
      <c r="I342" s="300"/>
      <c r="J342" s="300"/>
      <c r="K342" s="300"/>
      <c r="L342" s="300"/>
      <c r="M342" s="301"/>
      <c r="N342" s="302"/>
      <c r="O342" s="303"/>
      <c r="P342" s="304"/>
      <c r="Q342" s="300"/>
      <c r="R342" s="300"/>
      <c r="S342" s="300"/>
      <c r="T342" s="300"/>
      <c r="U342" s="300"/>
      <c r="V342" s="300"/>
      <c r="W342" s="301"/>
      <c r="X342" s="301"/>
      <c r="Y342" s="301"/>
      <c r="Z342" s="301"/>
      <c r="AA342" s="301"/>
      <c r="AB342" s="301"/>
      <c r="AC342" s="301"/>
      <c r="AD342" s="301"/>
      <c r="AE342" s="300"/>
    </row>
    <row r="343" spans="3:31">
      <c r="C343" s="300"/>
      <c r="D343" s="300"/>
      <c r="E343" s="300"/>
      <c r="F343" s="300"/>
      <c r="G343" s="300"/>
      <c r="H343" s="300"/>
      <c r="I343" s="300"/>
      <c r="J343" s="300"/>
      <c r="K343" s="300"/>
      <c r="L343" s="300"/>
      <c r="M343" s="301"/>
      <c r="N343" s="302"/>
      <c r="O343" s="303"/>
      <c r="P343" s="304"/>
      <c r="Q343" s="300"/>
      <c r="R343" s="300"/>
      <c r="S343" s="300"/>
      <c r="T343" s="300"/>
      <c r="U343" s="300"/>
      <c r="V343" s="300"/>
      <c r="W343" s="301"/>
      <c r="X343" s="301"/>
      <c r="Y343" s="301"/>
      <c r="Z343" s="301"/>
      <c r="AA343" s="301"/>
      <c r="AB343" s="301"/>
      <c r="AC343" s="301"/>
      <c r="AD343" s="301"/>
      <c r="AE343" s="300"/>
    </row>
    <row r="344" spans="3:31">
      <c r="C344" s="300"/>
      <c r="D344" s="300"/>
      <c r="E344" s="300"/>
      <c r="F344" s="300"/>
      <c r="G344" s="300"/>
      <c r="H344" s="300"/>
      <c r="I344" s="300"/>
      <c r="J344" s="300"/>
      <c r="K344" s="300"/>
      <c r="L344" s="300"/>
      <c r="M344" s="301"/>
      <c r="N344" s="302"/>
      <c r="O344" s="303"/>
      <c r="P344" s="304"/>
      <c r="Q344" s="300"/>
      <c r="R344" s="300"/>
      <c r="S344" s="300"/>
      <c r="T344" s="300"/>
      <c r="U344" s="300"/>
      <c r="V344" s="300"/>
      <c r="W344" s="301"/>
      <c r="X344" s="301"/>
      <c r="Y344" s="301"/>
      <c r="Z344" s="301"/>
      <c r="AA344" s="301"/>
      <c r="AB344" s="301"/>
      <c r="AC344" s="301"/>
      <c r="AD344" s="301"/>
      <c r="AE344" s="300"/>
    </row>
    <row r="345" spans="3:31">
      <c r="C345" s="300"/>
      <c r="D345" s="300"/>
      <c r="E345" s="300"/>
      <c r="F345" s="300"/>
      <c r="G345" s="300"/>
      <c r="H345" s="300"/>
      <c r="I345" s="300"/>
      <c r="J345" s="300"/>
      <c r="K345" s="300"/>
      <c r="L345" s="300"/>
      <c r="M345" s="301"/>
      <c r="N345" s="302"/>
      <c r="O345" s="303"/>
      <c r="P345" s="304"/>
      <c r="Q345" s="300"/>
      <c r="R345" s="300"/>
      <c r="S345" s="300"/>
      <c r="T345" s="300"/>
      <c r="U345" s="300"/>
      <c r="V345" s="300"/>
      <c r="W345" s="301"/>
      <c r="X345" s="301"/>
      <c r="Y345" s="301"/>
      <c r="Z345" s="301"/>
      <c r="AA345" s="301"/>
      <c r="AB345" s="301"/>
      <c r="AC345" s="301"/>
      <c r="AD345" s="301"/>
      <c r="AE345" s="300"/>
    </row>
    <row r="346" spans="3:31">
      <c r="C346" s="300"/>
      <c r="D346" s="300"/>
      <c r="E346" s="300"/>
      <c r="F346" s="300"/>
      <c r="G346" s="300"/>
      <c r="H346" s="300"/>
      <c r="I346" s="300"/>
      <c r="J346" s="300"/>
      <c r="K346" s="300"/>
      <c r="L346" s="300"/>
      <c r="M346" s="301"/>
      <c r="N346" s="302"/>
      <c r="O346" s="303"/>
      <c r="P346" s="304"/>
      <c r="Q346" s="300"/>
      <c r="R346" s="300"/>
      <c r="S346" s="300"/>
      <c r="T346" s="300"/>
      <c r="U346" s="300"/>
      <c r="V346" s="300"/>
      <c r="W346" s="301"/>
      <c r="X346" s="301"/>
      <c r="Y346" s="301"/>
      <c r="Z346" s="301"/>
      <c r="AA346" s="301"/>
      <c r="AB346" s="301"/>
      <c r="AC346" s="301"/>
      <c r="AD346" s="301"/>
      <c r="AE346" s="300"/>
    </row>
    <row r="347" spans="3:31">
      <c r="C347" s="300"/>
      <c r="D347" s="300"/>
      <c r="E347" s="300"/>
      <c r="F347" s="300"/>
      <c r="G347" s="300"/>
      <c r="H347" s="300"/>
      <c r="I347" s="300"/>
      <c r="J347" s="300"/>
      <c r="K347" s="300"/>
      <c r="L347" s="300"/>
      <c r="M347" s="301"/>
      <c r="N347" s="302"/>
      <c r="O347" s="303"/>
      <c r="P347" s="304"/>
      <c r="Q347" s="300"/>
      <c r="R347" s="300"/>
      <c r="S347" s="300"/>
      <c r="T347" s="300"/>
      <c r="U347" s="300"/>
      <c r="V347" s="300"/>
      <c r="W347" s="301"/>
      <c r="X347" s="301"/>
      <c r="Y347" s="301"/>
      <c r="Z347" s="301"/>
      <c r="AA347" s="301"/>
      <c r="AB347" s="301"/>
      <c r="AC347" s="301"/>
      <c r="AD347" s="301"/>
      <c r="AE347" s="300"/>
    </row>
    <row r="348" spans="3:31">
      <c r="C348" s="300"/>
      <c r="D348" s="300"/>
      <c r="E348" s="300"/>
      <c r="F348" s="300"/>
      <c r="G348" s="300"/>
      <c r="H348" s="300"/>
      <c r="I348" s="300"/>
      <c r="J348" s="300"/>
      <c r="K348" s="300"/>
      <c r="L348" s="300"/>
      <c r="M348" s="301"/>
      <c r="N348" s="302"/>
      <c r="O348" s="303"/>
      <c r="P348" s="304"/>
      <c r="Q348" s="300"/>
      <c r="R348" s="300"/>
      <c r="S348" s="300"/>
      <c r="T348" s="300"/>
      <c r="U348" s="300"/>
      <c r="V348" s="300"/>
      <c r="W348" s="301"/>
      <c r="X348" s="301"/>
      <c r="Y348" s="301"/>
      <c r="Z348" s="301"/>
      <c r="AA348" s="301"/>
      <c r="AB348" s="301"/>
      <c r="AC348" s="301"/>
      <c r="AD348" s="301"/>
      <c r="AE348" s="300"/>
    </row>
    <row r="349" spans="3:31">
      <c r="C349" s="300"/>
      <c r="D349" s="300"/>
      <c r="E349" s="300"/>
      <c r="F349" s="300"/>
      <c r="G349" s="300"/>
      <c r="H349" s="300"/>
      <c r="I349" s="300"/>
      <c r="J349" s="300"/>
      <c r="K349" s="300"/>
      <c r="L349" s="300"/>
      <c r="M349" s="301"/>
      <c r="N349" s="302"/>
      <c r="O349" s="303"/>
      <c r="P349" s="304"/>
      <c r="Q349" s="300"/>
      <c r="R349" s="300"/>
      <c r="S349" s="300"/>
      <c r="T349" s="300"/>
      <c r="U349" s="300"/>
      <c r="V349" s="300"/>
      <c r="W349" s="301"/>
      <c r="X349" s="301"/>
      <c r="Y349" s="301"/>
      <c r="Z349" s="301"/>
      <c r="AA349" s="301"/>
      <c r="AB349" s="301"/>
      <c r="AC349" s="301"/>
      <c r="AD349" s="301"/>
      <c r="AE349" s="300"/>
    </row>
    <row r="350" spans="3:31">
      <c r="C350" s="300"/>
      <c r="D350" s="300"/>
      <c r="E350" s="300"/>
      <c r="F350" s="300"/>
      <c r="G350" s="300"/>
      <c r="H350" s="300"/>
      <c r="I350" s="300"/>
      <c r="J350" s="300"/>
      <c r="K350" s="300"/>
      <c r="L350" s="300"/>
      <c r="M350" s="301"/>
      <c r="N350" s="302"/>
      <c r="O350" s="303"/>
      <c r="P350" s="304"/>
      <c r="Q350" s="300"/>
      <c r="R350" s="300"/>
      <c r="S350" s="300"/>
      <c r="T350" s="300"/>
      <c r="U350" s="300"/>
      <c r="V350" s="300"/>
      <c r="W350" s="301"/>
      <c r="X350" s="301"/>
      <c r="Y350" s="301"/>
      <c r="Z350" s="301"/>
      <c r="AA350" s="301"/>
      <c r="AB350" s="301"/>
      <c r="AC350" s="301"/>
      <c r="AD350" s="301"/>
      <c r="AE350" s="300"/>
    </row>
    <row r="351" spans="3:31">
      <c r="C351" s="300"/>
      <c r="D351" s="300"/>
      <c r="E351" s="300"/>
      <c r="F351" s="300"/>
      <c r="G351" s="300"/>
      <c r="H351" s="300"/>
      <c r="I351" s="300"/>
      <c r="J351" s="300"/>
      <c r="K351" s="300"/>
      <c r="L351" s="300"/>
      <c r="M351" s="301"/>
      <c r="N351" s="302"/>
      <c r="O351" s="303"/>
      <c r="P351" s="304"/>
      <c r="Q351" s="300"/>
      <c r="R351" s="300"/>
      <c r="S351" s="300"/>
      <c r="T351" s="300"/>
      <c r="U351" s="300"/>
      <c r="V351" s="300"/>
      <c r="W351" s="301"/>
      <c r="X351" s="301"/>
      <c r="Y351" s="301"/>
      <c r="Z351" s="301"/>
      <c r="AA351" s="301"/>
      <c r="AB351" s="301"/>
      <c r="AC351" s="301"/>
      <c r="AD351" s="301"/>
      <c r="AE351" s="300"/>
    </row>
    <row r="352" spans="3:31">
      <c r="C352" s="300"/>
      <c r="D352" s="300"/>
      <c r="E352" s="300"/>
      <c r="F352" s="300"/>
      <c r="G352" s="300"/>
      <c r="H352" s="300"/>
      <c r="I352" s="300"/>
      <c r="J352" s="300"/>
      <c r="K352" s="300"/>
      <c r="L352" s="300"/>
      <c r="M352" s="301"/>
      <c r="N352" s="302"/>
      <c r="O352" s="303"/>
      <c r="P352" s="304"/>
      <c r="Q352" s="300"/>
      <c r="R352" s="300"/>
      <c r="S352" s="300"/>
      <c r="T352" s="300"/>
      <c r="U352" s="300"/>
      <c r="V352" s="300"/>
      <c r="W352" s="301"/>
      <c r="X352" s="301"/>
      <c r="Y352" s="301"/>
      <c r="Z352" s="301"/>
      <c r="AA352" s="301"/>
      <c r="AB352" s="301"/>
      <c r="AC352" s="301"/>
      <c r="AD352" s="301"/>
      <c r="AE352" s="300"/>
    </row>
    <row r="353" spans="3:31">
      <c r="C353" s="300"/>
      <c r="D353" s="300"/>
      <c r="E353" s="300"/>
      <c r="F353" s="300"/>
      <c r="G353" s="300"/>
      <c r="H353" s="300"/>
      <c r="I353" s="300"/>
      <c r="J353" s="300"/>
      <c r="K353" s="300"/>
      <c r="L353" s="300"/>
      <c r="M353" s="301"/>
      <c r="N353" s="302"/>
      <c r="O353" s="303"/>
      <c r="P353" s="304"/>
      <c r="Q353" s="300"/>
      <c r="R353" s="300"/>
      <c r="S353" s="300"/>
      <c r="T353" s="300"/>
      <c r="U353" s="300"/>
      <c r="V353" s="300"/>
      <c r="W353" s="301"/>
      <c r="X353" s="301"/>
      <c r="Y353" s="301"/>
      <c r="Z353" s="301"/>
      <c r="AA353" s="301"/>
      <c r="AB353" s="301"/>
      <c r="AC353" s="301"/>
      <c r="AD353" s="301"/>
      <c r="AE353" s="300"/>
    </row>
    <row r="354" spans="3:31">
      <c r="C354" s="300"/>
      <c r="D354" s="300"/>
      <c r="E354" s="300"/>
      <c r="F354" s="300"/>
      <c r="G354" s="300"/>
      <c r="H354" s="300"/>
      <c r="I354" s="300"/>
      <c r="J354" s="300"/>
      <c r="K354" s="300"/>
      <c r="L354" s="300"/>
      <c r="M354" s="301"/>
      <c r="N354" s="302"/>
      <c r="O354" s="303"/>
      <c r="P354" s="304"/>
      <c r="Q354" s="300"/>
      <c r="R354" s="300"/>
      <c r="S354" s="300"/>
      <c r="T354" s="300"/>
      <c r="U354" s="300"/>
      <c r="V354" s="300"/>
      <c r="W354" s="301"/>
      <c r="X354" s="301"/>
      <c r="Y354" s="301"/>
      <c r="Z354" s="301"/>
      <c r="AA354" s="301"/>
      <c r="AB354" s="301"/>
      <c r="AC354" s="301"/>
      <c r="AD354" s="301"/>
      <c r="AE354" s="300"/>
    </row>
    <row r="355" spans="3:31">
      <c r="C355" s="300"/>
      <c r="D355" s="300"/>
      <c r="E355" s="300"/>
      <c r="F355" s="300"/>
      <c r="G355" s="300"/>
      <c r="H355" s="300"/>
      <c r="I355" s="300"/>
      <c r="J355" s="300"/>
      <c r="K355" s="300"/>
      <c r="L355" s="300"/>
      <c r="M355" s="301"/>
      <c r="N355" s="302"/>
      <c r="O355" s="303"/>
      <c r="P355" s="304"/>
      <c r="Q355" s="300"/>
      <c r="R355" s="300"/>
      <c r="S355" s="300"/>
      <c r="T355" s="300"/>
      <c r="U355" s="300"/>
      <c r="V355" s="300"/>
      <c r="W355" s="301"/>
      <c r="X355" s="301"/>
      <c r="Y355" s="301"/>
      <c r="Z355" s="301"/>
      <c r="AA355" s="301"/>
      <c r="AB355" s="301"/>
      <c r="AC355" s="301"/>
      <c r="AD355" s="301"/>
      <c r="AE355" s="300"/>
    </row>
    <row r="356" spans="3:31">
      <c r="C356" s="300"/>
      <c r="D356" s="300"/>
      <c r="E356" s="300"/>
      <c r="F356" s="300"/>
      <c r="G356" s="300"/>
      <c r="H356" s="300"/>
      <c r="I356" s="300"/>
      <c r="J356" s="300"/>
      <c r="K356" s="300"/>
      <c r="L356" s="300"/>
      <c r="M356" s="301"/>
      <c r="N356" s="302"/>
      <c r="O356" s="303"/>
      <c r="P356" s="304"/>
      <c r="Q356" s="300"/>
      <c r="R356" s="300"/>
      <c r="S356" s="300"/>
      <c r="T356" s="300"/>
      <c r="U356" s="300"/>
      <c r="V356" s="300"/>
      <c r="W356" s="301"/>
      <c r="X356" s="301"/>
      <c r="Y356" s="301"/>
      <c r="Z356" s="301"/>
      <c r="AA356" s="301"/>
      <c r="AB356" s="301"/>
      <c r="AC356" s="301"/>
      <c r="AD356" s="301"/>
      <c r="AE356" s="300"/>
    </row>
    <row r="357" spans="3:31">
      <c r="C357" s="300"/>
      <c r="D357" s="300"/>
      <c r="E357" s="300"/>
      <c r="F357" s="300"/>
      <c r="G357" s="300"/>
      <c r="H357" s="300"/>
      <c r="I357" s="300"/>
      <c r="J357" s="300"/>
      <c r="K357" s="300"/>
      <c r="L357" s="300"/>
      <c r="M357" s="301"/>
      <c r="N357" s="302"/>
      <c r="O357" s="303"/>
      <c r="P357" s="304"/>
      <c r="Q357" s="300"/>
      <c r="R357" s="300"/>
      <c r="S357" s="300"/>
      <c r="T357" s="300"/>
      <c r="U357" s="300"/>
      <c r="V357" s="300"/>
      <c r="W357" s="301"/>
      <c r="X357" s="301"/>
      <c r="Y357" s="301"/>
      <c r="Z357" s="301"/>
      <c r="AA357" s="301"/>
      <c r="AB357" s="301"/>
      <c r="AC357" s="301"/>
      <c r="AD357" s="301"/>
      <c r="AE357" s="300"/>
    </row>
    <row r="358" spans="3:31">
      <c r="C358" s="300"/>
      <c r="D358" s="300"/>
      <c r="E358" s="300"/>
      <c r="F358" s="300"/>
      <c r="G358" s="300"/>
      <c r="H358" s="300"/>
      <c r="I358" s="300"/>
      <c r="J358" s="300"/>
      <c r="K358" s="300"/>
      <c r="L358" s="300"/>
      <c r="M358" s="301"/>
      <c r="N358" s="302"/>
      <c r="O358" s="303"/>
      <c r="P358" s="304"/>
      <c r="Q358" s="300"/>
      <c r="R358" s="300"/>
      <c r="S358" s="300"/>
      <c r="T358" s="300"/>
      <c r="U358" s="300"/>
      <c r="V358" s="300"/>
      <c r="W358" s="301"/>
      <c r="X358" s="301"/>
      <c r="Y358" s="301"/>
      <c r="Z358" s="301"/>
      <c r="AA358" s="301"/>
      <c r="AB358" s="301"/>
      <c r="AC358" s="301"/>
      <c r="AD358" s="301"/>
      <c r="AE358" s="300"/>
    </row>
    <row r="359" spans="3:31">
      <c r="C359" s="300"/>
      <c r="D359" s="300"/>
      <c r="E359" s="300"/>
      <c r="F359" s="300"/>
      <c r="G359" s="300"/>
      <c r="H359" s="300"/>
      <c r="I359" s="300"/>
      <c r="J359" s="300"/>
      <c r="K359" s="300"/>
      <c r="L359" s="300"/>
      <c r="M359" s="301"/>
      <c r="N359" s="302"/>
      <c r="O359" s="303"/>
      <c r="P359" s="304"/>
      <c r="Q359" s="300"/>
      <c r="R359" s="300"/>
      <c r="S359" s="300"/>
      <c r="T359" s="300"/>
      <c r="U359" s="300"/>
      <c r="V359" s="300"/>
      <c r="W359" s="301"/>
      <c r="X359" s="301"/>
      <c r="Y359" s="301"/>
      <c r="Z359" s="301"/>
      <c r="AA359" s="301"/>
      <c r="AB359" s="301"/>
      <c r="AC359" s="301"/>
      <c r="AD359" s="301"/>
      <c r="AE359" s="300"/>
    </row>
    <row r="360" spans="3:31">
      <c r="C360" s="300"/>
      <c r="D360" s="300"/>
      <c r="E360" s="300"/>
      <c r="F360" s="300"/>
      <c r="G360" s="300"/>
      <c r="H360" s="300"/>
      <c r="I360" s="300"/>
      <c r="J360" s="300"/>
      <c r="K360" s="300"/>
      <c r="L360" s="300"/>
      <c r="M360" s="301"/>
      <c r="N360" s="302"/>
      <c r="O360" s="303"/>
      <c r="P360" s="304"/>
      <c r="Q360" s="300"/>
      <c r="R360" s="300"/>
      <c r="S360" s="300"/>
      <c r="T360" s="300"/>
      <c r="U360" s="300"/>
      <c r="V360" s="300"/>
      <c r="W360" s="301"/>
      <c r="X360" s="301"/>
      <c r="Y360" s="301"/>
      <c r="Z360" s="301"/>
      <c r="AA360" s="301"/>
      <c r="AB360" s="301"/>
      <c r="AC360" s="301"/>
      <c r="AD360" s="301"/>
      <c r="AE360" s="300"/>
    </row>
    <row r="361" spans="3:31">
      <c r="C361" s="300"/>
      <c r="D361" s="300"/>
      <c r="E361" s="300"/>
      <c r="F361" s="300"/>
      <c r="G361" s="300"/>
      <c r="H361" s="300"/>
      <c r="I361" s="300"/>
      <c r="J361" s="300"/>
      <c r="K361" s="300"/>
      <c r="L361" s="300"/>
      <c r="M361" s="301"/>
      <c r="N361" s="302"/>
      <c r="O361" s="303"/>
      <c r="P361" s="304"/>
      <c r="Q361" s="300"/>
      <c r="R361" s="300"/>
      <c r="S361" s="300"/>
      <c r="T361" s="300"/>
      <c r="U361" s="300"/>
      <c r="V361" s="300"/>
      <c r="W361" s="301"/>
      <c r="X361" s="301"/>
      <c r="Y361" s="301"/>
      <c r="Z361" s="301"/>
      <c r="AA361" s="301"/>
      <c r="AB361" s="301"/>
      <c r="AC361" s="301"/>
      <c r="AD361" s="301"/>
      <c r="AE361" s="300"/>
    </row>
    <row r="362" spans="3:31">
      <c r="C362" s="300"/>
      <c r="D362" s="300"/>
      <c r="E362" s="300"/>
      <c r="F362" s="300"/>
      <c r="G362" s="300"/>
      <c r="H362" s="300"/>
      <c r="I362" s="300"/>
      <c r="J362" s="300"/>
      <c r="K362" s="300"/>
      <c r="L362" s="300"/>
      <c r="M362" s="301"/>
      <c r="N362" s="302"/>
      <c r="O362" s="303"/>
      <c r="P362" s="304"/>
      <c r="Q362" s="300"/>
      <c r="R362" s="300"/>
      <c r="S362" s="300"/>
      <c r="T362" s="300"/>
      <c r="U362" s="300"/>
      <c r="V362" s="300"/>
      <c r="W362" s="301"/>
      <c r="X362" s="301"/>
      <c r="Y362" s="301"/>
      <c r="Z362" s="301"/>
      <c r="AA362" s="301"/>
      <c r="AB362" s="301"/>
      <c r="AC362" s="301"/>
      <c r="AD362" s="301"/>
      <c r="AE362" s="300"/>
    </row>
    <row r="363" spans="3:31">
      <c r="C363" s="300"/>
      <c r="D363" s="300"/>
      <c r="E363" s="300"/>
      <c r="F363" s="300"/>
      <c r="G363" s="300"/>
      <c r="H363" s="300"/>
      <c r="I363" s="300"/>
      <c r="J363" s="300"/>
      <c r="K363" s="300"/>
      <c r="L363" s="300"/>
      <c r="M363" s="301"/>
      <c r="N363" s="302"/>
      <c r="O363" s="303"/>
      <c r="P363" s="304"/>
      <c r="Q363" s="300"/>
      <c r="R363" s="300"/>
      <c r="S363" s="300"/>
      <c r="T363" s="300"/>
      <c r="U363" s="300"/>
      <c r="V363" s="300"/>
      <c r="W363" s="301"/>
      <c r="X363" s="301"/>
      <c r="Y363" s="301"/>
      <c r="Z363" s="301"/>
      <c r="AA363" s="301"/>
      <c r="AB363" s="301"/>
      <c r="AC363" s="301"/>
      <c r="AD363" s="301"/>
      <c r="AE363" s="300"/>
    </row>
    <row r="364" spans="3:31">
      <c r="C364" s="300"/>
      <c r="D364" s="300"/>
      <c r="E364" s="300"/>
      <c r="F364" s="300"/>
      <c r="G364" s="300"/>
      <c r="H364" s="300"/>
      <c r="I364" s="300"/>
      <c r="J364" s="300"/>
      <c r="K364" s="300"/>
      <c r="L364" s="300"/>
      <c r="M364" s="301"/>
      <c r="N364" s="302"/>
      <c r="O364" s="303"/>
      <c r="P364" s="304"/>
      <c r="Q364" s="300"/>
      <c r="R364" s="300"/>
      <c r="S364" s="300"/>
      <c r="T364" s="300"/>
      <c r="U364" s="300"/>
      <c r="V364" s="300"/>
      <c r="W364" s="301"/>
      <c r="X364" s="301"/>
      <c r="Y364" s="301"/>
      <c r="Z364" s="301"/>
      <c r="AA364" s="301"/>
      <c r="AB364" s="301"/>
      <c r="AC364" s="301"/>
      <c r="AD364" s="301"/>
      <c r="AE364" s="300"/>
    </row>
    <row r="365" spans="3:31">
      <c r="C365" s="300"/>
      <c r="D365" s="300"/>
      <c r="E365" s="300"/>
      <c r="F365" s="300"/>
      <c r="G365" s="300"/>
      <c r="H365" s="300"/>
      <c r="I365" s="300"/>
      <c r="J365" s="300"/>
      <c r="K365" s="300"/>
      <c r="L365" s="300"/>
      <c r="M365" s="301"/>
      <c r="N365" s="302"/>
      <c r="O365" s="303"/>
      <c r="P365" s="304"/>
      <c r="Q365" s="300"/>
      <c r="R365" s="300"/>
      <c r="S365" s="300"/>
      <c r="T365" s="300"/>
      <c r="U365" s="300"/>
      <c r="V365" s="300"/>
      <c r="W365" s="301"/>
      <c r="X365" s="301"/>
      <c r="Y365" s="301"/>
      <c r="Z365" s="301"/>
      <c r="AA365" s="301"/>
      <c r="AB365" s="301"/>
      <c r="AC365" s="301"/>
      <c r="AD365" s="301"/>
      <c r="AE365" s="300"/>
    </row>
    <row r="366" spans="3:31">
      <c r="C366" s="300"/>
      <c r="D366" s="300"/>
      <c r="E366" s="300"/>
      <c r="F366" s="300"/>
      <c r="G366" s="300"/>
      <c r="H366" s="300"/>
      <c r="I366" s="300"/>
      <c r="J366" s="300"/>
      <c r="K366" s="300"/>
      <c r="L366" s="300"/>
      <c r="M366" s="301"/>
      <c r="N366" s="302"/>
      <c r="O366" s="303"/>
      <c r="P366" s="304"/>
      <c r="Q366" s="300"/>
      <c r="R366" s="300"/>
      <c r="S366" s="300"/>
      <c r="T366" s="300"/>
      <c r="U366" s="300"/>
      <c r="V366" s="300"/>
      <c r="W366" s="301"/>
      <c r="X366" s="301"/>
      <c r="Y366" s="301"/>
      <c r="Z366" s="301"/>
      <c r="AA366" s="301"/>
      <c r="AB366" s="301"/>
      <c r="AC366" s="301"/>
      <c r="AD366" s="301"/>
      <c r="AE366" s="300"/>
    </row>
    <row r="367" spans="3:31">
      <c r="C367" s="300"/>
      <c r="D367" s="300"/>
      <c r="E367" s="300"/>
      <c r="F367" s="300"/>
      <c r="G367" s="300"/>
      <c r="H367" s="300"/>
      <c r="I367" s="300"/>
      <c r="J367" s="300"/>
      <c r="K367" s="300"/>
      <c r="L367" s="300"/>
      <c r="M367" s="301"/>
      <c r="N367" s="302"/>
      <c r="O367" s="303"/>
      <c r="P367" s="304"/>
      <c r="Q367" s="300"/>
      <c r="R367" s="300"/>
      <c r="S367" s="300"/>
      <c r="T367" s="300"/>
      <c r="U367" s="300"/>
      <c r="V367" s="300"/>
      <c r="W367" s="301"/>
      <c r="X367" s="301"/>
      <c r="Y367" s="301"/>
      <c r="Z367" s="301"/>
      <c r="AA367" s="301"/>
      <c r="AB367" s="301"/>
      <c r="AC367" s="301"/>
      <c r="AD367" s="301"/>
      <c r="AE367" s="300"/>
    </row>
    <row r="368" spans="3:31">
      <c r="C368" s="300"/>
      <c r="D368" s="300"/>
      <c r="E368" s="300"/>
      <c r="F368" s="300"/>
      <c r="G368" s="300"/>
      <c r="H368" s="300"/>
      <c r="I368" s="300"/>
      <c r="J368" s="300"/>
      <c r="K368" s="300"/>
      <c r="L368" s="300"/>
      <c r="M368" s="301"/>
      <c r="N368" s="302"/>
      <c r="O368" s="303"/>
      <c r="P368" s="304"/>
      <c r="Q368" s="300"/>
      <c r="R368" s="300"/>
      <c r="S368" s="300"/>
      <c r="T368" s="300"/>
      <c r="U368" s="300"/>
      <c r="V368" s="300"/>
      <c r="W368" s="301"/>
      <c r="X368" s="301"/>
      <c r="Y368" s="301"/>
      <c r="Z368" s="301"/>
      <c r="AA368" s="301"/>
      <c r="AB368" s="301"/>
      <c r="AC368" s="301"/>
      <c r="AD368" s="301"/>
      <c r="AE368" s="300"/>
    </row>
    <row r="369" spans="3:31">
      <c r="C369" s="300"/>
      <c r="D369" s="300"/>
      <c r="E369" s="300"/>
      <c r="F369" s="300"/>
      <c r="G369" s="300"/>
      <c r="H369" s="300"/>
      <c r="I369" s="300"/>
      <c r="J369" s="300"/>
      <c r="K369" s="300"/>
      <c r="L369" s="300"/>
      <c r="M369" s="301"/>
      <c r="N369" s="302"/>
      <c r="O369" s="303"/>
      <c r="P369" s="304"/>
      <c r="Q369" s="300"/>
      <c r="R369" s="300"/>
      <c r="S369" s="300"/>
      <c r="T369" s="300"/>
      <c r="U369" s="300"/>
      <c r="V369" s="300"/>
      <c r="W369" s="301"/>
      <c r="X369" s="301"/>
      <c r="Y369" s="301"/>
      <c r="Z369" s="301"/>
      <c r="AA369" s="301"/>
      <c r="AB369" s="301"/>
      <c r="AC369" s="301"/>
      <c r="AD369" s="301"/>
      <c r="AE369" s="300"/>
    </row>
    <row r="370" spans="3:31">
      <c r="C370" s="300"/>
      <c r="D370" s="300"/>
      <c r="E370" s="300"/>
      <c r="F370" s="300"/>
      <c r="G370" s="300"/>
      <c r="H370" s="300"/>
      <c r="I370" s="300"/>
      <c r="J370" s="300"/>
      <c r="K370" s="300"/>
      <c r="L370" s="300"/>
      <c r="M370" s="301"/>
      <c r="N370" s="302"/>
      <c r="O370" s="303"/>
      <c r="P370" s="304"/>
      <c r="Q370" s="300"/>
      <c r="R370" s="300"/>
      <c r="S370" s="300"/>
      <c r="T370" s="300"/>
      <c r="U370" s="300"/>
      <c r="V370" s="300"/>
      <c r="W370" s="301"/>
      <c r="X370" s="301"/>
      <c r="Y370" s="301"/>
      <c r="Z370" s="301"/>
      <c r="AA370" s="301"/>
      <c r="AB370" s="301"/>
      <c r="AC370" s="301"/>
      <c r="AD370" s="301"/>
      <c r="AE370" s="300"/>
    </row>
  </sheetData>
  <sheetProtection formatCells="0" formatColumns="0" formatRows="0" insertColumns="0" insertRows="0" insertHyperlinks="0" deleteColumns="0" deleteRows="0" sort="0" autoFilter="0" pivotTables="0"/>
  <mergeCells count="10">
    <mergeCell ref="W3:AD3"/>
    <mergeCell ref="B63:B74"/>
    <mergeCell ref="U75:V75"/>
    <mergeCell ref="G2:K2"/>
    <mergeCell ref="L2:V2"/>
    <mergeCell ref="C3:G3"/>
    <mergeCell ref="H3:K3"/>
    <mergeCell ref="L3:P3"/>
    <mergeCell ref="Q3:S3"/>
    <mergeCell ref="T3:V3"/>
  </mergeCells>
  <dataValidations count="2">
    <dataValidation type="list" allowBlank="1" showInputMessage="1" showErrorMessage="1" sqref="J53:J74 J5:J51">
      <formula1>$C$84:$C$86</formula1>
    </dataValidation>
    <dataValidation type="list" allowBlank="1" showInputMessage="1" showErrorMessage="1" sqref="J52">
      <formula1>$C$77:$C$79</formula1>
    </dataValidation>
  </dataValidations>
  <pageMargins left="0.25" right="0.25" top="0.75" bottom="0.75" header="0.3" footer="0.3"/>
  <pageSetup paperSize="8" scale="55" orientation="landscape" r:id="rId1"/>
  <colBreaks count="1" manualBreakCount="1">
    <brk id="22" max="49"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1:L34"/>
  <sheetViews>
    <sheetView topLeftCell="A15" zoomScale="80" zoomScaleNormal="80" workbookViewId="0">
      <selection activeCell="F24" sqref="F24"/>
    </sheetView>
  </sheetViews>
  <sheetFormatPr defaultColWidth="8.85546875" defaultRowHeight="36.75" customHeight="1"/>
  <cols>
    <col min="1" max="1" width="3.5703125" style="389" customWidth="1"/>
    <col min="2" max="2" width="33.28515625" style="389" customWidth="1"/>
    <col min="3" max="3" width="18.85546875" style="466" customWidth="1"/>
    <col min="4" max="4" width="21" style="466" customWidth="1"/>
    <col min="5" max="5" width="17.5703125" style="466" customWidth="1"/>
    <col min="6" max="6" width="26.28515625" style="389" customWidth="1"/>
    <col min="7" max="7" width="23.28515625" style="389" customWidth="1"/>
    <col min="8" max="8" width="12.140625" style="389" customWidth="1"/>
    <col min="9" max="9" width="61.5703125" style="389" customWidth="1"/>
    <col min="10" max="11" width="8.85546875" style="389"/>
    <col min="12" max="12" width="14.85546875" style="389" bestFit="1" customWidth="1"/>
    <col min="13" max="16384" width="8.85546875" style="389"/>
  </cols>
  <sheetData>
    <row r="1" spans="2:12" ht="14.25" customHeight="1" thickBot="1">
      <c r="C1" s="389"/>
      <c r="D1" s="389"/>
      <c r="E1" s="389"/>
    </row>
    <row r="2" spans="2:12" ht="36.75" customHeight="1" thickBot="1">
      <c r="B2" s="1308" t="s">
        <v>925</v>
      </c>
      <c r="C2" s="1309"/>
      <c r="D2" s="1309"/>
      <c r="E2" s="1309"/>
      <c r="F2" s="1309"/>
      <c r="G2" s="1309"/>
      <c r="H2" s="1309"/>
      <c r="I2" s="1310"/>
    </row>
    <row r="3" spans="2:12" s="365" customFormat="1" ht="18" customHeight="1"/>
    <row r="4" spans="2:12" s="365" customFormat="1" ht="31.5" customHeight="1">
      <c r="B4" s="999" t="s">
        <v>177</v>
      </c>
      <c r="C4" s="468"/>
      <c r="D4" s="468"/>
      <c r="E4" s="468"/>
      <c r="F4" s="468"/>
      <c r="G4" s="468"/>
      <c r="H4" s="468"/>
      <c r="I4" s="467"/>
      <c r="J4" s="469"/>
      <c r="K4" s="469"/>
    </row>
    <row r="5" spans="2:12" s="365" customFormat="1" ht="31.5" customHeight="1" thickBot="1">
      <c r="B5" s="1002"/>
      <c r="C5" s="469"/>
      <c r="D5" s="469"/>
      <c r="E5" s="469"/>
      <c r="F5" s="469"/>
      <c r="G5" s="469"/>
      <c r="H5" s="469"/>
      <c r="I5" s="1003"/>
      <c r="J5" s="469"/>
      <c r="K5" s="469"/>
    </row>
    <row r="6" spans="2:12" ht="67.5" customHeight="1" thickBot="1">
      <c r="B6" s="1314" t="s">
        <v>932</v>
      </c>
      <c r="C6" s="1315"/>
      <c r="D6" s="1005" t="s">
        <v>927</v>
      </c>
      <c r="E6" s="970" t="s">
        <v>928</v>
      </c>
      <c r="F6" s="970" t="s">
        <v>929</v>
      </c>
      <c r="G6" s="970" t="s">
        <v>930</v>
      </c>
      <c r="H6" s="970" t="s">
        <v>199</v>
      </c>
      <c r="I6" s="972" t="s">
        <v>197</v>
      </c>
      <c r="L6" s="389" t="s">
        <v>642</v>
      </c>
    </row>
    <row r="7" spans="2:12" ht="57" customHeight="1">
      <c r="B7" s="1004" t="s">
        <v>84</v>
      </c>
      <c r="C7" s="1009">
        <v>110000</v>
      </c>
      <c r="D7" s="1006">
        <f>SUM(D8:D11)</f>
        <v>52392</v>
      </c>
      <c r="E7" s="1010">
        <f>SUM(E8:E11)</f>
        <v>0</v>
      </c>
      <c r="F7" s="979">
        <f>D7+E7</f>
        <v>52392</v>
      </c>
      <c r="G7" s="980">
        <f>F7/C7</f>
        <v>0.4762909090909091</v>
      </c>
      <c r="H7" s="981" t="s">
        <v>931</v>
      </c>
      <c r="I7" s="982"/>
      <c r="L7" s="389" t="s">
        <v>640</v>
      </c>
    </row>
    <row r="8" spans="2:12" ht="22.5" customHeight="1">
      <c r="B8" s="1306" t="s">
        <v>616</v>
      </c>
      <c r="C8" s="1311"/>
      <c r="D8" s="1007">
        <f>SUMIFS(Database!$N$5:$N$502,Database!$K$5:$K$502,"Camp with IDPs",Database!$Q$5:$Q$502,"UNICEF")+SUMIFS(Database!$N$5:$N$502,Database!$K$5:$K$502,"Camp with IDPs",Database!$Q$5:$Q$502,"ECHO/UNICEF")</f>
        <v>22763</v>
      </c>
      <c r="E8" s="1011">
        <v>0</v>
      </c>
      <c r="F8" s="969">
        <f>D8+E8</f>
        <v>22763</v>
      </c>
      <c r="G8" s="975"/>
      <c r="H8" s="976"/>
      <c r="I8" s="977"/>
      <c r="L8" s="389" t="s">
        <v>641</v>
      </c>
    </row>
    <row r="9" spans="2:12" ht="22.5" customHeight="1">
      <c r="B9" s="1304" t="s">
        <v>617</v>
      </c>
      <c r="C9" s="1312"/>
      <c r="D9" s="1008">
        <f>SUMIFS(Database!$N$5:$N$502,Database!$K$5:$K$502,"Village with IDPs", Database!$Q$5:$Q$502,"UNICEF")+SUMIFS(Database!$N$5:$N$502,Database!$K$5:$K$502,"Village with affected HH", Database!$Q$5:$Q$502,"UNICEF")+SUMIFS(Database!$N$5:$N$502,Database!$K$5:$K$502,"Village with IDPs", Database!$Q$5:$Q$502,"ECHO/UNICEF")+SUMIFS(Database!$N$5:$N$502,Database!$K$5:$K$502,"Village with affected HH", Database!$Q$5:$Q$502,"ECHO/UNICEF")</f>
        <v>9874</v>
      </c>
      <c r="E9" s="1012">
        <v>0</v>
      </c>
      <c r="F9" s="74">
        <f t="shared" ref="F9:F11" si="0">D9+E9</f>
        <v>9874</v>
      </c>
      <c r="G9" s="461"/>
      <c r="H9" s="61"/>
      <c r="I9" s="973"/>
      <c r="L9" s="389" t="s">
        <v>508</v>
      </c>
    </row>
    <row r="10" spans="2:12" ht="22.5" customHeight="1">
      <c r="B10" s="1304" t="s">
        <v>618</v>
      </c>
      <c r="C10" s="1312"/>
      <c r="D10" s="1008">
        <f>SUMIFS(Database!$N$5:$N$502,Database!$K$5:$K$502,"Surrounding community",Database!$Q$5:$Q$502,"UNICEF")+SUMIFS(Database!$N$5:$N$502,Database!$K$5:$K$502,"Surrounding community",Database!$Q$5:$Q$502,"ECHO/UNICEF")</f>
        <v>19755</v>
      </c>
      <c r="E10" s="1012">
        <v>0</v>
      </c>
      <c r="F10" s="74">
        <f t="shared" si="0"/>
        <v>19755</v>
      </c>
      <c r="G10" s="461"/>
      <c r="H10" s="61"/>
      <c r="I10" s="973"/>
      <c r="L10" s="389" t="s">
        <v>607</v>
      </c>
    </row>
    <row r="11" spans="2:12" ht="22.5" customHeight="1" thickBot="1">
      <c r="B11" s="1302" t="s">
        <v>685</v>
      </c>
      <c r="C11" s="1313"/>
      <c r="D11" s="1032">
        <f>SUMIFS(Database!N5:N502,Database!B5:B502,"Buthidaung",Database!$Q$5:$Q$502,"UNICEF")+SUMIFS(Database!N5:N502,Database!B5:B502,"Maungdaw",Database!$Q$5:$Q$502,"UNICEF")</f>
        <v>0</v>
      </c>
      <c r="E11" s="1013">
        <v>0</v>
      </c>
      <c r="F11" s="1028">
        <f t="shared" si="0"/>
        <v>0</v>
      </c>
      <c r="G11" s="464"/>
      <c r="H11" s="465"/>
      <c r="I11" s="974"/>
    </row>
    <row r="12" spans="2:12" ht="22.5" customHeight="1">
      <c r="B12" s="989"/>
      <c r="C12" s="989"/>
      <c r="D12" s="990"/>
      <c r="E12" s="991"/>
      <c r="F12" s="992"/>
      <c r="G12" s="991"/>
      <c r="H12" s="993"/>
      <c r="I12" s="994"/>
    </row>
    <row r="13" spans="2:12" ht="36.75" customHeight="1">
      <c r="B13" s="999" t="s">
        <v>198</v>
      </c>
      <c r="C13" s="1000"/>
      <c r="D13" s="1000"/>
      <c r="E13" s="1000"/>
      <c r="F13" s="1000"/>
      <c r="G13" s="1000"/>
      <c r="H13" s="1000"/>
      <c r="I13" s="1001"/>
      <c r="J13" s="452"/>
      <c r="K13" s="452"/>
    </row>
    <row r="14" spans="2:12" s="365" customFormat="1" ht="16.5" customHeight="1" thickBot="1"/>
    <row r="15" spans="2:12" ht="67.5" customHeight="1" thickBot="1">
      <c r="B15" s="971" t="s">
        <v>184</v>
      </c>
      <c r="C15" s="970" t="s">
        <v>183</v>
      </c>
      <c r="D15" s="1027" t="s">
        <v>934</v>
      </c>
      <c r="E15" s="970" t="s">
        <v>619</v>
      </c>
      <c r="F15" s="970" t="s">
        <v>626</v>
      </c>
      <c r="G15" s="970" t="s">
        <v>630</v>
      </c>
      <c r="H15" s="970" t="s">
        <v>199</v>
      </c>
      <c r="I15" s="972" t="s">
        <v>197</v>
      </c>
      <c r="L15" s="389" t="s">
        <v>642</v>
      </c>
    </row>
    <row r="16" spans="2:12" ht="57" customHeight="1">
      <c r="B16" s="978" t="s">
        <v>621</v>
      </c>
      <c r="C16" s="979">
        <v>50000</v>
      </c>
      <c r="D16" s="979">
        <f>SUM(D17:D20)</f>
        <v>20637.849999999999</v>
      </c>
      <c r="E16" s="980">
        <f>D16/C16</f>
        <v>0.41275699999999999</v>
      </c>
      <c r="F16" s="979">
        <f>SUM(F17:F20)</f>
        <v>8026</v>
      </c>
      <c r="G16" s="980">
        <f>F16/C16</f>
        <v>0.16052</v>
      </c>
      <c r="H16" s="981" t="s">
        <v>200</v>
      </c>
      <c r="I16" s="982"/>
      <c r="L16" s="389" t="s">
        <v>640</v>
      </c>
    </row>
    <row r="17" spans="2:12" ht="22.5" customHeight="1">
      <c r="B17" s="1306" t="s">
        <v>616</v>
      </c>
      <c r="C17" s="1307"/>
      <c r="D17" s="969">
        <f>SUMIFS(Database!$AM$5:$AM$502,Database!$K$5:$K$502,"Camp with IDPs",Database!$Q$5:$Q$502,"UNICEF")+SUMIFS(Database!$AM$5:$AM$502,Database!$K$5:$K$502,"Camp with IDPs",Database!$Q$5:$Q$502,"ECHO/UNICEF")</f>
        <v>13248</v>
      </c>
      <c r="E17" s="975"/>
      <c r="F17" s="969">
        <f>SUMIFS(Database!$AK$5:$AK$502,Database!$K$5:$K$502,"Camp with IDPs",Database!$Q$5:$Q$502,"UNICEF")+SUMIFS(Database!$AK$5:$AK$502,Database!$K$5:$K$502,"Camp with IDPs",Database!$Q$5:$Q$502,"ECHO/UNICEF")</f>
        <v>2688</v>
      </c>
      <c r="G17" s="975"/>
      <c r="H17" s="976"/>
      <c r="I17" s="977"/>
      <c r="L17" s="389" t="s">
        <v>641</v>
      </c>
    </row>
    <row r="18" spans="2:12" ht="22.5" customHeight="1">
      <c r="B18" s="1304" t="s">
        <v>617</v>
      </c>
      <c r="C18" s="1305"/>
      <c r="D18" s="74">
        <f>SUMIFS(Database!$AM$5:$AM$502,Database!$K$5:$K$502,"Village with IDPs", Database!$Q$5:$Q$502,"UNICEF")+SUMIFS(Database!$AM$5:$AM$502,Database!$K$5:$K$502,"Village with affected HH", Database!$Q$5:$Q$502,"UNICEF")+SUMIFS(Database!$AM$5:$AM$502,Database!$K$5:$K$502,"Village with IDPs", Database!$Q$5:$Q$502,"ECHO/UNICEF")+SUMIFS(Database!$AM$5:$AM$502,Database!$K$5:$K$502,"Village with affected HH", Database!$Q$5:$Q$502,"ECHO/UNICEF")</f>
        <v>500</v>
      </c>
      <c r="E18" s="461"/>
      <c r="F18" s="74">
        <f>SUMIFS(Database!$AK$5:$AK$502,Database!$K$5:$K$502,"Village with IDPs", Database!$Q$5:$Q$502,"UNICEF")+SUMIFS(Database!$AK$5:$AK$502,Database!$K$5:$K$502,"Village with affected HH", Database!$Q$5:$Q$502,"UNICEF")+SUMIFS(Database!$AK$5:$AK$502,Database!$K$5:$K$502,"Village with IDPs", Database!$Q$5:$Q$502,"ECHO/UNICEF")+SUMIFS(Database!$AK$5:$AK$502,Database!$K$5:$K$502,"Village with affected HH", Database!$Q$5:$Q$502,"ECHO/UNICEF")</f>
        <v>500</v>
      </c>
      <c r="G18" s="461"/>
      <c r="H18" s="61"/>
      <c r="I18" s="973"/>
      <c r="L18" s="389" t="s">
        <v>508</v>
      </c>
    </row>
    <row r="19" spans="2:12" ht="22.5" customHeight="1">
      <c r="B19" s="1304" t="s">
        <v>618</v>
      </c>
      <c r="C19" s="1305"/>
      <c r="D19" s="74">
        <f>SUMIFS(Database!$AM$5:$AM$502,Database!$K$5:$K$502,"Surrounding community",Database!$Q$5:$Q$502,"UNICEF")+SUMIFS(Database!$AM$5:$AM$502,Database!$K$5:$K$502,"Surrounding community",Database!$Q$5:$Q$502,"ECHO/UNICEF")</f>
        <v>6889.8499999999995</v>
      </c>
      <c r="E19" s="461"/>
      <c r="F19" s="74">
        <f>SUMIFS(Database!$AK$5:$AK$502,Database!$K$5:$K$502,"Surrounding community",Database!$Q$5:$Q$502,"UNICEF")+SUMIFS(Database!$AK$5:$AK$502,Database!$K$5:$K$502,"Surrounding community",Database!$Q$5:$Q$502,"ECHO/UNICEF")</f>
        <v>4838</v>
      </c>
      <c r="G19" s="461"/>
      <c r="H19" s="61"/>
      <c r="I19" s="973"/>
      <c r="L19" s="389" t="s">
        <v>607</v>
      </c>
    </row>
    <row r="20" spans="2:12" ht="22.5" customHeight="1" thickBot="1">
      <c r="B20" s="1302" t="s">
        <v>685</v>
      </c>
      <c r="C20" s="1303"/>
      <c r="D20" s="462">
        <f>SUMIFS(Database!AM5:AM502,Database!B5:B502,"Buthidaung",Database!$Q$5:$Q$502,"UNICEF")+SUMIFS(Database!AM5:AM502,Database!B5:B502,"Maungdaw",Database!$Q$5:$Q$502,"UNICEF")</f>
        <v>0</v>
      </c>
      <c r="E20" s="464"/>
      <c r="F20" s="1028">
        <f>SUMIFS(Database!AK5:AK502,Database!B5:B502,"Buthidaung",Database!$Q$5:$Q$502,"UNICEF")+SUMIFS(Database!AK5:AK502,Database!B5:B502,"Maungdaw",Database!$Q$5:$Q$502,"UNICEF")</f>
        <v>0</v>
      </c>
      <c r="G20" s="464"/>
      <c r="H20" s="465"/>
      <c r="I20" s="974"/>
    </row>
    <row r="21" spans="2:12" ht="34.5" customHeight="1" thickBot="1">
      <c r="B21" s="983"/>
      <c r="C21" s="983"/>
      <c r="D21" s="984"/>
      <c r="E21" s="985"/>
      <c r="F21" s="986"/>
      <c r="G21" s="985"/>
      <c r="H21" s="987"/>
      <c r="I21" s="988"/>
    </row>
    <row r="22" spans="2:12" ht="67.5" customHeight="1" thickBot="1">
      <c r="B22" s="995" t="s">
        <v>202</v>
      </c>
      <c r="C22" s="996" t="s">
        <v>183</v>
      </c>
      <c r="D22" s="1027" t="s">
        <v>934</v>
      </c>
      <c r="E22" s="996" t="s">
        <v>619</v>
      </c>
      <c r="F22" s="996" t="s">
        <v>622</v>
      </c>
      <c r="G22" s="996" t="s">
        <v>632</v>
      </c>
      <c r="H22" s="996" t="s">
        <v>199</v>
      </c>
      <c r="I22" s="997" t="s">
        <v>197</v>
      </c>
    </row>
    <row r="23" spans="2:12" ht="51.75" customHeight="1">
      <c r="B23" s="978" t="s">
        <v>620</v>
      </c>
      <c r="C23" s="979">
        <v>60000</v>
      </c>
      <c r="D23" s="979">
        <f>SUM(D24:D27)</f>
        <v>19972</v>
      </c>
      <c r="E23" s="980">
        <f>D23/C23</f>
        <v>0.33286666666666664</v>
      </c>
      <c r="F23" s="979">
        <f>SUM(F24:F27)</f>
        <v>19852</v>
      </c>
      <c r="G23" s="980">
        <f>F23/C23</f>
        <v>0.33086666666666664</v>
      </c>
      <c r="H23" s="981" t="s">
        <v>200</v>
      </c>
      <c r="I23" s="982"/>
    </row>
    <row r="24" spans="2:12" ht="18.75" customHeight="1">
      <c r="B24" s="1306" t="s">
        <v>616</v>
      </c>
      <c r="C24" s="1307"/>
      <c r="D24" s="998">
        <f>SUMIFS(Database!$BC$5:$BC$502,Database!$K$5:$K$502,"Camp with IDPs",Database!$Q$5:$Q$502,"UNICEF")+SUMIFS(Database!$BC$5:$BC$502,Database!$K$5:$K$502,"Camp with IDPs",Database!$Q$5:$Q$502,"ECHO/UNICEF")</f>
        <v>16660</v>
      </c>
      <c r="E24" s="975"/>
      <c r="F24" s="969">
        <f>SUMIFS(Database!$BE$5:$BE$502,Database!$K$5:$K$502,"Camp with IDPs",Database!$Q$5:$Q$502,"UNICEF")+SUMIFS(Database!$BE$5:$BE$502,Database!$K$5:$K$502,"Camp with IDPs",Database!$Q$5:$Q$502,"ECHO/UNICEF")</f>
        <v>16660</v>
      </c>
      <c r="G24" s="975"/>
      <c r="H24" s="976"/>
      <c r="I24" s="977"/>
    </row>
    <row r="25" spans="2:12" ht="18.75" customHeight="1">
      <c r="B25" s="1304" t="s">
        <v>617</v>
      </c>
      <c r="C25" s="1305"/>
      <c r="D25" s="964">
        <f>SUMIFS(Database!$BC$5:$BC$502,Database!$K$5:$K$502,"Village with IDPs",Database!$Q$5:$Q$502,"UNICEF")+SUMIFS(Database!$BC$5:$BC$502,Database!$K$5:$K$502,"Village with affected HH",Database!$Q$5:$Q$502,"UNICEF")+SUMIFS(Database!$BC$5:$BC$502,Database!$K$5:$K$502,"Village with IDPs",Database!$Q$5:$Q$502,"ECHO/UNICEF")</f>
        <v>119.99999999999999</v>
      </c>
      <c r="E25" s="461"/>
      <c r="F25" s="74">
        <f>SUMIFS(Database!$BE$5:$BE$502,Database!$K$5:$K$502,"VillAYe with IDPs", Database!$Q$5:$Q$502,"UNICEF")+SUMIFS(Database!$BE$5:$BE$502,Database!$K$5:$K$502,"VillAYe with affected HH", Database!$Q$5:$Q$502,"UNICEF")+SUMIFS(Database!$BE$5:$BE$502,Database!$K$5:$K$502,"VillAYe with IDPs", Database!$Q$5:$Q$502,"ECHO/UNICEF")+SUMIFS(Database!$BE$5:$BE$502,Database!$K$5:$K$502,"VillAYe with affected HH", Database!$Q$5:$Q$502,"ECHO/UNICEF")</f>
        <v>0</v>
      </c>
      <c r="G25" s="461"/>
      <c r="H25" s="61"/>
      <c r="I25" s="973"/>
    </row>
    <row r="26" spans="2:12" ht="18.75" customHeight="1">
      <c r="B26" s="1304" t="s">
        <v>618</v>
      </c>
      <c r="C26" s="1305"/>
      <c r="D26" s="964">
        <f>SUMIFS(Database!$BC$5:$BC$502,Database!$K$5:$K$502,"Surrounding Community",Database!$Q$5:$Q$502,"UNICEF")+SUMIFS(Database!$BC$5:$BC$502,Database!$K$5:$K$502,"Surrounding Community",Database!$Q$5:$Q$502,"ECHO/UNICEF")</f>
        <v>3192</v>
      </c>
      <c r="E26" s="461"/>
      <c r="F26" s="74">
        <f>SUMIFS(Database!$BE$5:$BE$502,Database!$K$5:$K$502,"Surrounding community",Database!$Q$5:$Q$502,"UNICEF")+SUMIFS(Database!$BE$5:$BE$502,Database!$K$5:$K$502,"Surrounding community",Database!$Q$5:$Q$502,"ECHO/UNICEF")</f>
        <v>3192</v>
      </c>
      <c r="G26" s="461"/>
      <c r="H26" s="61"/>
      <c r="I26" s="973"/>
    </row>
    <row r="27" spans="2:12" ht="18.75" customHeight="1" thickBot="1">
      <c r="B27" s="1302" t="s">
        <v>685</v>
      </c>
      <c r="C27" s="1303"/>
      <c r="D27" s="1028">
        <f>SUMIFS(Database!BC5:BC502,Database!B5:B502,"Buthidaung",Database!$Q$5:$Q$502,"UNICEF")+SUMIFS(Database!BC5:BC502,Database!B5:B502,"Maungdaw",Database!$Q$5:$Q$502,"UNICEF")</f>
        <v>0</v>
      </c>
      <c r="E27" s="462"/>
      <c r="F27" s="1028">
        <f>SUMIFS(Database!BE5:BE502,Database!B5:B502,"Buthidaung",Database!$Q$5:$Q$502,"UNICEF")+SUMIFS(Database!BE5:BE502,Database!B5:B502,"Maungdaw",Database!$Q$5:$Q$502,"UNICEF")</f>
        <v>0</v>
      </c>
      <c r="G27" s="464"/>
      <c r="H27" s="465"/>
      <c r="I27" s="974"/>
    </row>
    <row r="28" spans="2:12" ht="25.5" customHeight="1" thickBot="1"/>
    <row r="29" spans="2:12" ht="47.25" customHeight="1" thickBot="1">
      <c r="B29" s="995" t="s">
        <v>203</v>
      </c>
      <c r="C29" s="996" t="s">
        <v>183</v>
      </c>
      <c r="D29" s="1027" t="s">
        <v>934</v>
      </c>
      <c r="E29" s="996"/>
      <c r="F29" s="996"/>
      <c r="G29" s="996" t="s">
        <v>619</v>
      </c>
      <c r="H29" s="996" t="s">
        <v>199</v>
      </c>
      <c r="I29" s="997" t="s">
        <v>197</v>
      </c>
    </row>
    <row r="30" spans="2:12" ht="50.25" customHeight="1">
      <c r="B30" s="978" t="s">
        <v>623</v>
      </c>
      <c r="C30" s="979">
        <v>50000</v>
      </c>
      <c r="D30" s="979">
        <f>SUM((D31:D34))</f>
        <v>17658.025366979979</v>
      </c>
      <c r="E30" s="1026"/>
      <c r="F30" s="979"/>
      <c r="G30" s="980">
        <f>D30/C30</f>
        <v>0.35316050733959958</v>
      </c>
      <c r="H30" s="981" t="s">
        <v>624</v>
      </c>
      <c r="I30" s="982" t="s">
        <v>627</v>
      </c>
    </row>
    <row r="31" spans="2:12" ht="27" customHeight="1">
      <c r="B31" s="1306" t="s">
        <v>616</v>
      </c>
      <c r="C31" s="1307"/>
      <c r="D31" s="1025">
        <f>F8*G31</f>
        <v>11153.869999999999</v>
      </c>
      <c r="E31" s="969" t="s">
        <v>201</v>
      </c>
      <c r="F31" s="969"/>
      <c r="G31" s="1029">
        <v>0.49</v>
      </c>
      <c r="H31" s="976" t="s">
        <v>624</v>
      </c>
      <c r="I31" s="977"/>
    </row>
    <row r="32" spans="2:12" ht="27" customHeight="1">
      <c r="B32" s="1304" t="s">
        <v>617</v>
      </c>
      <c r="C32" s="1305"/>
      <c r="D32" s="74">
        <f t="shared" ref="D32:D34" si="1">F9*G32</f>
        <v>2158.0553669799806</v>
      </c>
      <c r="E32" s="74" t="s">
        <v>201</v>
      </c>
      <c r="F32" s="74"/>
      <c r="G32" s="1030">
        <v>0.21855938494834723</v>
      </c>
      <c r="H32" s="61" t="s">
        <v>935</v>
      </c>
      <c r="I32" s="973"/>
    </row>
    <row r="33" spans="2:9" ht="27" customHeight="1">
      <c r="B33" s="1304" t="s">
        <v>618</v>
      </c>
      <c r="C33" s="1305"/>
      <c r="D33" s="74">
        <f t="shared" si="1"/>
        <v>4346.1000000000004</v>
      </c>
      <c r="E33" s="74" t="s">
        <v>201</v>
      </c>
      <c r="F33" s="74"/>
      <c r="G33" s="1030">
        <v>0.22</v>
      </c>
      <c r="H33" s="61" t="s">
        <v>624</v>
      </c>
      <c r="I33" s="973"/>
    </row>
    <row r="34" spans="2:9" ht="27" customHeight="1" thickBot="1">
      <c r="B34" s="1302" t="s">
        <v>685</v>
      </c>
      <c r="C34" s="1303"/>
      <c r="D34" s="462">
        <f t="shared" si="1"/>
        <v>0</v>
      </c>
      <c r="E34" s="462" t="s">
        <v>201</v>
      </c>
      <c r="F34" s="463"/>
      <c r="G34" s="960">
        <v>0.3</v>
      </c>
      <c r="H34" s="1031" t="s">
        <v>624</v>
      </c>
      <c r="I34" s="974"/>
    </row>
  </sheetData>
  <mergeCells count="18">
    <mergeCell ref="B2:I2"/>
    <mergeCell ref="B8:C8"/>
    <mergeCell ref="B9:C9"/>
    <mergeCell ref="B10:C10"/>
    <mergeCell ref="B11:C11"/>
    <mergeCell ref="B6:C6"/>
    <mergeCell ref="B24:C24"/>
    <mergeCell ref="B17:C17"/>
    <mergeCell ref="B18:C18"/>
    <mergeCell ref="B19:C19"/>
    <mergeCell ref="B20:C20"/>
    <mergeCell ref="B34:C34"/>
    <mergeCell ref="B25:C25"/>
    <mergeCell ref="B26:C26"/>
    <mergeCell ref="B27:C27"/>
    <mergeCell ref="B31:C31"/>
    <mergeCell ref="B32:C32"/>
    <mergeCell ref="B33:C33"/>
  </mergeCells>
  <pageMargins left="0.25" right="0.25" top="0.75" bottom="0.75" header="0.3" footer="0.3"/>
  <pageSetup paperSize="9"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Guide</vt:lpstr>
      <vt:lpstr>Snapshot</vt:lpstr>
      <vt:lpstr>Situation Analysis</vt:lpstr>
      <vt:lpstr>Funds analysis</vt:lpstr>
      <vt:lpstr>Cluster indicator 2015</vt:lpstr>
      <vt:lpstr>Database</vt:lpstr>
      <vt:lpstr>Ending Project</vt:lpstr>
      <vt:lpstr>Agency funds received</vt:lpstr>
      <vt:lpstr>UNICEF</vt:lpstr>
      <vt:lpstr>List</vt:lpstr>
      <vt:lpstr>Camp</vt:lpstr>
      <vt:lpstr>'Agency funds received'!List</vt:lpstr>
      <vt:lpstr>'Agency funds received'!Print_Area</vt:lpstr>
      <vt:lpstr>Database!Print_Area</vt:lpstr>
      <vt:lpstr>'Funds analysis'!Print_Area</vt:lpstr>
      <vt:lpstr>'Situation Analysis'!Print_Area</vt:lpstr>
      <vt:lpstr>Snapshot!Print_Area</vt:lpstr>
      <vt:lpstr>Database!Print_Titles</vt:lpstr>
      <vt:lpstr>Village</vt:lpstr>
    </vt:vector>
  </TitlesOfParts>
  <Company>UNICEF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Yangon</dc:creator>
  <cp:lastModifiedBy>Allix James</cp:lastModifiedBy>
  <cp:lastPrinted>2015-10-25T06:47:28Z</cp:lastPrinted>
  <dcterms:created xsi:type="dcterms:W3CDTF">2013-10-15T03:10:09Z</dcterms:created>
  <dcterms:modified xsi:type="dcterms:W3CDTF">2015-10-26T03:49:01Z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