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nhcr365.sharepoint.com/teams/mena-sdnas-SudanShelterandNFI/Shared Documents/Sudan Shelter and NFI/Shelter and NFI Cluster/HRP 2024/HPC 2025/To be uploaded/"/>
    </mc:Choice>
  </mc:AlternateContent>
  <xr:revisionPtr revIDLastSave="17" documentId="8_{D157ABEC-89AA-403F-9AE8-853A40290DF4}" xr6:coauthVersionLast="47" xr6:coauthVersionMax="47" xr10:uidLastSave="{96EF0A94-2F42-4949-8642-8D6D34B02973}"/>
  <bookViews>
    <workbookView xWindow="28680" yWindow="-120" windowWidth="29040" windowHeight="15720" tabRatio="648" activeTab="2" xr2:uid="{AA739783-93FE-4B20-8E0C-E44F15676CF5}"/>
  </bookViews>
  <sheets>
    <sheet name="Readme" sheetId="10" r:id="rId1"/>
    <sheet name="SO_Reference" sheetId="1" r:id="rId2"/>
    <sheet name="Activities and requirements" sheetId="2" r:id="rId3"/>
    <sheet name="Funding by state" sheetId="11" r:id="rId4"/>
    <sheet name="Cluter Target" sheetId="3" r:id="rId5"/>
    <sheet name="2024 Response Performance" sheetId="9" r:id="rId6"/>
    <sheet name="Threshold" sheetId="8" r:id="rId7"/>
  </sheets>
  <definedNames>
    <definedName name="_xlnm._FilterDatabase" localSheetId="5" hidden="1">'2024 Response Performance'!$B$2:$H$566</definedName>
    <definedName name="Diff_severity3">Threshold!$C$10</definedName>
    <definedName name="Diff_severity4">Threshold!$C$9</definedName>
    <definedName name="Targ_severity5">Threshold!$C$8</definedName>
    <definedName name="Targ_vs_PiN">Threshold!$C$7</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3" l="1"/>
  <c r="S3" i="3" s="1"/>
  <c r="AC1" i="3"/>
  <c r="AB1" i="3"/>
  <c r="R6" i="2"/>
  <c r="R7" i="2"/>
  <c r="R8" i="2"/>
  <c r="R9" i="2"/>
  <c r="R10" i="2"/>
  <c r="R16" i="2" s="1"/>
  <c r="R11" i="2"/>
  <c r="R12" i="2"/>
  <c r="R13" i="2"/>
  <c r="R14" i="2"/>
  <c r="R15" i="2"/>
  <c r="R5" i="2"/>
  <c r="K4" i="3"/>
  <c r="K3" i="3"/>
  <c r="O6" i="2"/>
  <c r="O7" i="2"/>
  <c r="O8" i="2"/>
  <c r="O16" i="2" s="1"/>
  <c r="O9" i="2"/>
  <c r="O10" i="2"/>
  <c r="O11" i="2"/>
  <c r="O12" i="2"/>
  <c r="O13" i="2"/>
  <c r="O14" i="2"/>
  <c r="O15" i="2"/>
  <c r="O5" i="2"/>
  <c r="AA5" i="11"/>
  <c r="AA6" i="11"/>
  <c r="AA7" i="11"/>
  <c r="AA8" i="11"/>
  <c r="AA9" i="11"/>
  <c r="AA10" i="11"/>
  <c r="AA11" i="11"/>
  <c r="AA12" i="11"/>
  <c r="AA13" i="11"/>
  <c r="AA14" i="11"/>
  <c r="AA15" i="11"/>
  <c r="AA16" i="11"/>
  <c r="AA17" i="11"/>
  <c r="AA18" i="11"/>
  <c r="AA19" i="11"/>
  <c r="AA20" i="11"/>
  <c r="AA21" i="11"/>
  <c r="AA4" i="11" l="1"/>
  <c r="F4" i="3"/>
  <c r="G4" i="3"/>
  <c r="H4" i="3"/>
  <c r="L4" i="3" l="1"/>
  <c r="M4" i="3"/>
  <c r="AF7" i="3" l="1"/>
  <c r="AF8" i="3"/>
  <c r="AF9" i="3"/>
  <c r="AF10" i="3"/>
  <c r="AF11" i="3"/>
  <c r="AF12" i="3"/>
  <c r="AF13" i="3"/>
  <c r="AF14" i="3"/>
  <c r="AF15" i="3"/>
  <c r="AF16" i="3"/>
  <c r="AF17" i="3"/>
  <c r="AF18" i="3"/>
  <c r="AF19" i="3"/>
  <c r="AF20" i="3"/>
  <c r="AF21" i="3"/>
  <c r="AF22" i="3"/>
  <c r="AF23" i="3"/>
  <c r="AF24" i="3"/>
  <c r="AF25" i="3"/>
  <c r="AF26" i="3"/>
  <c r="AF27" i="3"/>
  <c r="AF28" i="3"/>
  <c r="AF33" i="3"/>
  <c r="AF30" i="3"/>
  <c r="AF31" i="3"/>
  <c r="AF32" i="3"/>
  <c r="AF221"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409"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9" i="3"/>
  <c r="AF218" i="3"/>
  <c r="AF219" i="3"/>
  <c r="AF220" i="3"/>
  <c r="AF217"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405"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318" i="3"/>
  <c r="AF319" i="3"/>
  <c r="AF320" i="3"/>
  <c r="AF321" i="3"/>
  <c r="AF322" i="3"/>
  <c r="AF323" i="3"/>
  <c r="AF324" i="3"/>
  <c r="AF325" i="3"/>
  <c r="AF326" i="3"/>
  <c r="AF327" i="3"/>
  <c r="AF328" i="3"/>
  <c r="AF329" i="3"/>
  <c r="AF330" i="3"/>
  <c r="AF331" i="3"/>
  <c r="AF332" i="3"/>
  <c r="AF333" i="3"/>
  <c r="AF334" i="3"/>
  <c r="AF335" i="3"/>
  <c r="AF336" i="3"/>
  <c r="AF337" i="3"/>
  <c r="AF338" i="3"/>
  <c r="AF339" i="3"/>
  <c r="AF340" i="3"/>
  <c r="AF341" i="3"/>
  <c r="AF342" i="3"/>
  <c r="AF343" i="3"/>
  <c r="AF344" i="3"/>
  <c r="AF345" i="3"/>
  <c r="AF346" i="3"/>
  <c r="AF347" i="3"/>
  <c r="AF348" i="3"/>
  <c r="AF349" i="3"/>
  <c r="AF350" i="3"/>
  <c r="AF351" i="3"/>
  <c r="AF352" i="3"/>
  <c r="AF353" i="3"/>
  <c r="AF354" i="3"/>
  <c r="AF355" i="3"/>
  <c r="AF356" i="3"/>
  <c r="AF357" i="3"/>
  <c r="AF358" i="3"/>
  <c r="AF359" i="3"/>
  <c r="AF360" i="3"/>
  <c r="AF361" i="3"/>
  <c r="AF362" i="3"/>
  <c r="AF363" i="3"/>
  <c r="AF364" i="3"/>
  <c r="AF365" i="3"/>
  <c r="AF366" i="3"/>
  <c r="AF367" i="3"/>
  <c r="AF368" i="3"/>
  <c r="AF369" i="3"/>
  <c r="AF370" i="3"/>
  <c r="AF371" i="3"/>
  <c r="AF372" i="3"/>
  <c r="AF373" i="3"/>
  <c r="AF374" i="3"/>
  <c r="AF375" i="3"/>
  <c r="AF376" i="3"/>
  <c r="AF377" i="3"/>
  <c r="AF378" i="3"/>
  <c r="AF379" i="3"/>
  <c r="AF380" i="3"/>
  <c r="AF381" i="3"/>
  <c r="AF382" i="3"/>
  <c r="AF383" i="3"/>
  <c r="AF384" i="3"/>
  <c r="AF385" i="3"/>
  <c r="AF386" i="3"/>
  <c r="AF387" i="3"/>
  <c r="AF388" i="3"/>
  <c r="AF389" i="3"/>
  <c r="AF390" i="3"/>
  <c r="AF391" i="3"/>
  <c r="AF392" i="3"/>
  <c r="AF393" i="3"/>
  <c r="AF394" i="3"/>
  <c r="AF395" i="3"/>
  <c r="AF396" i="3"/>
  <c r="AF397" i="3"/>
  <c r="AF398" i="3"/>
  <c r="AF399" i="3"/>
  <c r="AF400" i="3"/>
  <c r="AF401" i="3"/>
  <c r="AF402" i="3"/>
  <c r="AF403" i="3"/>
  <c r="AF404" i="3"/>
  <c r="AF76" i="3"/>
  <c r="AF406" i="3"/>
  <c r="AF407" i="3"/>
  <c r="AF408" i="3"/>
  <c r="AF264" i="3"/>
  <c r="AF410" i="3"/>
  <c r="AF411" i="3"/>
  <c r="AF412" i="3"/>
  <c r="AF413" i="3"/>
  <c r="AF414" i="3"/>
  <c r="AF415" i="3"/>
  <c r="AF416" i="3"/>
  <c r="AF417" i="3"/>
  <c r="AF418" i="3"/>
  <c r="AF419" i="3"/>
  <c r="AF420" i="3"/>
  <c r="AF421" i="3"/>
  <c r="AF422" i="3"/>
  <c r="AF423" i="3"/>
  <c r="AF424" i="3"/>
  <c r="AF425" i="3"/>
  <c r="AF426" i="3"/>
  <c r="AF427" i="3"/>
  <c r="AF428" i="3"/>
  <c r="AF429" i="3"/>
  <c r="AF430" i="3"/>
  <c r="AF431" i="3"/>
  <c r="AF432" i="3"/>
  <c r="AF433" i="3"/>
  <c r="AF434" i="3"/>
  <c r="AF435" i="3"/>
  <c r="AF436" i="3"/>
  <c r="AF437" i="3"/>
  <c r="AF438" i="3"/>
  <c r="AF439" i="3"/>
  <c r="AF440" i="3"/>
  <c r="AF441" i="3"/>
  <c r="AF442" i="3"/>
  <c r="AF443" i="3"/>
  <c r="AF444" i="3"/>
  <c r="AF445" i="3"/>
  <c r="AF446" i="3"/>
  <c r="AF447" i="3"/>
  <c r="AF448" i="3"/>
  <c r="AF449" i="3"/>
  <c r="AF450" i="3"/>
  <c r="AF451" i="3"/>
  <c r="AF452" i="3"/>
  <c r="AF453" i="3"/>
  <c r="AF454" i="3"/>
  <c r="AF455" i="3"/>
  <c r="AF456" i="3"/>
  <c r="AF457" i="3"/>
  <c r="AF458" i="3"/>
  <c r="AF459" i="3"/>
  <c r="AF460" i="3"/>
  <c r="AF461" i="3"/>
  <c r="AF462" i="3"/>
  <c r="AF463" i="3"/>
  <c r="AF464" i="3"/>
  <c r="AF465" i="3"/>
  <c r="AF466" i="3"/>
  <c r="AF467" i="3"/>
  <c r="AF468" i="3"/>
  <c r="AF469" i="3"/>
  <c r="AF470" i="3"/>
  <c r="AF471" i="3"/>
  <c r="AF472" i="3"/>
  <c r="AF473" i="3"/>
  <c r="AF474" i="3"/>
  <c r="AF475" i="3"/>
  <c r="AF476" i="3"/>
  <c r="AF477" i="3"/>
  <c r="AF478" i="3"/>
  <c r="AF479" i="3"/>
  <c r="AF480" i="3"/>
  <c r="AF481" i="3"/>
  <c r="AF482" i="3"/>
  <c r="AF483" i="3"/>
  <c r="AF484" i="3"/>
  <c r="AF485" i="3"/>
  <c r="AF486" i="3"/>
  <c r="AF487" i="3"/>
  <c r="AF488" i="3"/>
  <c r="AF489" i="3"/>
  <c r="AF490" i="3"/>
  <c r="AF491" i="3"/>
  <c r="AF492" i="3"/>
  <c r="AF493" i="3"/>
  <c r="AF494" i="3"/>
  <c r="AF495" i="3"/>
  <c r="AF496" i="3"/>
  <c r="AF497" i="3"/>
  <c r="AF498" i="3"/>
  <c r="AF499" i="3"/>
  <c r="AF500" i="3"/>
  <c r="AF501" i="3"/>
  <c r="AF502" i="3"/>
  <c r="AF503" i="3"/>
  <c r="AF504" i="3"/>
  <c r="AF505" i="3"/>
  <c r="AF506" i="3"/>
  <c r="AF507" i="3"/>
  <c r="AF508" i="3"/>
  <c r="AF509" i="3"/>
  <c r="AF510" i="3"/>
  <c r="AF511" i="3"/>
  <c r="AF512" i="3"/>
  <c r="AF513" i="3"/>
  <c r="AF514" i="3"/>
  <c r="AF515" i="3"/>
  <c r="AF516" i="3"/>
  <c r="AF517" i="3"/>
  <c r="AF518" i="3"/>
  <c r="AF519" i="3"/>
  <c r="AF520" i="3"/>
  <c r="AF521" i="3"/>
  <c r="AF522" i="3"/>
  <c r="AF523" i="3"/>
  <c r="AF524" i="3"/>
  <c r="AF525" i="3"/>
  <c r="AF526" i="3"/>
  <c r="AF527" i="3"/>
  <c r="AF528" i="3"/>
  <c r="AF529" i="3"/>
  <c r="AF530" i="3"/>
  <c r="AF531" i="3"/>
  <c r="AF532" i="3"/>
  <c r="AF533" i="3"/>
  <c r="AF534" i="3"/>
  <c r="AF535" i="3"/>
  <c r="AF536" i="3"/>
  <c r="AF537" i="3"/>
  <c r="AF538" i="3"/>
  <c r="AF539" i="3"/>
  <c r="AF540" i="3"/>
  <c r="AF541" i="3"/>
  <c r="AF542" i="3"/>
  <c r="AF543" i="3"/>
  <c r="AF544" i="3"/>
  <c r="AF545" i="3"/>
  <c r="AF546" i="3"/>
  <c r="AF547" i="3"/>
  <c r="AF548" i="3"/>
  <c r="AF549" i="3"/>
  <c r="AF550" i="3"/>
  <c r="AF551" i="3"/>
  <c r="AF552" i="3"/>
  <c r="AF553" i="3"/>
  <c r="AF554" i="3"/>
  <c r="AF555" i="3"/>
  <c r="AF556" i="3"/>
  <c r="AF557" i="3"/>
  <c r="AF558" i="3"/>
  <c r="AF559" i="3"/>
  <c r="AF560" i="3"/>
  <c r="AF561" i="3"/>
  <c r="AF562" i="3"/>
  <c r="AF563" i="3"/>
  <c r="AF564" i="3"/>
  <c r="AF565" i="3"/>
  <c r="AF566" i="3"/>
  <c r="AF567" i="3"/>
  <c r="AF568" i="3"/>
  <c r="AF569" i="3"/>
  <c r="AF570" i="3"/>
  <c r="G1" i="9"/>
  <c r="AC5" i="3" l="1"/>
  <c r="AB5" i="3"/>
  <c r="AE8" i="3" l="1"/>
  <c r="AE9" i="3"/>
  <c r="AE10" i="3"/>
  <c r="AE11" i="3"/>
  <c r="AE12" i="3"/>
  <c r="AE13" i="3"/>
  <c r="AE14" i="3"/>
  <c r="AE15" i="3"/>
  <c r="AE16" i="3"/>
  <c r="AE17" i="3"/>
  <c r="AE18" i="3"/>
  <c r="AE19" i="3"/>
  <c r="AE20" i="3"/>
  <c r="AE21" i="3"/>
  <c r="AE22" i="3"/>
  <c r="AE23" i="3"/>
  <c r="AE24" i="3"/>
  <c r="AE25" i="3"/>
  <c r="AE26" i="3"/>
  <c r="AE27" i="3"/>
  <c r="AE28" i="3"/>
  <c r="AE33" i="3"/>
  <c r="AE30" i="3"/>
  <c r="AE31" i="3"/>
  <c r="AE32" i="3"/>
  <c r="AE221"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409"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157" i="3"/>
  <c r="AE158" i="3"/>
  <c r="AE159" i="3"/>
  <c r="AE160" i="3"/>
  <c r="AE161" i="3"/>
  <c r="AE162" i="3"/>
  <c r="AE163" i="3"/>
  <c r="AE164" i="3"/>
  <c r="AE165" i="3"/>
  <c r="AE166" i="3"/>
  <c r="AE167" i="3"/>
  <c r="AE168" i="3"/>
  <c r="AE169" i="3"/>
  <c r="AE170" i="3"/>
  <c r="AE171" i="3"/>
  <c r="AE172" i="3"/>
  <c r="AE173" i="3"/>
  <c r="AE174" i="3"/>
  <c r="AE175" i="3"/>
  <c r="AE176" i="3"/>
  <c r="AE177" i="3"/>
  <c r="AE178" i="3"/>
  <c r="AE179" i="3"/>
  <c r="AE180" i="3"/>
  <c r="AE181" i="3"/>
  <c r="AE182" i="3"/>
  <c r="AE183" i="3"/>
  <c r="AE184" i="3"/>
  <c r="AE185" i="3"/>
  <c r="AE186" i="3"/>
  <c r="AE187" i="3"/>
  <c r="AE188" i="3"/>
  <c r="AE189" i="3"/>
  <c r="AE190" i="3"/>
  <c r="AE191" i="3"/>
  <c r="AE192" i="3"/>
  <c r="AE193" i="3"/>
  <c r="AE194" i="3"/>
  <c r="AE195" i="3"/>
  <c r="AE196" i="3"/>
  <c r="AE197" i="3"/>
  <c r="AE198" i="3"/>
  <c r="AE199" i="3"/>
  <c r="AE200" i="3"/>
  <c r="AE201" i="3"/>
  <c r="AE202" i="3"/>
  <c r="AE203" i="3"/>
  <c r="AE204" i="3"/>
  <c r="AE205" i="3"/>
  <c r="AE206" i="3"/>
  <c r="AE207" i="3"/>
  <c r="AE208" i="3"/>
  <c r="AE209" i="3"/>
  <c r="AE210" i="3"/>
  <c r="AE211" i="3"/>
  <c r="AE212" i="3"/>
  <c r="AE213" i="3"/>
  <c r="AE214" i="3"/>
  <c r="AE215" i="3"/>
  <c r="AE216" i="3"/>
  <c r="AE29" i="3"/>
  <c r="AE218" i="3"/>
  <c r="AE219" i="3"/>
  <c r="AE220" i="3"/>
  <c r="AE217" i="3"/>
  <c r="AE222" i="3"/>
  <c r="AE223" i="3"/>
  <c r="AE224" i="3"/>
  <c r="AE225" i="3"/>
  <c r="AE226" i="3"/>
  <c r="AE227" i="3"/>
  <c r="AE228" i="3"/>
  <c r="AE229" i="3"/>
  <c r="AE230" i="3"/>
  <c r="AE231" i="3"/>
  <c r="AE232" i="3"/>
  <c r="AE233" i="3"/>
  <c r="AE234" i="3"/>
  <c r="AE235" i="3"/>
  <c r="AE236" i="3"/>
  <c r="AE237" i="3"/>
  <c r="AE238" i="3"/>
  <c r="AE239" i="3"/>
  <c r="AE240" i="3"/>
  <c r="AE241" i="3"/>
  <c r="AE242" i="3"/>
  <c r="AE243" i="3"/>
  <c r="AE244" i="3"/>
  <c r="AE245" i="3"/>
  <c r="AE246" i="3"/>
  <c r="AE247" i="3"/>
  <c r="AE248" i="3"/>
  <c r="AE249" i="3"/>
  <c r="AE250" i="3"/>
  <c r="AE251" i="3"/>
  <c r="AE252" i="3"/>
  <c r="AE253" i="3"/>
  <c r="AE254" i="3"/>
  <c r="AE255" i="3"/>
  <c r="AE256" i="3"/>
  <c r="AE257" i="3"/>
  <c r="AE258" i="3"/>
  <c r="AE259" i="3"/>
  <c r="AE260" i="3"/>
  <c r="AE261" i="3"/>
  <c r="AE262" i="3"/>
  <c r="AE263" i="3"/>
  <c r="AE405" i="3"/>
  <c r="AE265" i="3"/>
  <c r="AE266" i="3"/>
  <c r="AE267" i="3"/>
  <c r="AE268" i="3"/>
  <c r="AE269" i="3"/>
  <c r="AE270" i="3"/>
  <c r="AE271" i="3"/>
  <c r="AE272" i="3"/>
  <c r="AE273" i="3"/>
  <c r="AE274" i="3"/>
  <c r="AE275" i="3"/>
  <c r="AE276" i="3"/>
  <c r="AE277" i="3"/>
  <c r="AE278" i="3"/>
  <c r="AE279" i="3"/>
  <c r="AE280" i="3"/>
  <c r="AE281" i="3"/>
  <c r="AE282" i="3"/>
  <c r="AE283" i="3"/>
  <c r="AE284" i="3"/>
  <c r="AE285" i="3"/>
  <c r="AE286" i="3"/>
  <c r="AE287" i="3"/>
  <c r="AE288" i="3"/>
  <c r="AE289" i="3"/>
  <c r="AE290" i="3"/>
  <c r="AE291" i="3"/>
  <c r="AE292" i="3"/>
  <c r="AE293" i="3"/>
  <c r="AE294" i="3"/>
  <c r="AE295" i="3"/>
  <c r="AE296" i="3"/>
  <c r="AE297" i="3"/>
  <c r="AE298" i="3"/>
  <c r="AE299" i="3"/>
  <c r="AE300" i="3"/>
  <c r="AE301" i="3"/>
  <c r="AE302" i="3"/>
  <c r="AE303" i="3"/>
  <c r="AE304" i="3"/>
  <c r="AE305" i="3"/>
  <c r="AE306" i="3"/>
  <c r="AE307" i="3"/>
  <c r="AE308" i="3"/>
  <c r="AE309" i="3"/>
  <c r="AE310" i="3"/>
  <c r="AE311" i="3"/>
  <c r="AE312" i="3"/>
  <c r="AE313" i="3"/>
  <c r="AE314" i="3"/>
  <c r="AE315" i="3"/>
  <c r="AE316" i="3"/>
  <c r="AE317" i="3"/>
  <c r="AE318" i="3"/>
  <c r="AE319" i="3"/>
  <c r="AE320" i="3"/>
  <c r="AE321" i="3"/>
  <c r="AE322" i="3"/>
  <c r="AE323" i="3"/>
  <c r="AE324" i="3"/>
  <c r="AE325" i="3"/>
  <c r="AE326" i="3"/>
  <c r="AE327" i="3"/>
  <c r="AE328" i="3"/>
  <c r="AE329" i="3"/>
  <c r="AE330" i="3"/>
  <c r="AE331" i="3"/>
  <c r="AE332" i="3"/>
  <c r="AE333" i="3"/>
  <c r="AE334" i="3"/>
  <c r="AE335" i="3"/>
  <c r="AE336" i="3"/>
  <c r="AE337" i="3"/>
  <c r="AE338" i="3"/>
  <c r="AE339" i="3"/>
  <c r="AE340" i="3"/>
  <c r="AE341" i="3"/>
  <c r="AE342" i="3"/>
  <c r="AE343" i="3"/>
  <c r="AE344" i="3"/>
  <c r="AE345" i="3"/>
  <c r="AE346" i="3"/>
  <c r="AE347" i="3"/>
  <c r="AE348" i="3"/>
  <c r="AE349" i="3"/>
  <c r="AE350" i="3"/>
  <c r="AE351" i="3"/>
  <c r="AE352" i="3"/>
  <c r="AE353" i="3"/>
  <c r="AE354" i="3"/>
  <c r="AE355" i="3"/>
  <c r="AE356" i="3"/>
  <c r="AE357" i="3"/>
  <c r="AE358" i="3"/>
  <c r="AE359" i="3"/>
  <c r="AE360" i="3"/>
  <c r="AE361" i="3"/>
  <c r="AE362" i="3"/>
  <c r="AE363" i="3"/>
  <c r="AE364" i="3"/>
  <c r="AE365" i="3"/>
  <c r="AE366" i="3"/>
  <c r="AE367" i="3"/>
  <c r="AE368" i="3"/>
  <c r="AE369" i="3"/>
  <c r="AE370" i="3"/>
  <c r="AE371" i="3"/>
  <c r="AE372" i="3"/>
  <c r="AE373" i="3"/>
  <c r="AE374" i="3"/>
  <c r="AE375" i="3"/>
  <c r="AE376" i="3"/>
  <c r="AE377" i="3"/>
  <c r="AE378" i="3"/>
  <c r="AE379" i="3"/>
  <c r="AE380" i="3"/>
  <c r="AE381" i="3"/>
  <c r="AE382" i="3"/>
  <c r="AE383" i="3"/>
  <c r="AE384" i="3"/>
  <c r="AE385" i="3"/>
  <c r="AE386" i="3"/>
  <c r="AE387" i="3"/>
  <c r="AE388" i="3"/>
  <c r="AE389" i="3"/>
  <c r="AE390" i="3"/>
  <c r="AE391" i="3"/>
  <c r="AE392" i="3"/>
  <c r="AE393" i="3"/>
  <c r="AE394" i="3"/>
  <c r="AE395" i="3"/>
  <c r="AE396" i="3"/>
  <c r="AE397" i="3"/>
  <c r="AE398" i="3"/>
  <c r="AE399" i="3"/>
  <c r="AE400" i="3"/>
  <c r="AE401" i="3"/>
  <c r="AE402" i="3"/>
  <c r="AE403" i="3"/>
  <c r="AE404" i="3"/>
  <c r="AE76" i="3"/>
  <c r="AE406" i="3"/>
  <c r="AE407" i="3"/>
  <c r="AE408" i="3"/>
  <c r="AE264" i="3"/>
  <c r="AE410" i="3"/>
  <c r="AE411" i="3"/>
  <c r="AE412" i="3"/>
  <c r="AE413" i="3"/>
  <c r="AE414" i="3"/>
  <c r="AE415" i="3"/>
  <c r="AE416" i="3"/>
  <c r="AE417" i="3"/>
  <c r="AE418" i="3"/>
  <c r="AE419" i="3"/>
  <c r="AE420" i="3"/>
  <c r="AE421" i="3"/>
  <c r="AE422" i="3"/>
  <c r="AE423" i="3"/>
  <c r="AE424" i="3"/>
  <c r="AE425" i="3"/>
  <c r="AE426" i="3"/>
  <c r="AE427" i="3"/>
  <c r="AE428" i="3"/>
  <c r="AE429" i="3"/>
  <c r="AE430" i="3"/>
  <c r="AE431" i="3"/>
  <c r="AE432" i="3"/>
  <c r="AE433" i="3"/>
  <c r="AE434" i="3"/>
  <c r="AE435" i="3"/>
  <c r="AE436" i="3"/>
  <c r="AE437" i="3"/>
  <c r="AE438" i="3"/>
  <c r="AE439" i="3"/>
  <c r="AE440" i="3"/>
  <c r="AE441" i="3"/>
  <c r="AE442" i="3"/>
  <c r="AE443" i="3"/>
  <c r="AE444" i="3"/>
  <c r="AE445" i="3"/>
  <c r="AE446" i="3"/>
  <c r="AE447" i="3"/>
  <c r="AE448" i="3"/>
  <c r="AE449" i="3"/>
  <c r="AE450" i="3"/>
  <c r="AE451" i="3"/>
  <c r="AE452" i="3"/>
  <c r="AE453" i="3"/>
  <c r="AE454" i="3"/>
  <c r="AE455" i="3"/>
  <c r="AE456" i="3"/>
  <c r="AE457" i="3"/>
  <c r="AE458" i="3"/>
  <c r="AE459" i="3"/>
  <c r="AE460" i="3"/>
  <c r="AE461" i="3"/>
  <c r="AE462" i="3"/>
  <c r="AE463" i="3"/>
  <c r="AE464" i="3"/>
  <c r="AE465" i="3"/>
  <c r="AE466" i="3"/>
  <c r="AE467" i="3"/>
  <c r="AE468" i="3"/>
  <c r="AE469" i="3"/>
  <c r="AE470" i="3"/>
  <c r="AE471" i="3"/>
  <c r="AE472" i="3"/>
  <c r="AE473" i="3"/>
  <c r="AE474" i="3"/>
  <c r="AE475" i="3"/>
  <c r="AE476" i="3"/>
  <c r="AE477" i="3"/>
  <c r="AE478" i="3"/>
  <c r="AE479" i="3"/>
  <c r="AE480" i="3"/>
  <c r="AE481" i="3"/>
  <c r="AE482" i="3"/>
  <c r="AE483" i="3"/>
  <c r="AE484" i="3"/>
  <c r="AE485" i="3"/>
  <c r="AE486" i="3"/>
  <c r="AE487" i="3"/>
  <c r="AE488" i="3"/>
  <c r="AE489" i="3"/>
  <c r="AE490" i="3"/>
  <c r="AE491" i="3"/>
  <c r="AE492" i="3"/>
  <c r="AE493" i="3"/>
  <c r="AE494" i="3"/>
  <c r="AE495" i="3"/>
  <c r="AE496" i="3"/>
  <c r="AE497" i="3"/>
  <c r="AE498" i="3"/>
  <c r="AE499" i="3"/>
  <c r="AE500" i="3"/>
  <c r="AE501" i="3"/>
  <c r="AE502" i="3"/>
  <c r="AE503" i="3"/>
  <c r="AE504" i="3"/>
  <c r="AE505" i="3"/>
  <c r="AE506" i="3"/>
  <c r="AE507" i="3"/>
  <c r="AE508" i="3"/>
  <c r="AE509" i="3"/>
  <c r="AE510" i="3"/>
  <c r="AE511" i="3"/>
  <c r="AE512" i="3"/>
  <c r="AE513" i="3"/>
  <c r="AE514" i="3"/>
  <c r="AE515" i="3"/>
  <c r="AE516" i="3"/>
  <c r="AE517" i="3"/>
  <c r="AE518" i="3"/>
  <c r="AE519" i="3"/>
  <c r="AE520" i="3"/>
  <c r="AE521" i="3"/>
  <c r="AE522" i="3"/>
  <c r="AE523" i="3"/>
  <c r="AE524" i="3"/>
  <c r="AE525" i="3"/>
  <c r="AE526" i="3"/>
  <c r="AE527" i="3"/>
  <c r="AE528" i="3"/>
  <c r="AE529" i="3"/>
  <c r="AE530" i="3"/>
  <c r="AE531" i="3"/>
  <c r="AE532" i="3"/>
  <c r="AE533" i="3"/>
  <c r="AE534" i="3"/>
  <c r="AE535" i="3"/>
  <c r="AE536" i="3"/>
  <c r="AE537" i="3"/>
  <c r="AE538" i="3"/>
  <c r="AE539" i="3"/>
  <c r="AE540" i="3"/>
  <c r="AE541" i="3"/>
  <c r="AE542" i="3"/>
  <c r="AE543" i="3"/>
  <c r="AE544" i="3"/>
  <c r="AE545" i="3"/>
  <c r="AE546" i="3"/>
  <c r="AE547" i="3"/>
  <c r="AE548" i="3"/>
  <c r="AE549" i="3"/>
  <c r="AE550" i="3"/>
  <c r="AE551" i="3"/>
  <c r="AE552" i="3"/>
  <c r="AE553" i="3"/>
  <c r="AE554" i="3"/>
  <c r="AE555" i="3"/>
  <c r="AE556" i="3"/>
  <c r="AE557" i="3"/>
  <c r="AE558" i="3"/>
  <c r="AE559" i="3"/>
  <c r="AE560" i="3"/>
  <c r="AE561" i="3"/>
  <c r="AE562" i="3"/>
  <c r="AE563" i="3"/>
  <c r="AE564" i="3"/>
  <c r="AE565" i="3"/>
  <c r="AE566" i="3"/>
  <c r="AE567" i="3"/>
  <c r="AE568" i="3"/>
  <c r="AE569" i="3"/>
  <c r="AE570" i="3"/>
  <c r="AE7" i="3"/>
  <c r="H1" i="9"/>
  <c r="F1" i="9" l="1"/>
  <c r="AA5" i="3"/>
  <c r="Z5" i="3"/>
  <c r="Y5" i="3"/>
  <c r="X5" i="3"/>
  <c r="W5" i="3"/>
  <c r="V5" i="3"/>
  <c r="U5" i="3"/>
  <c r="T5" i="3"/>
  <c r="S5" i="3"/>
  <c r="AL334" i="3" l="1"/>
  <c r="AM334" i="3"/>
  <c r="AD334" i="3"/>
  <c r="AM339" i="3"/>
  <c r="AL339" i="3"/>
  <c r="AD339" i="3"/>
  <c r="AL248" i="3"/>
  <c r="AM248" i="3"/>
  <c r="AD248" i="3"/>
  <c r="AM405" i="3"/>
  <c r="AL405" i="3"/>
  <c r="AD405" i="3"/>
  <c r="AD208" i="3"/>
  <c r="AM208" i="3"/>
  <c r="AL208" i="3"/>
  <c r="AM373" i="3"/>
  <c r="AL373" i="3"/>
  <c r="AD373" i="3"/>
  <c r="AM285" i="3"/>
  <c r="AL285" i="3"/>
  <c r="AD285" i="3"/>
  <c r="AM382" i="3"/>
  <c r="AL382" i="3"/>
  <c r="AD382" i="3"/>
  <c r="AM308" i="3"/>
  <c r="AL308" i="3"/>
  <c r="AD308" i="3"/>
  <c r="AM315" i="3"/>
  <c r="AL315" i="3"/>
  <c r="AD315" i="3"/>
  <c r="AL301" i="3"/>
  <c r="AM301" i="3"/>
  <c r="AD301" i="3"/>
  <c r="AM292" i="3"/>
  <c r="AL292" i="3"/>
  <c r="AD292" i="3"/>
  <c r="AM236" i="3"/>
  <c r="AL236" i="3"/>
  <c r="AD236" i="3"/>
  <c r="AM372" i="3"/>
  <c r="AL372" i="3"/>
  <c r="AD372" i="3"/>
  <c r="AM269" i="3"/>
  <c r="AL269" i="3"/>
  <c r="AD269" i="3"/>
  <c r="AM299" i="3"/>
  <c r="AL299" i="3"/>
  <c r="AD299" i="3"/>
  <c r="AM317" i="3"/>
  <c r="AL317" i="3"/>
  <c r="AD317" i="3"/>
  <c r="AD256" i="3"/>
  <c r="AM256" i="3"/>
  <c r="AL256" i="3"/>
  <c r="AD331" i="3"/>
  <c r="AM331" i="3"/>
  <c r="AL331" i="3"/>
  <c r="AM333" i="3"/>
  <c r="AL333" i="3"/>
  <c r="AD333" i="3"/>
  <c r="AM213" i="3"/>
  <c r="AL213" i="3"/>
  <c r="AD213" i="3"/>
  <c r="AL302" i="3"/>
  <c r="AM302" i="3"/>
  <c r="AD302" i="3"/>
  <c r="AD240" i="3"/>
  <c r="AM240" i="3"/>
  <c r="AL240" i="3"/>
  <c r="AM201" i="3"/>
  <c r="AL201" i="3"/>
  <c r="AD201" i="3"/>
  <c r="AM211" i="3"/>
  <c r="AL211" i="3"/>
  <c r="AD211" i="3"/>
  <c r="AM347" i="3"/>
  <c r="AL347" i="3"/>
  <c r="AD347" i="3"/>
  <c r="AM349" i="3"/>
  <c r="AL349" i="3"/>
  <c r="AD349" i="3"/>
  <c r="AM261" i="3"/>
  <c r="AL261" i="3"/>
  <c r="AD261" i="3"/>
  <c r="AM273" i="3"/>
  <c r="AD273" i="3"/>
  <c r="AL273" i="3"/>
  <c r="AM227" i="3"/>
  <c r="AL227" i="3"/>
  <c r="AD227" i="3"/>
  <c r="AM363" i="3"/>
  <c r="AL363" i="3"/>
  <c r="AD363" i="3"/>
  <c r="AL365" i="3"/>
  <c r="AM365" i="3"/>
  <c r="AD365" i="3"/>
  <c r="AM277" i="3"/>
  <c r="AL277" i="3"/>
  <c r="AD277" i="3"/>
  <c r="AD258" i="3"/>
  <c r="AM258" i="3"/>
  <c r="AL258" i="3"/>
  <c r="AD224" i="3"/>
  <c r="AM224" i="3"/>
  <c r="AL224" i="3"/>
  <c r="AM374" i="3"/>
  <c r="AL374" i="3"/>
  <c r="AD374" i="3"/>
  <c r="AM249" i="3"/>
  <c r="AL249" i="3"/>
  <c r="AD249" i="3"/>
  <c r="AM243" i="3"/>
  <c r="AL243" i="3"/>
  <c r="AD243" i="3"/>
  <c r="AM379" i="3"/>
  <c r="AL379" i="3"/>
  <c r="AD379" i="3"/>
  <c r="AM381" i="3"/>
  <c r="AL381" i="3"/>
  <c r="AD381" i="3"/>
  <c r="AM293" i="3"/>
  <c r="AL293" i="3"/>
  <c r="AD293" i="3"/>
  <c r="AM274" i="3"/>
  <c r="AL274" i="3"/>
  <c r="AD274" i="3"/>
  <c r="AM259" i="3"/>
  <c r="AL259" i="3"/>
  <c r="AD259" i="3"/>
  <c r="AM252" i="3"/>
  <c r="AL252" i="3"/>
  <c r="AD252" i="3"/>
  <c r="AM318" i="3"/>
  <c r="AL318" i="3"/>
  <c r="AD318" i="3"/>
  <c r="AM309" i="3"/>
  <c r="AL309" i="3"/>
  <c r="AD309" i="3"/>
  <c r="AD290" i="3"/>
  <c r="AL290" i="3"/>
  <c r="AM290" i="3"/>
  <c r="AM296" i="3"/>
  <c r="AL296" i="3"/>
  <c r="AD296" i="3"/>
  <c r="AM297" i="3"/>
  <c r="AL297" i="3"/>
  <c r="AD297" i="3"/>
  <c r="AM268" i="3"/>
  <c r="AL268" i="3"/>
  <c r="AD268" i="3"/>
  <c r="AM324" i="3"/>
  <c r="AL324" i="3"/>
  <c r="AD324" i="3"/>
  <c r="AM325" i="3"/>
  <c r="AL325" i="3"/>
  <c r="AD325" i="3"/>
  <c r="AD306" i="3"/>
  <c r="AL306" i="3"/>
  <c r="AM306" i="3"/>
  <c r="AM265" i="3"/>
  <c r="AL265" i="3"/>
  <c r="AD265" i="3"/>
  <c r="AM275" i="3"/>
  <c r="AL275" i="3"/>
  <c r="AD275" i="3"/>
  <c r="AL212" i="3"/>
  <c r="AM212" i="3"/>
  <c r="AD212" i="3"/>
  <c r="AM232" i="3"/>
  <c r="AL232" i="3"/>
  <c r="AD232" i="3"/>
  <c r="AM291" i="3"/>
  <c r="AL291" i="3"/>
  <c r="AD291" i="3"/>
  <c r="AM284" i="3"/>
  <c r="AL284" i="3"/>
  <c r="AD284" i="3"/>
  <c r="AM356" i="3"/>
  <c r="AL356" i="3"/>
  <c r="AD356" i="3"/>
  <c r="AM341" i="3"/>
  <c r="AL341" i="3"/>
  <c r="AD341" i="3"/>
  <c r="AD322" i="3"/>
  <c r="AL322" i="3"/>
  <c r="AM322" i="3"/>
  <c r="AL29" i="3"/>
  <c r="AM29" i="3"/>
  <c r="AD29" i="3"/>
  <c r="AM280" i="3"/>
  <c r="AL280" i="3"/>
  <c r="AD280" i="3"/>
  <c r="AM307" i="3"/>
  <c r="AL307" i="3"/>
  <c r="AD307" i="3"/>
  <c r="AM300" i="3"/>
  <c r="AL300" i="3"/>
  <c r="AD300" i="3"/>
  <c r="AM197" i="3"/>
  <c r="AL197" i="3"/>
  <c r="AD197" i="3"/>
  <c r="AM357" i="3"/>
  <c r="AL357" i="3"/>
  <c r="AD357" i="3"/>
  <c r="AM338" i="3"/>
  <c r="AL338" i="3"/>
  <c r="AD338" i="3"/>
  <c r="AM196" i="3"/>
  <c r="AL196" i="3"/>
  <c r="AD196" i="3"/>
  <c r="AM198" i="3"/>
  <c r="AL198" i="3"/>
  <c r="AD198" i="3"/>
  <c r="AM214" i="3"/>
  <c r="AL214" i="3"/>
  <c r="AD214" i="3"/>
  <c r="AM312" i="3"/>
  <c r="AL312" i="3"/>
  <c r="AD312" i="3"/>
  <c r="AM323" i="3"/>
  <c r="AL323" i="3"/>
  <c r="AD323" i="3"/>
  <c r="AM316" i="3"/>
  <c r="AL316" i="3"/>
  <c r="AD316" i="3"/>
  <c r="AM229" i="3"/>
  <c r="AL229" i="3"/>
  <c r="AD229" i="3"/>
  <c r="AM235" i="3"/>
  <c r="AL235" i="3"/>
  <c r="AD235" i="3"/>
  <c r="AD354" i="3"/>
  <c r="AL354" i="3"/>
  <c r="AM354" i="3"/>
  <c r="AL328" i="3"/>
  <c r="AM328" i="3"/>
  <c r="AD328" i="3"/>
  <c r="AM244" i="3"/>
  <c r="AL244" i="3"/>
  <c r="AD244" i="3"/>
  <c r="AM251" i="3"/>
  <c r="AL251" i="3"/>
  <c r="AD251" i="3"/>
  <c r="AD370" i="3"/>
  <c r="AL370" i="3"/>
  <c r="AM370" i="3"/>
  <c r="AL344" i="3"/>
  <c r="AM344" i="3"/>
  <c r="AD344" i="3"/>
  <c r="AM200" i="3"/>
  <c r="AL200" i="3"/>
  <c r="AD200" i="3"/>
  <c r="AM355" i="3"/>
  <c r="AL355" i="3"/>
  <c r="AD355" i="3"/>
  <c r="AM348" i="3"/>
  <c r="AL348" i="3"/>
  <c r="AD348" i="3"/>
  <c r="AD267" i="3"/>
  <c r="AM267" i="3"/>
  <c r="AL267" i="3"/>
  <c r="AL340" i="3"/>
  <c r="AM340" i="3"/>
  <c r="AD340" i="3"/>
  <c r="AM230" i="3"/>
  <c r="AL230" i="3"/>
  <c r="AD230" i="3"/>
  <c r="AM332" i="3"/>
  <c r="AL332" i="3"/>
  <c r="AD332" i="3"/>
  <c r="AM376" i="3"/>
  <c r="AL376" i="3"/>
  <c r="AD376" i="3"/>
  <c r="AM260" i="3"/>
  <c r="AL260" i="3"/>
  <c r="AD260" i="3"/>
  <c r="AM216" i="3"/>
  <c r="AL216" i="3"/>
  <c r="AD216" i="3"/>
  <c r="AM233" i="3"/>
  <c r="AL233" i="3"/>
  <c r="AD233" i="3"/>
  <c r="AM371" i="3"/>
  <c r="AL371" i="3"/>
  <c r="AD371" i="3"/>
  <c r="AL276" i="3"/>
  <c r="AM276" i="3"/>
  <c r="AD276" i="3"/>
  <c r="AM364" i="3"/>
  <c r="AL364" i="3"/>
  <c r="AD364" i="3"/>
  <c r="AM350" i="3"/>
  <c r="AL350" i="3"/>
  <c r="AD350" i="3"/>
  <c r="AM283" i="3"/>
  <c r="AL283" i="3"/>
  <c r="AD283" i="3"/>
  <c r="AM245" i="3"/>
  <c r="AL245" i="3"/>
  <c r="AD245" i="3"/>
  <c r="AL281" i="3"/>
  <c r="AM281" i="3"/>
  <c r="AD281" i="3"/>
  <c r="AM228" i="3"/>
  <c r="AL228" i="3"/>
  <c r="AD228" i="3"/>
  <c r="AM380" i="3"/>
  <c r="AL380" i="3"/>
  <c r="AD380" i="3"/>
  <c r="AM366" i="3"/>
  <c r="AL366" i="3"/>
  <c r="AD366" i="3"/>
  <c r="AM219" i="3"/>
  <c r="AL219" i="3"/>
  <c r="AD219" i="3"/>
  <c r="AD336" i="3" l="1"/>
  <c r="AM336" i="3"/>
  <c r="AL336" i="3"/>
  <c r="AL327" i="3"/>
  <c r="AM327" i="3"/>
  <c r="AD327" i="3"/>
  <c r="AK300" i="3"/>
  <c r="AJ300" i="3"/>
  <c r="AL282" i="3"/>
  <c r="AM282" i="3"/>
  <c r="AD282" i="3"/>
  <c r="AM266" i="3"/>
  <c r="AL266" i="3"/>
  <c r="AD266" i="3"/>
  <c r="AM253" i="3"/>
  <c r="AL253" i="3"/>
  <c r="AD253" i="3"/>
  <c r="AM303" i="3"/>
  <c r="AL303" i="3"/>
  <c r="AD303" i="3"/>
  <c r="AL330" i="3"/>
  <c r="AM330" i="3"/>
  <c r="AD330" i="3"/>
  <c r="AM407" i="3"/>
  <c r="AL407" i="3"/>
  <c r="AD407" i="3"/>
  <c r="AM559" i="3"/>
  <c r="AL559" i="3"/>
  <c r="AD559" i="3"/>
  <c r="AM494" i="3"/>
  <c r="AL494" i="3"/>
  <c r="AD494" i="3"/>
  <c r="AM384" i="3"/>
  <c r="AD384" i="3"/>
  <c r="AL384" i="3"/>
  <c r="AL521" i="3"/>
  <c r="AD521" i="3"/>
  <c r="AM521" i="3"/>
  <c r="AK380" i="3"/>
  <c r="AJ380" i="3"/>
  <c r="AK198" i="3"/>
  <c r="AJ198" i="3"/>
  <c r="AK275" i="3"/>
  <c r="AJ275" i="3"/>
  <c r="AK306" i="3"/>
  <c r="AJ306" i="3"/>
  <c r="AK379" i="3"/>
  <c r="AJ379" i="3"/>
  <c r="AK285" i="3"/>
  <c r="AJ285" i="3"/>
  <c r="AK208" i="3"/>
  <c r="AJ208" i="3"/>
  <c r="AM209" i="3"/>
  <c r="AD209" i="3"/>
  <c r="AL209" i="3"/>
  <c r="AM210" i="3"/>
  <c r="AL210" i="3"/>
  <c r="AD210" i="3"/>
  <c r="AM346" i="3"/>
  <c r="AL346" i="3"/>
  <c r="AD346" i="3"/>
  <c r="AM278" i="3"/>
  <c r="AL278" i="3"/>
  <c r="AD278" i="3"/>
  <c r="AL554" i="3"/>
  <c r="AM554" i="3"/>
  <c r="AD554" i="3"/>
  <c r="AM421" i="3"/>
  <c r="AL421" i="3"/>
  <c r="AD421" i="3"/>
  <c r="AM463" i="3"/>
  <c r="AL463" i="3"/>
  <c r="AD463" i="3"/>
  <c r="AL461" i="3"/>
  <c r="AM461" i="3"/>
  <c r="AD461" i="3"/>
  <c r="AM424" i="3"/>
  <c r="AL424" i="3"/>
  <c r="AD424" i="3"/>
  <c r="AK276" i="3"/>
  <c r="AJ276" i="3"/>
  <c r="AK244" i="3"/>
  <c r="AJ244" i="3"/>
  <c r="AK354" i="3"/>
  <c r="AJ354" i="3"/>
  <c r="AK280" i="3"/>
  <c r="AJ280" i="3"/>
  <c r="AK322" i="3"/>
  <c r="AJ322" i="3"/>
  <c r="AK296" i="3"/>
  <c r="AJ296" i="3"/>
  <c r="AK365" i="3"/>
  <c r="AJ365" i="3"/>
  <c r="AK299" i="3"/>
  <c r="AJ299" i="3"/>
  <c r="AK293" i="3"/>
  <c r="AJ293" i="3"/>
  <c r="AK211" i="3"/>
  <c r="AJ211" i="3"/>
  <c r="AK240" i="3"/>
  <c r="AJ240" i="3"/>
  <c r="AK308" i="3"/>
  <c r="AJ308" i="3"/>
  <c r="AK268" i="3"/>
  <c r="AJ268" i="3"/>
  <c r="AK339" i="3"/>
  <c r="AJ339" i="3"/>
  <c r="AM223" i="3"/>
  <c r="AL223" i="3"/>
  <c r="AD223" i="3"/>
  <c r="AM377" i="3"/>
  <c r="AL377" i="3"/>
  <c r="AD377" i="3"/>
  <c r="AL239" i="3"/>
  <c r="AM239" i="3"/>
  <c r="AD239" i="3"/>
  <c r="AM262" i="3"/>
  <c r="AL262" i="3"/>
  <c r="AD262" i="3"/>
  <c r="AM568" i="3"/>
  <c r="AL568" i="3"/>
  <c r="AD568" i="3"/>
  <c r="AM439" i="3"/>
  <c r="AL439" i="3"/>
  <c r="AD439" i="3"/>
  <c r="AM400" i="3"/>
  <c r="AD400" i="3"/>
  <c r="AL400" i="3"/>
  <c r="AL484" i="3"/>
  <c r="AM484" i="3"/>
  <c r="AD484" i="3"/>
  <c r="AM536" i="3"/>
  <c r="AL536" i="3"/>
  <c r="AD536" i="3"/>
  <c r="AM511" i="3"/>
  <c r="AL511" i="3"/>
  <c r="AD511" i="3"/>
  <c r="AL535" i="3"/>
  <c r="AM535" i="3"/>
  <c r="AD535" i="3"/>
  <c r="AL551" i="3"/>
  <c r="AM551" i="3"/>
  <c r="AD551" i="3"/>
  <c r="AD512" i="3"/>
  <c r="AM512" i="3"/>
  <c r="AL512" i="3"/>
  <c r="AD497" i="3"/>
  <c r="AM497" i="3"/>
  <c r="AL497" i="3"/>
  <c r="AK376" i="3"/>
  <c r="AJ376" i="3"/>
  <c r="AK316" i="3"/>
  <c r="AJ316" i="3"/>
  <c r="AK284" i="3"/>
  <c r="AJ284" i="3"/>
  <c r="AK259" i="3"/>
  <c r="AJ259" i="3"/>
  <c r="AK349" i="3"/>
  <c r="AJ349" i="3"/>
  <c r="AK301" i="3"/>
  <c r="AJ301" i="3"/>
  <c r="AL472" i="3"/>
  <c r="AM472" i="3"/>
  <c r="AD472" i="3"/>
  <c r="AM313" i="3"/>
  <c r="AL313" i="3"/>
  <c r="AD313" i="3"/>
  <c r="AD288" i="3"/>
  <c r="AM288" i="3"/>
  <c r="AL288" i="3"/>
  <c r="AM220" i="3"/>
  <c r="AL220" i="3"/>
  <c r="AD220" i="3"/>
  <c r="AL287" i="3"/>
  <c r="AM287" i="3"/>
  <c r="AD287" i="3"/>
  <c r="AD321" i="3"/>
  <c r="AM321" i="3"/>
  <c r="AL321" i="3"/>
  <c r="AM202" i="3"/>
  <c r="AL202" i="3"/>
  <c r="AD202" i="3"/>
  <c r="AD416" i="3"/>
  <c r="AM416" i="3"/>
  <c r="AL416" i="3"/>
  <c r="AD433" i="3"/>
  <c r="AM433" i="3"/>
  <c r="AL433" i="3"/>
  <c r="AD496" i="3"/>
  <c r="AM496" i="3"/>
  <c r="AL496" i="3"/>
  <c r="AK245" i="3"/>
  <c r="AJ245" i="3"/>
  <c r="AK200" i="3"/>
  <c r="AJ200" i="3"/>
  <c r="AK370" i="3"/>
  <c r="AJ370" i="3"/>
  <c r="AK357" i="3"/>
  <c r="AJ357" i="3"/>
  <c r="AK325" i="3"/>
  <c r="AJ325" i="3"/>
  <c r="AK374" i="3"/>
  <c r="AJ374" i="3"/>
  <c r="AK258" i="3"/>
  <c r="AJ258" i="3"/>
  <c r="AK333" i="3"/>
  <c r="AJ333" i="3"/>
  <c r="AK256" i="3"/>
  <c r="AJ256" i="3"/>
  <c r="AK405" i="3"/>
  <c r="AJ405" i="3"/>
  <c r="AM453" i="3"/>
  <c r="AL453" i="3"/>
  <c r="AD453" i="3"/>
  <c r="AK230" i="3"/>
  <c r="AJ230" i="3"/>
  <c r="AK312" i="3"/>
  <c r="AJ312" i="3"/>
  <c r="AD480" i="3"/>
  <c r="AM480" i="3"/>
  <c r="AL480" i="3"/>
  <c r="AL263" i="3"/>
  <c r="AM263" i="3"/>
  <c r="AD263" i="3"/>
  <c r="AD448" i="3"/>
  <c r="AM448" i="3"/>
  <c r="AL448" i="3"/>
  <c r="AM462" i="3"/>
  <c r="AL462" i="3"/>
  <c r="AD462" i="3"/>
  <c r="AM516" i="3"/>
  <c r="AL516" i="3"/>
  <c r="AD516" i="3"/>
  <c r="AM440" i="3"/>
  <c r="AL440" i="3"/>
  <c r="AD440" i="3"/>
  <c r="AM503" i="3"/>
  <c r="AL503" i="3"/>
  <c r="AD503" i="3"/>
  <c r="AM537" i="3"/>
  <c r="AL537" i="3"/>
  <c r="AD537" i="3"/>
  <c r="AK216" i="3"/>
  <c r="AJ216" i="3"/>
  <c r="AK235" i="3"/>
  <c r="AJ235" i="3"/>
  <c r="AK341" i="3"/>
  <c r="AJ341" i="3"/>
  <c r="AK318" i="3"/>
  <c r="AJ318" i="3"/>
  <c r="AK236" i="3"/>
  <c r="AJ236" i="3"/>
  <c r="AM329" i="3"/>
  <c r="AL329" i="3"/>
  <c r="AD329" i="3"/>
  <c r="AD449" i="3"/>
  <c r="AM449" i="3"/>
  <c r="AL449" i="3"/>
  <c r="AL335" i="3"/>
  <c r="AM335" i="3"/>
  <c r="AD335" i="3"/>
  <c r="AD432" i="3"/>
  <c r="AM432" i="3"/>
  <c r="AL432" i="3"/>
  <c r="AM500" i="3"/>
  <c r="AL500" i="3"/>
  <c r="AD500" i="3"/>
  <c r="AM76" i="3"/>
  <c r="AL76" i="3"/>
  <c r="AD76" i="3"/>
  <c r="AD234" i="3"/>
  <c r="AM234" i="3"/>
  <c r="AL234" i="3"/>
  <c r="AD242" i="3"/>
  <c r="AM242" i="3"/>
  <c r="AL242" i="3"/>
  <c r="AM378" i="3"/>
  <c r="AL378" i="3"/>
  <c r="AD378" i="3"/>
  <c r="AM314" i="3"/>
  <c r="AL314" i="3"/>
  <c r="AD314" i="3"/>
  <c r="AM246" i="3"/>
  <c r="AL246" i="3"/>
  <c r="AD246" i="3"/>
  <c r="AL485" i="3"/>
  <c r="AM485" i="3"/>
  <c r="AD485" i="3"/>
  <c r="AL471" i="3"/>
  <c r="AM471" i="3"/>
  <c r="AD471" i="3"/>
  <c r="AM564" i="3"/>
  <c r="AL564" i="3"/>
  <c r="AD564" i="3"/>
  <c r="AM542" i="3"/>
  <c r="AL542" i="3"/>
  <c r="AD542" i="3"/>
  <c r="AL490" i="3"/>
  <c r="AM490" i="3"/>
  <c r="AD490" i="3"/>
  <c r="AK228" i="3"/>
  <c r="AJ228" i="3"/>
  <c r="AK348" i="3"/>
  <c r="AJ348" i="3"/>
  <c r="AK196" i="3"/>
  <c r="AJ196" i="3"/>
  <c r="AK265" i="3"/>
  <c r="AJ265" i="3"/>
  <c r="AK243" i="3"/>
  <c r="AJ243" i="3"/>
  <c r="AK273" i="3"/>
  <c r="AJ273" i="3"/>
  <c r="AK302" i="3"/>
  <c r="AJ302" i="3"/>
  <c r="AK373" i="3"/>
  <c r="AJ373" i="3"/>
  <c r="AL487" i="3"/>
  <c r="AM487" i="3"/>
  <c r="AD487" i="3"/>
  <c r="AM254" i="3"/>
  <c r="AL254" i="3"/>
  <c r="AD254" i="3"/>
  <c r="AD369" i="3"/>
  <c r="AM369" i="3"/>
  <c r="AL369" i="3"/>
  <c r="AM311" i="3"/>
  <c r="AL311" i="3"/>
  <c r="AD311" i="3"/>
  <c r="AL469" i="3"/>
  <c r="AM469" i="3"/>
  <c r="AD469" i="3"/>
  <c r="AM488" i="3"/>
  <c r="AL488" i="3"/>
  <c r="AD488" i="3"/>
  <c r="AM431" i="3"/>
  <c r="AL431" i="3"/>
  <c r="AD431" i="3"/>
  <c r="AL522" i="3"/>
  <c r="AM522" i="3"/>
  <c r="AD522" i="3"/>
  <c r="AM567" i="3"/>
  <c r="AL567" i="3"/>
  <c r="AD567" i="3"/>
  <c r="AL519" i="3"/>
  <c r="AM519" i="3"/>
  <c r="AD519" i="3"/>
  <c r="AL570" i="3"/>
  <c r="AM570" i="3"/>
  <c r="AD570" i="3"/>
  <c r="AK371" i="3"/>
  <c r="AJ371" i="3"/>
  <c r="AK328" i="3"/>
  <c r="AJ328" i="3"/>
  <c r="AK29" i="3"/>
  <c r="AJ29" i="3"/>
  <c r="AK363" i="3"/>
  <c r="AJ363" i="3"/>
  <c r="AK269" i="3"/>
  <c r="AJ269" i="3"/>
  <c r="AM420" i="3"/>
  <c r="AL420" i="3"/>
  <c r="AD420" i="3"/>
  <c r="AK350" i="3"/>
  <c r="AJ350" i="3"/>
  <c r="AD225" i="3"/>
  <c r="AM225" i="3"/>
  <c r="AL225" i="3"/>
  <c r="AM358" i="3"/>
  <c r="AL358" i="3"/>
  <c r="AD358" i="3"/>
  <c r="AD272" i="3"/>
  <c r="AM272" i="3"/>
  <c r="AL272" i="3"/>
  <c r="AL352" i="3"/>
  <c r="AM352" i="3"/>
  <c r="AD352" i="3"/>
  <c r="AM436" i="3"/>
  <c r="AL436" i="3"/>
  <c r="AD436" i="3"/>
  <c r="AD562" i="3"/>
  <c r="AL562" i="3"/>
  <c r="AM562" i="3"/>
  <c r="AM415" i="3"/>
  <c r="AL415" i="3"/>
  <c r="AD415" i="3"/>
  <c r="AM446" i="3"/>
  <c r="AL446" i="3"/>
  <c r="AD446" i="3"/>
  <c r="AK366" i="3"/>
  <c r="AJ366" i="3"/>
  <c r="AK340" i="3"/>
  <c r="AJ340" i="3"/>
  <c r="AK214" i="3"/>
  <c r="AJ214" i="3"/>
  <c r="AK212" i="3"/>
  <c r="AJ212" i="3"/>
  <c r="AK381" i="3"/>
  <c r="AJ381" i="3"/>
  <c r="AK201" i="3"/>
  <c r="AJ201" i="3"/>
  <c r="AK382" i="3"/>
  <c r="AJ382" i="3"/>
  <c r="AL199" i="3"/>
  <c r="AM199" i="3"/>
  <c r="AD199" i="3"/>
  <c r="AD481" i="3"/>
  <c r="AM481" i="3"/>
  <c r="AL481" i="3"/>
  <c r="AL506" i="3"/>
  <c r="AM506" i="3"/>
  <c r="AD506" i="3"/>
  <c r="AM238" i="3"/>
  <c r="AL238" i="3"/>
  <c r="AD238" i="3"/>
  <c r="AL351" i="3"/>
  <c r="AM351" i="3"/>
  <c r="AD351" i="3"/>
  <c r="AM217" i="3"/>
  <c r="AL217" i="3"/>
  <c r="AD217" i="3"/>
  <c r="AL247" i="3"/>
  <c r="AM247" i="3"/>
  <c r="AD247" i="3"/>
  <c r="AM532" i="3"/>
  <c r="AL532" i="3"/>
  <c r="AD532" i="3"/>
  <c r="AM359" i="3"/>
  <c r="AL359" i="3"/>
  <c r="AD359" i="3"/>
  <c r="AM361" i="3"/>
  <c r="AL361" i="3"/>
  <c r="AD361" i="3"/>
  <c r="AM342" i="3"/>
  <c r="AL342" i="3"/>
  <c r="AD342" i="3"/>
  <c r="AM222" i="3"/>
  <c r="AL222" i="3"/>
  <c r="AD222" i="3"/>
  <c r="AM204" i="3"/>
  <c r="AL204" i="3"/>
  <c r="AD204" i="3"/>
  <c r="AM271" i="3"/>
  <c r="AL271" i="3"/>
  <c r="AD271" i="3"/>
  <c r="AL207" i="3"/>
  <c r="AD207" i="3"/>
  <c r="AM207" i="3"/>
  <c r="AM326" i="3"/>
  <c r="AL326" i="3"/>
  <c r="AD326" i="3"/>
  <c r="AD417" i="3"/>
  <c r="AM417" i="3"/>
  <c r="AL417" i="3"/>
  <c r="AM447" i="3"/>
  <c r="AL447" i="3"/>
  <c r="AD447" i="3"/>
  <c r="AL538" i="3"/>
  <c r="AM538" i="3"/>
  <c r="AD538" i="3"/>
  <c r="AM558" i="3"/>
  <c r="AL558" i="3"/>
  <c r="AD558" i="3"/>
  <c r="AD386" i="3"/>
  <c r="AL386" i="3"/>
  <c r="AM386" i="3"/>
  <c r="AM504" i="3"/>
  <c r="AL504" i="3"/>
  <c r="AD504" i="3"/>
  <c r="AM526" i="3"/>
  <c r="AL526" i="3"/>
  <c r="AD526" i="3"/>
  <c r="AL489" i="3"/>
  <c r="AM489" i="3"/>
  <c r="AD489" i="3"/>
  <c r="AM473" i="3"/>
  <c r="AL473" i="3"/>
  <c r="AD473" i="3"/>
  <c r="AK364" i="3"/>
  <c r="AJ364" i="3"/>
  <c r="AK251" i="3"/>
  <c r="AJ251" i="3"/>
  <c r="AK307" i="3"/>
  <c r="AJ307" i="3"/>
  <c r="AK297" i="3"/>
  <c r="AJ297" i="3"/>
  <c r="AK290" i="3"/>
  <c r="AJ290" i="3"/>
  <c r="AK277" i="3"/>
  <c r="AJ277" i="3"/>
  <c r="AK317" i="3"/>
  <c r="AJ317" i="3"/>
  <c r="AK334" i="3"/>
  <c r="AJ334" i="3"/>
  <c r="AL279" i="3"/>
  <c r="AD279" i="3"/>
  <c r="AM279" i="3"/>
  <c r="AM478" i="3"/>
  <c r="AL478" i="3"/>
  <c r="AD478" i="3"/>
  <c r="AK219" i="3"/>
  <c r="AJ219" i="3"/>
  <c r="AK267" i="3"/>
  <c r="AJ267" i="3"/>
  <c r="AD257" i="3"/>
  <c r="AM257" i="3"/>
  <c r="AL257" i="3"/>
  <c r="AD353" i="3"/>
  <c r="AM353" i="3"/>
  <c r="AL353" i="3"/>
  <c r="AD289" i="3"/>
  <c r="AM289" i="3"/>
  <c r="AL289" i="3"/>
  <c r="AM310" i="3"/>
  <c r="AL310" i="3"/>
  <c r="AD310" i="3"/>
  <c r="AM520" i="3"/>
  <c r="AL520" i="3"/>
  <c r="AD520" i="3"/>
  <c r="AD529" i="3"/>
  <c r="AM529" i="3"/>
  <c r="AL529" i="3"/>
  <c r="AD545" i="3"/>
  <c r="AM545" i="3"/>
  <c r="AL545" i="3"/>
  <c r="AM428" i="3"/>
  <c r="AL428" i="3"/>
  <c r="AD428" i="3"/>
  <c r="AD561" i="3"/>
  <c r="AM561" i="3"/>
  <c r="AL561" i="3"/>
  <c r="AK332" i="3"/>
  <c r="AJ332" i="3"/>
  <c r="AK323" i="3"/>
  <c r="AJ323" i="3"/>
  <c r="AK291" i="3"/>
  <c r="AJ291" i="3"/>
  <c r="AK274" i="3"/>
  <c r="AJ274" i="3"/>
  <c r="AK347" i="3"/>
  <c r="AJ347" i="3"/>
  <c r="AK315" i="3"/>
  <c r="AJ315" i="3"/>
  <c r="AM388" i="3"/>
  <c r="AL388" i="3"/>
  <c r="AD388" i="3"/>
  <c r="AM237" i="3"/>
  <c r="AL237" i="3"/>
  <c r="AD237" i="3"/>
  <c r="AM375" i="3"/>
  <c r="AL375" i="3"/>
  <c r="AD375" i="3"/>
  <c r="AL218" i="3"/>
  <c r="AD218" i="3"/>
  <c r="AM218" i="3"/>
  <c r="AL298" i="3"/>
  <c r="AM298" i="3"/>
  <c r="AD298" i="3"/>
  <c r="AM255" i="3"/>
  <c r="AL255" i="3"/>
  <c r="AD255" i="3"/>
  <c r="AL404" i="3"/>
  <c r="AM404" i="3"/>
  <c r="AD404" i="3"/>
  <c r="AM402" i="3"/>
  <c r="AL402" i="3"/>
  <c r="AD402" i="3"/>
  <c r="AM569" i="3"/>
  <c r="AL569" i="3"/>
  <c r="AD569" i="3"/>
  <c r="AL552" i="3"/>
  <c r="AD552" i="3"/>
  <c r="AM552" i="3"/>
  <c r="AM401" i="3"/>
  <c r="AD401" i="3"/>
  <c r="AL401" i="3"/>
  <c r="AD544" i="3"/>
  <c r="AM544" i="3"/>
  <c r="AL544" i="3"/>
  <c r="AM465" i="3"/>
  <c r="AD465" i="3"/>
  <c r="AL465" i="3"/>
  <c r="AM457" i="3"/>
  <c r="AL457" i="3"/>
  <c r="AD457" i="3"/>
  <c r="AK283" i="3"/>
  <c r="AJ283" i="3"/>
  <c r="AK344" i="3"/>
  <c r="AJ344" i="3"/>
  <c r="AK197" i="3"/>
  <c r="AJ197" i="3"/>
  <c r="AK324" i="3"/>
  <c r="AJ324" i="3"/>
  <c r="AK248" i="3"/>
  <c r="AJ248" i="3"/>
  <c r="AM319" i="3"/>
  <c r="AL319" i="3"/>
  <c r="AD319" i="3"/>
  <c r="AM294" i="3"/>
  <c r="AL294" i="3"/>
  <c r="AD294" i="3"/>
  <c r="AD385" i="3"/>
  <c r="AM385" i="3"/>
  <c r="AL385" i="3"/>
  <c r="AL399" i="3"/>
  <c r="AM399" i="3"/>
  <c r="AD399" i="3"/>
  <c r="AD560" i="3"/>
  <c r="AM560" i="3"/>
  <c r="AL560" i="3"/>
  <c r="AM396" i="3"/>
  <c r="AL396" i="3"/>
  <c r="AD396" i="3"/>
  <c r="AK260" i="3"/>
  <c r="AJ260" i="3"/>
  <c r="AK229" i="3"/>
  <c r="AJ229" i="3"/>
  <c r="AK356" i="3"/>
  <c r="AJ356" i="3"/>
  <c r="AK252" i="3"/>
  <c r="AJ252" i="3"/>
  <c r="AK261" i="3"/>
  <c r="AJ261" i="3"/>
  <c r="AK292" i="3"/>
  <c r="AJ292" i="3"/>
  <c r="AM360" i="3"/>
  <c r="AL360" i="3"/>
  <c r="AD360" i="3"/>
  <c r="AL423" i="3"/>
  <c r="AM423" i="3"/>
  <c r="AD423" i="3"/>
  <c r="AK232" i="3"/>
  <c r="AJ232" i="3"/>
  <c r="AM368" i="3"/>
  <c r="AL368" i="3"/>
  <c r="AD368" i="3"/>
  <c r="AL362" i="3"/>
  <c r="AM362" i="3"/>
  <c r="AD362" i="3"/>
  <c r="AD241" i="3"/>
  <c r="AM241" i="3"/>
  <c r="AL241" i="3"/>
  <c r="AD231" i="3"/>
  <c r="AM231" i="3"/>
  <c r="AL231" i="3"/>
  <c r="AM437" i="3"/>
  <c r="AL437" i="3"/>
  <c r="AD437" i="3"/>
  <c r="AL345" i="3"/>
  <c r="AM345" i="3"/>
  <c r="AD345" i="3"/>
  <c r="AL455" i="3"/>
  <c r="AM455" i="3"/>
  <c r="AD455" i="3"/>
  <c r="AL495" i="3"/>
  <c r="AD495" i="3"/>
  <c r="AM495" i="3"/>
  <c r="AD527" i="3"/>
  <c r="AM527" i="3"/>
  <c r="AL527" i="3"/>
  <c r="AM479" i="3"/>
  <c r="AL479" i="3"/>
  <c r="AD479" i="3"/>
  <c r="AM412" i="3"/>
  <c r="AL412" i="3"/>
  <c r="AD412" i="3"/>
  <c r="AD513" i="3"/>
  <c r="AM513" i="3"/>
  <c r="AL513" i="3"/>
  <c r="AM553" i="3"/>
  <c r="AL553" i="3"/>
  <c r="AD553" i="3"/>
  <c r="AK281" i="3"/>
  <c r="AJ281" i="3"/>
  <c r="AK355" i="3"/>
  <c r="AJ355" i="3"/>
  <c r="AK338" i="3"/>
  <c r="AJ338" i="3"/>
  <c r="AK249" i="3"/>
  <c r="AJ249" i="3"/>
  <c r="AK224" i="3"/>
  <c r="AJ224" i="3"/>
  <c r="AK213" i="3"/>
  <c r="AJ213" i="3"/>
  <c r="AK331" i="3"/>
  <c r="AJ331" i="3"/>
  <c r="AM304" i="3"/>
  <c r="AD304" i="3"/>
  <c r="AL304" i="3"/>
  <c r="AM250" i="3"/>
  <c r="AL250" i="3"/>
  <c r="AD250" i="3"/>
  <c r="AM215" i="3"/>
  <c r="AL215" i="3"/>
  <c r="AD215" i="3"/>
  <c r="AD226" i="3"/>
  <c r="AM226" i="3"/>
  <c r="AL226" i="3"/>
  <c r="AM320" i="3"/>
  <c r="AD320" i="3"/>
  <c r="AL320" i="3"/>
  <c r="AM205" i="3"/>
  <c r="AL205" i="3"/>
  <c r="AD205" i="3"/>
  <c r="AM295" i="3"/>
  <c r="AL295" i="3"/>
  <c r="AD295" i="3"/>
  <c r="AD464" i="3"/>
  <c r="AM464" i="3"/>
  <c r="AL464" i="3"/>
  <c r="AL270" i="3"/>
  <c r="AM270" i="3"/>
  <c r="AD270" i="3"/>
  <c r="AM367" i="3"/>
  <c r="AL367" i="3"/>
  <c r="AD367" i="3"/>
  <c r="AL343" i="3"/>
  <c r="AM343" i="3"/>
  <c r="AD343" i="3"/>
  <c r="AL286" i="3"/>
  <c r="AM286" i="3"/>
  <c r="AD286" i="3"/>
  <c r="AD305" i="3"/>
  <c r="AM305" i="3"/>
  <c r="AL305" i="3"/>
  <c r="AM206" i="3"/>
  <c r="AL206" i="3"/>
  <c r="AD206" i="3"/>
  <c r="AD203" i="3"/>
  <c r="AM203" i="3"/>
  <c r="AL203" i="3"/>
  <c r="AM337" i="3"/>
  <c r="AD337" i="3"/>
  <c r="AL337" i="3"/>
  <c r="AM543" i="3"/>
  <c r="AL543" i="3"/>
  <c r="AD543" i="3"/>
  <c r="AM510" i="3"/>
  <c r="AL510" i="3"/>
  <c r="AD510" i="3"/>
  <c r="AM389" i="3"/>
  <c r="AL389" i="3"/>
  <c r="AD389" i="3"/>
  <c r="AD418" i="3"/>
  <c r="AL418" i="3"/>
  <c r="AM418" i="3"/>
  <c r="AD528" i="3"/>
  <c r="AL528" i="3"/>
  <c r="AM528" i="3"/>
  <c r="AM468" i="3"/>
  <c r="AL468" i="3"/>
  <c r="AD468" i="3"/>
  <c r="AM444" i="3"/>
  <c r="AL444" i="3"/>
  <c r="AD444" i="3"/>
  <c r="AM505" i="3"/>
  <c r="AL505" i="3"/>
  <c r="AD505" i="3"/>
  <c r="AM452" i="3"/>
  <c r="AL452" i="3"/>
  <c r="AD452" i="3"/>
  <c r="AK233" i="3"/>
  <c r="AJ233" i="3"/>
  <c r="AK309" i="3"/>
  <c r="AJ309" i="3"/>
  <c r="AK227" i="3"/>
  <c r="AJ227" i="3"/>
  <c r="AK372" i="3"/>
  <c r="AJ372" i="3"/>
  <c r="AD144" i="3" l="1"/>
  <c r="AM144" i="3"/>
  <c r="AL144" i="3"/>
  <c r="AK234" i="3"/>
  <c r="AJ234" i="3"/>
  <c r="AL55" i="3"/>
  <c r="AM55" i="3"/>
  <c r="AD55" i="3"/>
  <c r="AM195" i="3"/>
  <c r="AL195" i="3"/>
  <c r="AD195" i="3"/>
  <c r="AL20" i="3"/>
  <c r="AM20" i="3"/>
  <c r="AD20" i="3"/>
  <c r="AM118" i="3"/>
  <c r="AL118" i="3"/>
  <c r="AD118" i="3"/>
  <c r="AM44" i="3"/>
  <c r="AL44" i="3"/>
  <c r="AD44" i="3"/>
  <c r="AM10" i="3"/>
  <c r="AL10" i="3"/>
  <c r="AD10" i="3"/>
  <c r="AM71" i="3"/>
  <c r="AL71" i="3"/>
  <c r="AD71" i="3"/>
  <c r="AM72" i="3"/>
  <c r="AL72" i="3"/>
  <c r="AD72" i="3"/>
  <c r="AL103" i="3"/>
  <c r="AM103" i="3"/>
  <c r="AD103" i="3"/>
  <c r="AM166" i="3"/>
  <c r="AL166" i="3"/>
  <c r="AD166" i="3"/>
  <c r="AL467" i="3"/>
  <c r="AM467" i="3"/>
  <c r="AD467" i="3"/>
  <c r="AD498" i="3"/>
  <c r="AL498" i="3"/>
  <c r="AM498" i="3"/>
  <c r="AD530" i="3"/>
  <c r="AL530" i="3"/>
  <c r="AM530" i="3"/>
  <c r="AM390" i="3"/>
  <c r="AL390" i="3"/>
  <c r="AD390" i="3"/>
  <c r="AM442" i="3"/>
  <c r="AL442" i="3"/>
  <c r="AD442" i="3"/>
  <c r="AK362" i="3"/>
  <c r="AJ362" i="3"/>
  <c r="AK399" i="3"/>
  <c r="AJ399" i="3"/>
  <c r="AK561" i="3"/>
  <c r="AJ561" i="3"/>
  <c r="AK225" i="3"/>
  <c r="AJ225" i="3"/>
  <c r="AK488" i="3"/>
  <c r="AJ488" i="3"/>
  <c r="AK449" i="3"/>
  <c r="AJ449" i="3"/>
  <c r="AK516" i="3"/>
  <c r="AJ516" i="3"/>
  <c r="AK448" i="3"/>
  <c r="AJ448" i="3"/>
  <c r="AK535" i="3"/>
  <c r="AJ535" i="3"/>
  <c r="AK461" i="3"/>
  <c r="AJ461" i="3"/>
  <c r="AK384" i="3"/>
  <c r="AJ384" i="3"/>
  <c r="AK266" i="3"/>
  <c r="AJ266" i="3"/>
  <c r="AK327" i="3"/>
  <c r="AJ327" i="3"/>
  <c r="AK471" i="3"/>
  <c r="AJ471" i="3"/>
  <c r="AK262" i="3"/>
  <c r="AJ262" i="3"/>
  <c r="AK570" i="3"/>
  <c r="AJ570" i="3"/>
  <c r="AL87" i="3"/>
  <c r="AM87" i="3"/>
  <c r="AD87" i="3"/>
  <c r="AM550" i="3"/>
  <c r="AL550" i="3"/>
  <c r="AD550" i="3"/>
  <c r="AK206" i="3"/>
  <c r="AJ206" i="3"/>
  <c r="AK320" i="3"/>
  <c r="AJ320" i="3"/>
  <c r="AK412" i="3"/>
  <c r="AJ412" i="3"/>
  <c r="AK401" i="3"/>
  <c r="AJ401" i="3"/>
  <c r="AK310" i="3"/>
  <c r="AJ310" i="3"/>
  <c r="AK353" i="3"/>
  <c r="AJ353" i="3"/>
  <c r="AK271" i="3"/>
  <c r="AJ271" i="3"/>
  <c r="AM57" i="3"/>
  <c r="AL57" i="3"/>
  <c r="AD57" i="3"/>
  <c r="AM124" i="3"/>
  <c r="AL124" i="3"/>
  <c r="AD124" i="3"/>
  <c r="AL183" i="3"/>
  <c r="AM183" i="3"/>
  <c r="AD183" i="3"/>
  <c r="AM104" i="3"/>
  <c r="AL104" i="3"/>
  <c r="AD104" i="3"/>
  <c r="AD31" i="3"/>
  <c r="AL31" i="3"/>
  <c r="AM31" i="3"/>
  <c r="AM167" i="3"/>
  <c r="AL167" i="3"/>
  <c r="AD167" i="3"/>
  <c r="AM191" i="3"/>
  <c r="AL191" i="3"/>
  <c r="AD191" i="3"/>
  <c r="AD128" i="3"/>
  <c r="AM128" i="3"/>
  <c r="AL128" i="3"/>
  <c r="AM413" i="3"/>
  <c r="AL413" i="3"/>
  <c r="AD413" i="3"/>
  <c r="AM477" i="3"/>
  <c r="AL477" i="3"/>
  <c r="AD477" i="3"/>
  <c r="AL540" i="3"/>
  <c r="AM540" i="3"/>
  <c r="AD540" i="3"/>
  <c r="AL509" i="3"/>
  <c r="AM509" i="3"/>
  <c r="AD509" i="3"/>
  <c r="AK444" i="3"/>
  <c r="AJ444" i="3"/>
  <c r="AK528" i="3"/>
  <c r="AJ528" i="3"/>
  <c r="AK295" i="3"/>
  <c r="AJ295" i="3"/>
  <c r="AK396" i="3"/>
  <c r="AJ396" i="3"/>
  <c r="AK218" i="3"/>
  <c r="AJ218" i="3"/>
  <c r="AK526" i="3"/>
  <c r="AJ526" i="3"/>
  <c r="AK386" i="3"/>
  <c r="AJ386" i="3"/>
  <c r="AK247" i="3"/>
  <c r="AJ247" i="3"/>
  <c r="AK436" i="3"/>
  <c r="AJ436" i="3"/>
  <c r="AK272" i="3"/>
  <c r="AJ272" i="3"/>
  <c r="AK522" i="3"/>
  <c r="AJ522" i="3"/>
  <c r="AK76" i="3"/>
  <c r="AJ76" i="3"/>
  <c r="AK432" i="3"/>
  <c r="AJ432" i="3"/>
  <c r="AK503" i="3"/>
  <c r="AJ503" i="3"/>
  <c r="AK321" i="3"/>
  <c r="AJ321" i="3"/>
  <c r="AK209" i="3"/>
  <c r="AJ209" i="3"/>
  <c r="AK303" i="3"/>
  <c r="AJ303" i="3"/>
  <c r="AD80" i="3"/>
  <c r="AM80" i="3"/>
  <c r="AL80" i="3"/>
  <c r="AL499" i="3"/>
  <c r="AM499" i="3"/>
  <c r="AD499" i="3"/>
  <c r="AL33" i="3"/>
  <c r="AM33" i="3"/>
  <c r="AD33" i="3"/>
  <c r="AM185" i="3"/>
  <c r="AL185" i="3"/>
  <c r="AD185" i="3"/>
  <c r="AD192" i="3"/>
  <c r="AM192" i="3"/>
  <c r="AL192" i="3"/>
  <c r="AM143" i="3"/>
  <c r="AL143" i="3"/>
  <c r="AD143" i="3"/>
  <c r="AM121" i="3"/>
  <c r="AL121" i="3"/>
  <c r="AD121" i="3"/>
  <c r="AL534" i="3"/>
  <c r="AM534" i="3"/>
  <c r="AD534" i="3"/>
  <c r="AM493" i="3"/>
  <c r="AL493" i="3"/>
  <c r="AD493" i="3"/>
  <c r="AM555" i="3"/>
  <c r="AD555" i="3"/>
  <c r="AL555" i="3"/>
  <c r="AM397" i="3"/>
  <c r="AL397" i="3"/>
  <c r="AD397" i="3"/>
  <c r="AL474" i="3"/>
  <c r="AM474" i="3"/>
  <c r="AD474" i="3"/>
  <c r="AL541" i="3"/>
  <c r="AM541" i="3"/>
  <c r="AD541" i="3"/>
  <c r="AM408" i="3"/>
  <c r="AL408" i="3"/>
  <c r="AD408" i="3"/>
  <c r="AK553" i="3"/>
  <c r="AJ553" i="3"/>
  <c r="AK423" i="3"/>
  <c r="AJ423" i="3"/>
  <c r="AK465" i="3"/>
  <c r="AJ465" i="3"/>
  <c r="AK255" i="3"/>
  <c r="AJ255" i="3"/>
  <c r="AK326" i="3"/>
  <c r="AJ326" i="3"/>
  <c r="AK199" i="3"/>
  <c r="AJ199" i="3"/>
  <c r="AK487" i="3"/>
  <c r="AJ487" i="3"/>
  <c r="AK542" i="3"/>
  <c r="AJ542" i="3"/>
  <c r="AK472" i="3"/>
  <c r="AJ472" i="3"/>
  <c r="AK439" i="3"/>
  <c r="AJ439" i="3"/>
  <c r="AK346" i="3"/>
  <c r="AJ346" i="3"/>
  <c r="AM524" i="3"/>
  <c r="AL524" i="3"/>
  <c r="AD524" i="3"/>
  <c r="AD159" i="3"/>
  <c r="AM159" i="3"/>
  <c r="AL159" i="3"/>
  <c r="AL549" i="3"/>
  <c r="AM549" i="3"/>
  <c r="AD549" i="3"/>
  <c r="AM492" i="3"/>
  <c r="AL492" i="3"/>
  <c r="AD492" i="3"/>
  <c r="AK452" i="3"/>
  <c r="AJ452" i="3"/>
  <c r="AK337" i="3"/>
  <c r="AJ337" i="3"/>
  <c r="AK270" i="3"/>
  <c r="AJ270" i="3"/>
  <c r="AK527" i="3"/>
  <c r="AJ527" i="3"/>
  <c r="AK345" i="3"/>
  <c r="AJ345" i="3"/>
  <c r="AK231" i="3"/>
  <c r="AJ231" i="3"/>
  <c r="AK478" i="3"/>
  <c r="AJ478" i="3"/>
  <c r="AK473" i="3"/>
  <c r="AJ473" i="3"/>
  <c r="AK359" i="3"/>
  <c r="AJ359" i="3"/>
  <c r="AK415" i="3"/>
  <c r="AJ415" i="3"/>
  <c r="AK519" i="3"/>
  <c r="AJ519" i="3"/>
  <c r="AK416" i="3"/>
  <c r="AJ416" i="3"/>
  <c r="AK512" i="3"/>
  <c r="AJ512" i="3"/>
  <c r="AK407" i="3"/>
  <c r="AJ407" i="3"/>
  <c r="AM60" i="3"/>
  <c r="AL60" i="3"/>
  <c r="AD60" i="3"/>
  <c r="AM127" i="3"/>
  <c r="AL127" i="3"/>
  <c r="AD127" i="3"/>
  <c r="AL501" i="3"/>
  <c r="AM501" i="3"/>
  <c r="AD501" i="3"/>
  <c r="AL184" i="3"/>
  <c r="AM184" i="3"/>
  <c r="AD184" i="3"/>
  <c r="AM102" i="3"/>
  <c r="AL102" i="3"/>
  <c r="AD102" i="3"/>
  <c r="AL77" i="3"/>
  <c r="AM77" i="3"/>
  <c r="AD77" i="3"/>
  <c r="AD434" i="3"/>
  <c r="AL434" i="3"/>
  <c r="AM434" i="3"/>
  <c r="AM398" i="3"/>
  <c r="AL398" i="3"/>
  <c r="AD398" i="3"/>
  <c r="AM393" i="3"/>
  <c r="AL393" i="3"/>
  <c r="AD393" i="3"/>
  <c r="AM406" i="3"/>
  <c r="AL406" i="3"/>
  <c r="AD406" i="3"/>
  <c r="AM441" i="3"/>
  <c r="AL441" i="3"/>
  <c r="AD441" i="3"/>
  <c r="AL533" i="3"/>
  <c r="AM533" i="3"/>
  <c r="AD533" i="3"/>
  <c r="AM547" i="3"/>
  <c r="AL547" i="3"/>
  <c r="AD547" i="3"/>
  <c r="AM427" i="3"/>
  <c r="AL427" i="3"/>
  <c r="AD427" i="3"/>
  <c r="AM525" i="3"/>
  <c r="AL525" i="3"/>
  <c r="AD525" i="3"/>
  <c r="AK510" i="3"/>
  <c r="AJ510" i="3"/>
  <c r="AK250" i="3"/>
  <c r="AJ250" i="3"/>
  <c r="AK319" i="3"/>
  <c r="AJ319" i="3"/>
  <c r="AK402" i="3"/>
  <c r="AJ402" i="3"/>
  <c r="AK428" i="3"/>
  <c r="AJ428" i="3"/>
  <c r="AK529" i="3"/>
  <c r="AJ529" i="3"/>
  <c r="AK447" i="3"/>
  <c r="AJ447" i="3"/>
  <c r="AK506" i="3"/>
  <c r="AJ506" i="3"/>
  <c r="AK329" i="3"/>
  <c r="AJ329" i="3"/>
  <c r="AK263" i="3"/>
  <c r="AJ263" i="3"/>
  <c r="AK484" i="3"/>
  <c r="AJ484" i="3"/>
  <c r="AK554" i="3"/>
  <c r="AJ554" i="3"/>
  <c r="AL175" i="3"/>
  <c r="AM175" i="3"/>
  <c r="AD175" i="3"/>
  <c r="AL391" i="3"/>
  <c r="AM391" i="3"/>
  <c r="AD391" i="3"/>
  <c r="AM105" i="3"/>
  <c r="AL105" i="3"/>
  <c r="AD105" i="3"/>
  <c r="AD112" i="3"/>
  <c r="AM112" i="3"/>
  <c r="AL112" i="3"/>
  <c r="AL153" i="3"/>
  <c r="AM153" i="3"/>
  <c r="AD153" i="3"/>
  <c r="AD178" i="3"/>
  <c r="AM178" i="3"/>
  <c r="AL178" i="3"/>
  <c r="AL93" i="3"/>
  <c r="AM93" i="3"/>
  <c r="AD93" i="3"/>
  <c r="AM108" i="3"/>
  <c r="AL108" i="3"/>
  <c r="AD108" i="3"/>
  <c r="AM68" i="3"/>
  <c r="AL68" i="3"/>
  <c r="AD68" i="3"/>
  <c r="AM531" i="3"/>
  <c r="AL531" i="3"/>
  <c r="AD531" i="3"/>
  <c r="AD514" i="3"/>
  <c r="AL514" i="3"/>
  <c r="AM514" i="3"/>
  <c r="AK343" i="3"/>
  <c r="AJ343" i="3"/>
  <c r="AK388" i="3"/>
  <c r="AJ388" i="3"/>
  <c r="AK342" i="3"/>
  <c r="AJ342" i="3"/>
  <c r="AK314" i="3"/>
  <c r="AJ314" i="3"/>
  <c r="AK242" i="3"/>
  <c r="AJ242" i="3"/>
  <c r="AK496" i="3"/>
  <c r="AJ496" i="3"/>
  <c r="AK494" i="3"/>
  <c r="AJ494" i="3"/>
  <c r="AM73" i="3"/>
  <c r="AL73" i="3"/>
  <c r="AD73" i="3"/>
  <c r="AM454" i="3"/>
  <c r="AL454" i="3"/>
  <c r="AD454" i="3"/>
  <c r="AM517" i="3"/>
  <c r="AL517" i="3"/>
  <c r="AD517" i="3"/>
  <c r="AD113" i="3"/>
  <c r="AM113" i="3"/>
  <c r="AL113" i="3"/>
  <c r="AM136" i="3"/>
  <c r="AL136" i="3"/>
  <c r="AD136" i="3"/>
  <c r="AM41" i="3"/>
  <c r="AL41" i="3"/>
  <c r="AD41" i="3"/>
  <c r="AM152" i="3"/>
  <c r="AL152" i="3"/>
  <c r="AD152" i="3"/>
  <c r="AL111" i="3"/>
  <c r="AM111" i="3"/>
  <c r="AD111" i="3"/>
  <c r="AL63" i="3"/>
  <c r="AM63" i="3"/>
  <c r="AD63" i="3"/>
  <c r="AD97" i="3"/>
  <c r="AM97" i="3"/>
  <c r="AL97" i="3"/>
  <c r="AD130" i="3"/>
  <c r="AM130" i="3"/>
  <c r="AL130" i="3"/>
  <c r="AL13" i="3"/>
  <c r="AM13" i="3"/>
  <c r="AD13" i="3"/>
  <c r="AM92" i="3"/>
  <c r="AL92" i="3"/>
  <c r="AD92" i="3"/>
  <c r="AM88" i="3"/>
  <c r="AL88" i="3"/>
  <c r="AD88" i="3"/>
  <c r="AL56" i="3"/>
  <c r="AM56" i="3"/>
  <c r="AD56" i="3"/>
  <c r="AL23" i="3"/>
  <c r="AM23" i="3"/>
  <c r="AD23" i="3"/>
  <c r="AM502" i="3"/>
  <c r="AL502" i="3"/>
  <c r="AD502" i="3"/>
  <c r="AM387" i="3"/>
  <c r="AL387" i="3"/>
  <c r="AD387" i="3"/>
  <c r="AM508" i="3"/>
  <c r="AL508" i="3"/>
  <c r="AD508" i="3"/>
  <c r="AM476" i="3"/>
  <c r="AL476" i="3"/>
  <c r="AD476" i="3"/>
  <c r="AL394" i="3"/>
  <c r="AM394" i="3"/>
  <c r="AD394" i="3"/>
  <c r="AM430" i="3"/>
  <c r="AL430" i="3"/>
  <c r="AD430" i="3"/>
  <c r="AL565" i="3"/>
  <c r="AM565" i="3"/>
  <c r="AD565" i="3"/>
  <c r="AM429" i="3"/>
  <c r="AL429" i="3"/>
  <c r="AD429" i="3"/>
  <c r="AK495" i="3"/>
  <c r="AJ495" i="3"/>
  <c r="AK368" i="3"/>
  <c r="AJ368" i="3"/>
  <c r="AK558" i="3"/>
  <c r="AJ558" i="3"/>
  <c r="AK351" i="3"/>
  <c r="AJ351" i="3"/>
  <c r="AK358" i="3"/>
  <c r="AJ358" i="3"/>
  <c r="AK420" i="3"/>
  <c r="AJ420" i="3"/>
  <c r="AK469" i="3"/>
  <c r="AJ469" i="3"/>
  <c r="AK369" i="3"/>
  <c r="AJ369" i="3"/>
  <c r="AK335" i="3"/>
  <c r="AJ335" i="3"/>
  <c r="AK462" i="3"/>
  <c r="AJ462" i="3"/>
  <c r="AK453" i="3"/>
  <c r="AJ453" i="3"/>
  <c r="AK287" i="3"/>
  <c r="AJ287" i="3"/>
  <c r="AK288" i="3"/>
  <c r="AJ288" i="3"/>
  <c r="AK511" i="3"/>
  <c r="AJ511" i="3"/>
  <c r="AK463" i="3"/>
  <c r="AJ463" i="3"/>
  <c r="AK282" i="3"/>
  <c r="AJ282" i="3"/>
  <c r="AM156" i="3"/>
  <c r="AL156" i="3"/>
  <c r="AD156" i="3"/>
  <c r="AD193" i="3"/>
  <c r="AM193" i="3"/>
  <c r="AL193" i="3"/>
  <c r="AM566" i="3"/>
  <c r="AL566" i="3"/>
  <c r="AD566" i="3"/>
  <c r="AM518" i="3"/>
  <c r="AL518" i="3"/>
  <c r="AD518" i="3"/>
  <c r="AM425" i="3"/>
  <c r="AL425" i="3"/>
  <c r="AD425" i="3"/>
  <c r="AL458" i="3"/>
  <c r="AM458" i="3"/>
  <c r="AD458" i="3"/>
  <c r="AM482" i="3"/>
  <c r="AD482" i="3"/>
  <c r="AL482" i="3"/>
  <c r="AM395" i="3"/>
  <c r="AL395" i="3"/>
  <c r="AD395" i="3"/>
  <c r="AK479" i="3"/>
  <c r="AJ479" i="3"/>
  <c r="AK552" i="3"/>
  <c r="AJ552" i="3"/>
  <c r="AK375" i="3"/>
  <c r="AJ375" i="3"/>
  <c r="AK204" i="3"/>
  <c r="AJ204" i="3"/>
  <c r="AK485" i="3"/>
  <c r="AJ485" i="3"/>
  <c r="AK239" i="3"/>
  <c r="AJ239" i="3"/>
  <c r="AK446" i="3"/>
  <c r="AJ446" i="3"/>
  <c r="AD48" i="3"/>
  <c r="AM48" i="3"/>
  <c r="AL48" i="3"/>
  <c r="AD114" i="3"/>
  <c r="AM114" i="3"/>
  <c r="AL114" i="3"/>
  <c r="AM86" i="3"/>
  <c r="AL86" i="3"/>
  <c r="AD86" i="3"/>
  <c r="AM81" i="3"/>
  <c r="AD81" i="3"/>
  <c r="AL81" i="3"/>
  <c r="AD95" i="3"/>
  <c r="AL95" i="3"/>
  <c r="AM95" i="3"/>
  <c r="AM146" i="3"/>
  <c r="AL146" i="3"/>
  <c r="AD146" i="3"/>
  <c r="AL25" i="3"/>
  <c r="AM25" i="3"/>
  <c r="AD25" i="3"/>
  <c r="AL85" i="3"/>
  <c r="AM85" i="3"/>
  <c r="AD85" i="3"/>
  <c r="AM150" i="3"/>
  <c r="AL150" i="3"/>
  <c r="AD150" i="3"/>
  <c r="AM12" i="3"/>
  <c r="AL12" i="3"/>
  <c r="AD12" i="3"/>
  <c r="AM414" i="3"/>
  <c r="AL414" i="3"/>
  <c r="AD414" i="3"/>
  <c r="AM459" i="3"/>
  <c r="AL459" i="3"/>
  <c r="AD459" i="3"/>
  <c r="AK468" i="3"/>
  <c r="AJ468" i="3"/>
  <c r="AK418" i="3"/>
  <c r="AJ418" i="3"/>
  <c r="AK205" i="3"/>
  <c r="AJ205" i="3"/>
  <c r="AK226" i="3"/>
  <c r="AJ226" i="3"/>
  <c r="AK385" i="3"/>
  <c r="AJ385" i="3"/>
  <c r="AK504" i="3"/>
  <c r="AJ504" i="3"/>
  <c r="AK217" i="3"/>
  <c r="AJ217" i="3"/>
  <c r="AK352" i="3"/>
  <c r="AJ352" i="3"/>
  <c r="AK431" i="3"/>
  <c r="AJ431" i="3"/>
  <c r="AK500" i="3"/>
  <c r="AJ500" i="3"/>
  <c r="AK440" i="3"/>
  <c r="AJ440" i="3"/>
  <c r="AK202" i="3"/>
  <c r="AJ202" i="3"/>
  <c r="AK551" i="3"/>
  <c r="AJ551" i="3"/>
  <c r="AK223" i="3"/>
  <c r="AJ223" i="3"/>
  <c r="AK424" i="3"/>
  <c r="AJ424" i="3"/>
  <c r="AK521" i="3"/>
  <c r="AJ521" i="3"/>
  <c r="AK253" i="3"/>
  <c r="AJ253" i="3"/>
  <c r="AK367" i="3"/>
  <c r="AJ367" i="3"/>
  <c r="AL39" i="3"/>
  <c r="AM39" i="3"/>
  <c r="AD39" i="3"/>
  <c r="AL109" i="3"/>
  <c r="AM109" i="3"/>
  <c r="AD109" i="3"/>
  <c r="AM134" i="3"/>
  <c r="AL134" i="3"/>
  <c r="AD134" i="3"/>
  <c r="AM409" i="3"/>
  <c r="AL409" i="3"/>
  <c r="AD409" i="3"/>
  <c r="AL264" i="3"/>
  <c r="AM264" i="3"/>
  <c r="AD264" i="3"/>
  <c r="AM419" i="3"/>
  <c r="AL419" i="3"/>
  <c r="AD419" i="3"/>
  <c r="AM451" i="3"/>
  <c r="AL451" i="3"/>
  <c r="AD451" i="3"/>
  <c r="AM438" i="3"/>
  <c r="AL438" i="3"/>
  <c r="AD438" i="3"/>
  <c r="AM486" i="3"/>
  <c r="AL486" i="3"/>
  <c r="AD486" i="3"/>
  <c r="AK305" i="3"/>
  <c r="AJ305" i="3"/>
  <c r="AK360" i="3"/>
  <c r="AJ360" i="3"/>
  <c r="AK298" i="3"/>
  <c r="AJ298" i="3"/>
  <c r="AK520" i="3"/>
  <c r="AJ520" i="3"/>
  <c r="AK289" i="3"/>
  <c r="AJ289" i="3"/>
  <c r="AK564" i="3"/>
  <c r="AJ564" i="3"/>
  <c r="AK568" i="3"/>
  <c r="AJ568" i="3"/>
  <c r="AK210" i="3"/>
  <c r="AJ210" i="3"/>
  <c r="AL79" i="3"/>
  <c r="AM79" i="3"/>
  <c r="AD79" i="3"/>
  <c r="AD176" i="3"/>
  <c r="AM176" i="3"/>
  <c r="AL176" i="3"/>
  <c r="AM40" i="3"/>
  <c r="AL40" i="3"/>
  <c r="AD40" i="3"/>
  <c r="AM8" i="3"/>
  <c r="AL8" i="3"/>
  <c r="AD8" i="3"/>
  <c r="AM168" i="3"/>
  <c r="AL168" i="3"/>
  <c r="AD168" i="3"/>
  <c r="AM169" i="3"/>
  <c r="AL169" i="3"/>
  <c r="AD169" i="3"/>
  <c r="AD45" i="3"/>
  <c r="AL45" i="3"/>
  <c r="AM45" i="3"/>
  <c r="AD160" i="3"/>
  <c r="AM160" i="3"/>
  <c r="AL160" i="3"/>
  <c r="AM188" i="3"/>
  <c r="AL188" i="3"/>
  <c r="AD188" i="3"/>
  <c r="AM460" i="3"/>
  <c r="AL460" i="3"/>
  <c r="AD460" i="3"/>
  <c r="AM422" i="3"/>
  <c r="AL422" i="3"/>
  <c r="AD422" i="3"/>
  <c r="AM507" i="3"/>
  <c r="AL507" i="3"/>
  <c r="AD507" i="3"/>
  <c r="AM411" i="3"/>
  <c r="AL411" i="3"/>
  <c r="AD411" i="3"/>
  <c r="AM443" i="3"/>
  <c r="AL443" i="3"/>
  <c r="AD443" i="3"/>
  <c r="AL445" i="3"/>
  <c r="AM445" i="3"/>
  <c r="AD445" i="3"/>
  <c r="AM403" i="3"/>
  <c r="AL403" i="3"/>
  <c r="AD403" i="3"/>
  <c r="AK505" i="3"/>
  <c r="AJ505" i="3"/>
  <c r="AK437" i="3"/>
  <c r="AJ437" i="3"/>
  <c r="AK241" i="3"/>
  <c r="AJ241" i="3"/>
  <c r="AK560" i="3"/>
  <c r="AJ560" i="3"/>
  <c r="AK457" i="3"/>
  <c r="AJ457" i="3"/>
  <c r="AK544" i="3"/>
  <c r="AJ544" i="3"/>
  <c r="AK257" i="3"/>
  <c r="AJ257" i="3"/>
  <c r="AK489" i="3"/>
  <c r="AJ489" i="3"/>
  <c r="AK207" i="3"/>
  <c r="AJ207" i="3"/>
  <c r="AK532" i="3"/>
  <c r="AJ532" i="3"/>
  <c r="AK567" i="3"/>
  <c r="AJ567" i="3"/>
  <c r="AK537" i="3"/>
  <c r="AJ537" i="3"/>
  <c r="AK330" i="3"/>
  <c r="AJ330" i="3"/>
  <c r="AM145" i="3"/>
  <c r="AD145" i="3"/>
  <c r="AL145" i="3"/>
  <c r="AD450" i="3"/>
  <c r="AL450" i="3"/>
  <c r="AM450" i="3"/>
  <c r="AK464" i="3"/>
  <c r="AJ464" i="3"/>
  <c r="AD96" i="3"/>
  <c r="AM96" i="3"/>
  <c r="AL96" i="3"/>
  <c r="AM119" i="3"/>
  <c r="AL119" i="3"/>
  <c r="AD119" i="3"/>
  <c r="AD194" i="3"/>
  <c r="AM194" i="3"/>
  <c r="AL194" i="3"/>
  <c r="AM9" i="3"/>
  <c r="AL9" i="3"/>
  <c r="AD9" i="3"/>
  <c r="AM70" i="3"/>
  <c r="AL70" i="3"/>
  <c r="AD70" i="3"/>
  <c r="AM47" i="3"/>
  <c r="AD47" i="3"/>
  <c r="AL47" i="3"/>
  <c r="AL120" i="3"/>
  <c r="AM120" i="3"/>
  <c r="AD120" i="3"/>
  <c r="AM151" i="3"/>
  <c r="AL151" i="3"/>
  <c r="AD151" i="3"/>
  <c r="AD162" i="3"/>
  <c r="AM162" i="3"/>
  <c r="AL162" i="3"/>
  <c r="AL182" i="3"/>
  <c r="AM182" i="3"/>
  <c r="AD182" i="3"/>
  <c r="AD42" i="3"/>
  <c r="AM42" i="3"/>
  <c r="AL42" i="3"/>
  <c r="AL26" i="3"/>
  <c r="AD26" i="3"/>
  <c r="AM26" i="3"/>
  <c r="AM52" i="3"/>
  <c r="AL52" i="3"/>
  <c r="AD52" i="3"/>
  <c r="AD129" i="3"/>
  <c r="AM129" i="3"/>
  <c r="AL129" i="3"/>
  <c r="AM135" i="3"/>
  <c r="AD135" i="3"/>
  <c r="AL135" i="3"/>
  <c r="AM546" i="3"/>
  <c r="AD546" i="3"/>
  <c r="AL546" i="3"/>
  <c r="AM539" i="3"/>
  <c r="AL539" i="3"/>
  <c r="AD539" i="3"/>
  <c r="AM475" i="3"/>
  <c r="AL475" i="3"/>
  <c r="AD475" i="3"/>
  <c r="AD466" i="3"/>
  <c r="AL466" i="3"/>
  <c r="AM466" i="3"/>
  <c r="AM483" i="3"/>
  <c r="AL483" i="3"/>
  <c r="AD483" i="3"/>
  <c r="AM392" i="3"/>
  <c r="AL392" i="3"/>
  <c r="AD392" i="3"/>
  <c r="AM523" i="3"/>
  <c r="AL523" i="3"/>
  <c r="AD523" i="3"/>
  <c r="AK543" i="3"/>
  <c r="AJ543" i="3"/>
  <c r="AK203" i="3"/>
  <c r="AJ203" i="3"/>
  <c r="AK513" i="3"/>
  <c r="AJ513" i="3"/>
  <c r="AK404" i="3"/>
  <c r="AJ404" i="3"/>
  <c r="AK279" i="3"/>
  <c r="AJ279" i="3"/>
  <c r="AK254" i="3"/>
  <c r="AJ254" i="3"/>
  <c r="AK490" i="3"/>
  <c r="AJ490" i="3"/>
  <c r="AK313" i="3"/>
  <c r="AJ313" i="3"/>
  <c r="AK278" i="3"/>
  <c r="AJ278" i="3"/>
  <c r="AK336" i="3"/>
  <c r="AJ336" i="3"/>
  <c r="AK497" i="3"/>
  <c r="AJ497" i="3"/>
  <c r="AK400" i="3"/>
  <c r="AJ400" i="3"/>
  <c r="AK559" i="3"/>
  <c r="AJ559" i="3"/>
  <c r="AM515" i="3"/>
  <c r="AL515" i="3"/>
  <c r="AD515" i="3"/>
  <c r="AK562" i="3"/>
  <c r="AJ562" i="3"/>
  <c r="AL61" i="3"/>
  <c r="AM61" i="3"/>
  <c r="AD61" i="3"/>
  <c r="AM36" i="3"/>
  <c r="AL36" i="3"/>
  <c r="AD36" i="3"/>
  <c r="AM435" i="3"/>
  <c r="AL435" i="3"/>
  <c r="AD435" i="3"/>
  <c r="AM557" i="3"/>
  <c r="AL557" i="3"/>
  <c r="AD557" i="3"/>
  <c r="AM491" i="3"/>
  <c r="AL491" i="3"/>
  <c r="AD491" i="3"/>
  <c r="AM548" i="3"/>
  <c r="AL548" i="3"/>
  <c r="AD548" i="3"/>
  <c r="AM470" i="3"/>
  <c r="AL470" i="3"/>
  <c r="AD470" i="3"/>
  <c r="AM410" i="3"/>
  <c r="AL410" i="3"/>
  <c r="AD410" i="3"/>
  <c r="AL426" i="3"/>
  <c r="AM426" i="3"/>
  <c r="AD426" i="3"/>
  <c r="AM556" i="3"/>
  <c r="AL556" i="3"/>
  <c r="AD556" i="3"/>
  <c r="AK389" i="3"/>
  <c r="AJ389" i="3"/>
  <c r="AK215" i="3"/>
  <c r="AJ215" i="3"/>
  <c r="AK294" i="3"/>
  <c r="AJ294" i="3"/>
  <c r="AK569" i="3"/>
  <c r="AJ569" i="3"/>
  <c r="AK545" i="3"/>
  <c r="AJ545" i="3"/>
  <c r="AK538" i="3"/>
  <c r="AJ538" i="3"/>
  <c r="AK417" i="3"/>
  <c r="AJ417" i="3"/>
  <c r="AK238" i="3"/>
  <c r="AJ238" i="3"/>
  <c r="AK481" i="3"/>
  <c r="AJ481" i="3"/>
  <c r="AK311" i="3"/>
  <c r="AJ311" i="3"/>
  <c r="AK480" i="3"/>
  <c r="AJ480" i="3"/>
  <c r="AK220" i="3"/>
  <c r="AJ220" i="3"/>
  <c r="AK536" i="3"/>
  <c r="AJ536" i="3"/>
  <c r="AK421" i="3"/>
  <c r="AJ421" i="3"/>
  <c r="AK304" i="3"/>
  <c r="AJ304" i="3"/>
  <c r="AK455" i="3"/>
  <c r="AJ455" i="3"/>
  <c r="AK361" i="3"/>
  <c r="AJ361" i="3"/>
  <c r="AK378" i="3"/>
  <c r="AJ378" i="3"/>
  <c r="AK433" i="3"/>
  <c r="AJ433" i="3"/>
  <c r="AD161" i="3"/>
  <c r="AM161" i="3"/>
  <c r="AL161" i="3"/>
  <c r="AL89" i="3"/>
  <c r="AM89" i="3"/>
  <c r="AD89" i="3"/>
  <c r="AM186" i="3"/>
  <c r="AL186" i="3"/>
  <c r="AD186" i="3"/>
  <c r="AD28" i="3"/>
  <c r="AM28" i="3"/>
  <c r="AL28" i="3"/>
  <c r="AM140" i="3"/>
  <c r="AL140" i="3"/>
  <c r="AD140" i="3"/>
  <c r="AD177" i="3"/>
  <c r="AM177" i="3"/>
  <c r="AL177" i="3"/>
  <c r="AD64" i="3"/>
  <c r="AM64" i="3"/>
  <c r="AL64" i="3"/>
  <c r="AM24" i="3"/>
  <c r="AL24" i="3"/>
  <c r="AD24" i="3"/>
  <c r="AM137" i="3"/>
  <c r="AL137" i="3"/>
  <c r="AD137" i="3"/>
  <c r="AM563" i="3"/>
  <c r="AL563" i="3"/>
  <c r="AD563" i="3"/>
  <c r="AK286" i="3"/>
  <c r="AJ286" i="3"/>
  <c r="AK237" i="3"/>
  <c r="AJ237" i="3"/>
  <c r="AK222" i="3"/>
  <c r="AJ222" i="3"/>
  <c r="AK246" i="3"/>
  <c r="AJ246" i="3"/>
  <c r="AK377" i="3"/>
  <c r="AJ377" i="3"/>
  <c r="AL21" i="3" l="1"/>
  <c r="AM21" i="3"/>
  <c r="AD21" i="3"/>
  <c r="AD66" i="3"/>
  <c r="AM66" i="3"/>
  <c r="AL66" i="3"/>
  <c r="AD50" i="3"/>
  <c r="AM50" i="3"/>
  <c r="AL50" i="3"/>
  <c r="AM187" i="3"/>
  <c r="AL187" i="3"/>
  <c r="AD187" i="3"/>
  <c r="AM190" i="3"/>
  <c r="AL190" i="3"/>
  <c r="AD190" i="3"/>
  <c r="AM126" i="3"/>
  <c r="AL126" i="3"/>
  <c r="AD126" i="3"/>
  <c r="AK563" i="3"/>
  <c r="AJ563" i="3"/>
  <c r="AK491" i="3"/>
  <c r="AJ491" i="3"/>
  <c r="AK443" i="3"/>
  <c r="AJ443" i="3"/>
  <c r="AK109" i="3"/>
  <c r="AJ109" i="3"/>
  <c r="AK459" i="3"/>
  <c r="AJ459" i="3"/>
  <c r="AK482" i="3"/>
  <c r="AJ482" i="3"/>
  <c r="AK394" i="3"/>
  <c r="AJ394" i="3"/>
  <c r="AK136" i="3"/>
  <c r="AJ136" i="3"/>
  <c r="AK77" i="3"/>
  <c r="AJ77" i="3"/>
  <c r="AK408" i="3"/>
  <c r="AJ408" i="3"/>
  <c r="AK104" i="3"/>
  <c r="AJ104" i="3"/>
  <c r="AK20" i="3"/>
  <c r="AJ20" i="3"/>
  <c r="AM18" i="3"/>
  <c r="AL18" i="3"/>
  <c r="AD18" i="3"/>
  <c r="AD34" i="3"/>
  <c r="AM34" i="3"/>
  <c r="AL34" i="3"/>
  <c r="AM163" i="3"/>
  <c r="AL163" i="3"/>
  <c r="AD163" i="3"/>
  <c r="AK186" i="3"/>
  <c r="AJ186" i="3"/>
  <c r="AK161" i="3"/>
  <c r="AJ161" i="3"/>
  <c r="AK392" i="3"/>
  <c r="AJ392" i="3"/>
  <c r="AK466" i="3"/>
  <c r="AJ466" i="3"/>
  <c r="AK26" i="3"/>
  <c r="AJ26" i="3"/>
  <c r="AK70" i="3"/>
  <c r="AJ70" i="3"/>
  <c r="AK194" i="3"/>
  <c r="AJ194" i="3"/>
  <c r="AK88" i="3"/>
  <c r="AJ88" i="3"/>
  <c r="AK153" i="3"/>
  <c r="AJ153" i="3"/>
  <c r="AK525" i="3"/>
  <c r="AJ525" i="3"/>
  <c r="AK121" i="3"/>
  <c r="AJ121" i="3"/>
  <c r="AK192" i="3"/>
  <c r="AJ192" i="3"/>
  <c r="AL30" i="3"/>
  <c r="AM30" i="3"/>
  <c r="AD30" i="3"/>
  <c r="AK470" i="3"/>
  <c r="AJ470" i="3"/>
  <c r="AK403" i="3"/>
  <c r="AJ403" i="3"/>
  <c r="AK409" i="3"/>
  <c r="AJ409" i="3"/>
  <c r="AK565" i="3"/>
  <c r="AJ565" i="3"/>
  <c r="AK152" i="3"/>
  <c r="AJ152" i="3"/>
  <c r="AK398" i="3"/>
  <c r="AJ398" i="3"/>
  <c r="AK524" i="3"/>
  <c r="AJ524" i="3"/>
  <c r="AK167" i="3"/>
  <c r="AJ167" i="3"/>
  <c r="AK44" i="3"/>
  <c r="AJ44" i="3"/>
  <c r="AM43" i="3"/>
  <c r="AL43" i="3"/>
  <c r="AD43" i="3"/>
  <c r="AK140" i="3"/>
  <c r="AJ140" i="3"/>
  <c r="AK120" i="3"/>
  <c r="AJ120" i="3"/>
  <c r="AK188" i="3"/>
  <c r="AJ188" i="3"/>
  <c r="AK45" i="3"/>
  <c r="AJ45" i="3"/>
  <c r="AK25" i="3"/>
  <c r="AJ25" i="3"/>
  <c r="AK95" i="3"/>
  <c r="AJ95" i="3"/>
  <c r="AK23" i="3"/>
  <c r="AJ23" i="3"/>
  <c r="AK93" i="3"/>
  <c r="AJ93" i="3"/>
  <c r="AK60" i="3"/>
  <c r="AJ60" i="3"/>
  <c r="AK493" i="3"/>
  <c r="AJ493" i="3"/>
  <c r="AK87" i="3"/>
  <c r="AJ87" i="3"/>
  <c r="AK390" i="3"/>
  <c r="AJ390" i="3"/>
  <c r="AK498" i="3"/>
  <c r="AJ498" i="3"/>
  <c r="AM142" i="3"/>
  <c r="AL142" i="3"/>
  <c r="AD142" i="3"/>
  <c r="AM172" i="3"/>
  <c r="AL172" i="3"/>
  <c r="AD172" i="3"/>
  <c r="AK426" i="3"/>
  <c r="AJ426" i="3"/>
  <c r="AK129" i="3"/>
  <c r="AJ129" i="3"/>
  <c r="AK419" i="3"/>
  <c r="AJ419" i="3"/>
  <c r="AK518" i="3"/>
  <c r="AJ518" i="3"/>
  <c r="AK193" i="3"/>
  <c r="AJ193" i="3"/>
  <c r="AK63" i="3"/>
  <c r="AJ63" i="3"/>
  <c r="AK406" i="3"/>
  <c r="AJ406" i="3"/>
  <c r="AK549" i="3"/>
  <c r="AJ549" i="3"/>
  <c r="AK499" i="3"/>
  <c r="AJ499" i="3"/>
  <c r="AK71" i="3"/>
  <c r="AJ71" i="3"/>
  <c r="AM51" i="3"/>
  <c r="AD51" i="3"/>
  <c r="AL51" i="3"/>
  <c r="AM141" i="3"/>
  <c r="AL141" i="3"/>
  <c r="AD141" i="3"/>
  <c r="AD16" i="3"/>
  <c r="AM16" i="3"/>
  <c r="AL16" i="3"/>
  <c r="AM149" i="3"/>
  <c r="AL149" i="3"/>
  <c r="AD149" i="3"/>
  <c r="AM133" i="3"/>
  <c r="AL133" i="3"/>
  <c r="AD133" i="3"/>
  <c r="AK36" i="3"/>
  <c r="AJ36" i="3"/>
  <c r="AK546" i="3"/>
  <c r="AJ546" i="3"/>
  <c r="AK422" i="3"/>
  <c r="AJ422" i="3"/>
  <c r="AK150" i="3"/>
  <c r="AJ150" i="3"/>
  <c r="AK387" i="3"/>
  <c r="AJ387" i="3"/>
  <c r="AK68" i="3"/>
  <c r="AJ68" i="3"/>
  <c r="AK501" i="3"/>
  <c r="AJ501" i="3"/>
  <c r="AK397" i="3"/>
  <c r="AJ397" i="3"/>
  <c r="AK57" i="3"/>
  <c r="AJ57" i="3"/>
  <c r="AD32" i="3"/>
  <c r="AM32" i="3"/>
  <c r="AL32" i="3"/>
  <c r="AM17" i="3"/>
  <c r="AD17" i="3"/>
  <c r="AL17" i="3"/>
  <c r="AD53" i="3"/>
  <c r="AL53" i="3"/>
  <c r="AM53" i="3"/>
  <c r="AM131" i="3"/>
  <c r="AL131" i="3"/>
  <c r="AD131" i="3"/>
  <c r="AD19" i="3"/>
  <c r="AM19" i="3"/>
  <c r="AL19" i="3"/>
  <c r="AM67" i="3"/>
  <c r="AD67" i="3"/>
  <c r="AL67" i="3"/>
  <c r="AK475" i="3"/>
  <c r="AJ475" i="3"/>
  <c r="AK119" i="3"/>
  <c r="AJ119" i="3"/>
  <c r="AK8" i="3"/>
  <c r="AJ8" i="3"/>
  <c r="AK176" i="3"/>
  <c r="AJ176" i="3"/>
  <c r="AK438" i="3"/>
  <c r="AJ438" i="3"/>
  <c r="AK458" i="3"/>
  <c r="AJ458" i="3"/>
  <c r="AK391" i="3"/>
  <c r="AJ391" i="3"/>
  <c r="AK533" i="3"/>
  <c r="AJ533" i="3"/>
  <c r="AK185" i="3"/>
  <c r="AJ185" i="3"/>
  <c r="AK477" i="3"/>
  <c r="AJ477" i="3"/>
  <c r="AK128" i="3"/>
  <c r="AJ128" i="3"/>
  <c r="AK103" i="3"/>
  <c r="AJ103" i="3"/>
  <c r="AM158" i="3"/>
  <c r="AL158" i="3"/>
  <c r="AD158" i="3"/>
  <c r="AM46" i="3"/>
  <c r="AL46" i="3"/>
  <c r="AD46" i="3"/>
  <c r="AM38" i="3"/>
  <c r="AL38" i="3"/>
  <c r="AD38" i="3"/>
  <c r="AM157" i="3"/>
  <c r="AL157" i="3"/>
  <c r="AD157" i="3"/>
  <c r="AM116" i="3"/>
  <c r="AL116" i="3"/>
  <c r="AD116" i="3"/>
  <c r="AD106" i="3"/>
  <c r="AM106" i="3"/>
  <c r="AL106" i="3"/>
  <c r="AM94" i="3"/>
  <c r="AL94" i="3"/>
  <c r="AD94" i="3"/>
  <c r="AM383" i="3"/>
  <c r="AL383" i="3"/>
  <c r="AD383" i="3"/>
  <c r="AK137" i="3"/>
  <c r="AJ137" i="3"/>
  <c r="AK64" i="3"/>
  <c r="AJ64" i="3"/>
  <c r="AK557" i="3"/>
  <c r="AJ557" i="3"/>
  <c r="AK162" i="3"/>
  <c r="AJ162" i="3"/>
  <c r="AK411" i="3"/>
  <c r="AJ411" i="3"/>
  <c r="AK39" i="3"/>
  <c r="AJ39" i="3"/>
  <c r="AK414" i="3"/>
  <c r="AJ414" i="3"/>
  <c r="AK476" i="3"/>
  <c r="AJ476" i="3"/>
  <c r="AK102" i="3"/>
  <c r="AJ102" i="3"/>
  <c r="AK541" i="3"/>
  <c r="AJ541" i="3"/>
  <c r="AK183" i="3"/>
  <c r="AJ183" i="3"/>
  <c r="AK195" i="3"/>
  <c r="AJ195" i="3"/>
  <c r="AL84" i="3"/>
  <c r="AM84" i="3"/>
  <c r="AD84" i="3"/>
  <c r="AM74" i="3"/>
  <c r="AL74" i="3"/>
  <c r="AD74" i="3"/>
  <c r="AM180" i="3"/>
  <c r="AL180" i="3"/>
  <c r="AD180" i="3"/>
  <c r="AM27" i="3"/>
  <c r="AL27" i="3"/>
  <c r="AD27" i="3"/>
  <c r="AM165" i="3"/>
  <c r="AL165" i="3"/>
  <c r="AD165" i="3"/>
  <c r="AK89" i="3"/>
  <c r="AJ89" i="3"/>
  <c r="AK483" i="3"/>
  <c r="AJ483" i="3"/>
  <c r="AK9" i="3"/>
  <c r="AJ9" i="3"/>
  <c r="AK450" i="3"/>
  <c r="AJ450" i="3"/>
  <c r="AK169" i="3"/>
  <c r="AJ169" i="3"/>
  <c r="AK114" i="3"/>
  <c r="AJ114" i="3"/>
  <c r="AK395" i="3"/>
  <c r="AJ395" i="3"/>
  <c r="AK92" i="3"/>
  <c r="AJ92" i="3"/>
  <c r="AK130" i="3"/>
  <c r="AJ130" i="3"/>
  <c r="AK454" i="3"/>
  <c r="AJ454" i="3"/>
  <c r="AK427" i="3"/>
  <c r="AJ427" i="3"/>
  <c r="AK143" i="3"/>
  <c r="AJ143" i="3"/>
  <c r="AK509" i="3"/>
  <c r="AJ509" i="3"/>
  <c r="AK467" i="3"/>
  <c r="AJ467" i="3"/>
  <c r="AM91" i="3"/>
  <c r="AL91" i="3"/>
  <c r="AD91" i="3"/>
  <c r="AM123" i="3"/>
  <c r="AL123" i="3"/>
  <c r="AD123" i="3"/>
  <c r="AM107" i="3"/>
  <c r="AL107" i="3"/>
  <c r="AD107" i="3"/>
  <c r="AM122" i="3"/>
  <c r="AL122" i="3"/>
  <c r="AD122" i="3"/>
  <c r="AM147" i="3"/>
  <c r="AL147" i="3"/>
  <c r="AD147" i="3"/>
  <c r="AM110" i="3"/>
  <c r="AL110" i="3"/>
  <c r="AD110" i="3"/>
  <c r="AD221" i="3"/>
  <c r="AM221" i="3"/>
  <c r="AL221" i="3"/>
  <c r="AK548" i="3"/>
  <c r="AJ548" i="3"/>
  <c r="AK52" i="3"/>
  <c r="AJ52" i="3"/>
  <c r="AK42" i="3"/>
  <c r="AJ42" i="3"/>
  <c r="AK445" i="3"/>
  <c r="AJ445" i="3"/>
  <c r="AK134" i="3"/>
  <c r="AJ134" i="3"/>
  <c r="AK81" i="3"/>
  <c r="AJ81" i="3"/>
  <c r="AK156" i="3"/>
  <c r="AJ156" i="3"/>
  <c r="AK430" i="3"/>
  <c r="AJ430" i="3"/>
  <c r="AK41" i="3"/>
  <c r="AJ41" i="3"/>
  <c r="AK113" i="3"/>
  <c r="AJ113" i="3"/>
  <c r="AK514" i="3"/>
  <c r="AJ514" i="3"/>
  <c r="AK118" i="3"/>
  <c r="AJ118" i="3"/>
  <c r="AM181" i="3"/>
  <c r="AL181" i="3"/>
  <c r="AD181" i="3"/>
  <c r="AM164" i="3"/>
  <c r="AL164" i="3"/>
  <c r="AD164" i="3"/>
  <c r="AM58" i="3"/>
  <c r="AL58" i="3"/>
  <c r="AD58" i="3"/>
  <c r="AD98" i="3"/>
  <c r="AM98" i="3"/>
  <c r="AL98" i="3"/>
  <c r="AM99" i="3"/>
  <c r="AL99" i="3"/>
  <c r="AD99" i="3"/>
  <c r="AM35" i="3"/>
  <c r="AL35" i="3"/>
  <c r="AD35" i="3"/>
  <c r="AM100" i="3"/>
  <c r="AL100" i="3"/>
  <c r="AD100" i="3"/>
  <c r="AM138" i="3"/>
  <c r="AL138" i="3"/>
  <c r="AD138" i="3"/>
  <c r="AL90" i="3"/>
  <c r="AD90" i="3"/>
  <c r="AM90" i="3"/>
  <c r="AM155" i="3"/>
  <c r="AL155" i="3"/>
  <c r="AD155" i="3"/>
  <c r="AK523" i="3"/>
  <c r="AJ523" i="3"/>
  <c r="AK146" i="3"/>
  <c r="AJ146" i="3"/>
  <c r="AK56" i="3"/>
  <c r="AJ56" i="3"/>
  <c r="AK112" i="3"/>
  <c r="AJ112" i="3"/>
  <c r="AK534" i="3"/>
  <c r="AJ534" i="3"/>
  <c r="AL69" i="3"/>
  <c r="AM69" i="3"/>
  <c r="AD69" i="3"/>
  <c r="AD49" i="3"/>
  <c r="AM49" i="3"/>
  <c r="AL49" i="3"/>
  <c r="AM171" i="3"/>
  <c r="AL171" i="3"/>
  <c r="AD171" i="3"/>
  <c r="AD75" i="3"/>
  <c r="AM75" i="3"/>
  <c r="AL75" i="3"/>
  <c r="AL37" i="3"/>
  <c r="AM37" i="3"/>
  <c r="AD37" i="3"/>
  <c r="AD170" i="3"/>
  <c r="AM170" i="3"/>
  <c r="AL170" i="3"/>
  <c r="AM125" i="3"/>
  <c r="AL125" i="3"/>
  <c r="AD125" i="3"/>
  <c r="AM62" i="3"/>
  <c r="AL62" i="3"/>
  <c r="AD62" i="3"/>
  <c r="AM54" i="3"/>
  <c r="AL54" i="3"/>
  <c r="AD54" i="3"/>
  <c r="AM174" i="3"/>
  <c r="AL174" i="3"/>
  <c r="AD174" i="3"/>
  <c r="AM179" i="3"/>
  <c r="AL179" i="3"/>
  <c r="AD179" i="3"/>
  <c r="AL154" i="3"/>
  <c r="AD154" i="3"/>
  <c r="AM154" i="3"/>
  <c r="AL117" i="3"/>
  <c r="AM117" i="3"/>
  <c r="AD117" i="3"/>
  <c r="AK410" i="3"/>
  <c r="AJ410" i="3"/>
  <c r="AK515" i="3"/>
  <c r="AJ515" i="3"/>
  <c r="AK47" i="3"/>
  <c r="AJ47" i="3"/>
  <c r="AK264" i="3"/>
  <c r="AJ264" i="3"/>
  <c r="AK566" i="3"/>
  <c r="AJ566" i="3"/>
  <c r="AK429" i="3"/>
  <c r="AJ429" i="3"/>
  <c r="AK111" i="3"/>
  <c r="AJ111" i="3"/>
  <c r="AK393" i="3"/>
  <c r="AJ393" i="3"/>
  <c r="AK434" i="3"/>
  <c r="AJ434" i="3"/>
  <c r="AK191" i="3"/>
  <c r="AJ191" i="3"/>
  <c r="AK31" i="3"/>
  <c r="AJ31" i="3"/>
  <c r="AK10" i="3"/>
  <c r="AJ10" i="3"/>
  <c r="AM115" i="3"/>
  <c r="AL115" i="3"/>
  <c r="AD115" i="3"/>
  <c r="AK28" i="3"/>
  <c r="AJ28" i="3"/>
  <c r="AK61" i="3"/>
  <c r="AJ61" i="3"/>
  <c r="AK135" i="3"/>
  <c r="AJ135" i="3"/>
  <c r="AK151" i="3"/>
  <c r="AJ151" i="3"/>
  <c r="AK460" i="3"/>
  <c r="AJ460" i="3"/>
  <c r="AK160" i="3"/>
  <c r="AJ160" i="3"/>
  <c r="AK85" i="3"/>
  <c r="AJ85" i="3"/>
  <c r="AK502" i="3"/>
  <c r="AJ502" i="3"/>
  <c r="AK108" i="3"/>
  <c r="AJ108" i="3"/>
  <c r="AK178" i="3"/>
  <c r="AJ178" i="3"/>
  <c r="AK127" i="3"/>
  <c r="AJ127" i="3"/>
  <c r="AK550" i="3"/>
  <c r="AJ550" i="3"/>
  <c r="AK442" i="3"/>
  <c r="AJ442" i="3"/>
  <c r="AK530" i="3"/>
  <c r="AJ530" i="3"/>
  <c r="AK144" i="3"/>
  <c r="AJ144" i="3"/>
  <c r="AD59" i="3"/>
  <c r="AM59" i="3"/>
  <c r="AL59" i="3"/>
  <c r="AM78" i="3"/>
  <c r="AL78" i="3"/>
  <c r="AD78" i="3"/>
  <c r="AD83" i="3"/>
  <c r="AM83" i="3"/>
  <c r="AL83" i="3"/>
  <c r="AK556" i="3"/>
  <c r="AJ556" i="3"/>
  <c r="AK539" i="3"/>
  <c r="AJ539" i="3"/>
  <c r="AK40" i="3"/>
  <c r="AJ40" i="3"/>
  <c r="AK451" i="3"/>
  <c r="AJ451" i="3"/>
  <c r="AK425" i="3"/>
  <c r="AJ425" i="3"/>
  <c r="AK175" i="3"/>
  <c r="AJ175" i="3"/>
  <c r="AK441" i="3"/>
  <c r="AJ441" i="3"/>
  <c r="AK492" i="3"/>
  <c r="AJ492" i="3"/>
  <c r="AK159" i="3"/>
  <c r="AJ159" i="3"/>
  <c r="AK555" i="3"/>
  <c r="AJ555" i="3"/>
  <c r="AK33" i="3"/>
  <c r="AJ33" i="3"/>
  <c r="AK80" i="3"/>
  <c r="AJ80" i="3"/>
  <c r="AK413" i="3"/>
  <c r="AJ413" i="3"/>
  <c r="AK72" i="3"/>
  <c r="AJ72" i="3"/>
  <c r="AM173" i="3"/>
  <c r="AL173" i="3"/>
  <c r="AD173" i="3"/>
  <c r="AL101" i="3"/>
  <c r="AM101" i="3"/>
  <c r="AD101" i="3"/>
  <c r="AM82" i="3"/>
  <c r="AL82" i="3"/>
  <c r="AD82" i="3"/>
  <c r="AD65" i="3"/>
  <c r="AM65" i="3"/>
  <c r="AL65" i="3"/>
  <c r="AM11" i="3"/>
  <c r="AL11" i="3"/>
  <c r="AD11" i="3"/>
  <c r="AL15" i="3"/>
  <c r="AM15" i="3"/>
  <c r="AD15" i="3"/>
  <c r="AM14" i="3"/>
  <c r="AL14" i="3"/>
  <c r="AD14" i="3"/>
  <c r="AM22" i="3"/>
  <c r="AL22" i="3"/>
  <c r="AD22" i="3"/>
  <c r="AM132" i="3"/>
  <c r="AL132" i="3"/>
  <c r="AD132" i="3"/>
  <c r="AL148" i="3"/>
  <c r="AM148" i="3"/>
  <c r="AD148" i="3"/>
  <c r="AD139" i="3"/>
  <c r="AM139" i="3"/>
  <c r="AL139" i="3"/>
  <c r="AK24" i="3"/>
  <c r="AJ24" i="3"/>
  <c r="AK177" i="3"/>
  <c r="AJ177" i="3"/>
  <c r="AK435" i="3"/>
  <c r="AJ435" i="3"/>
  <c r="AK182" i="3"/>
  <c r="AJ182" i="3"/>
  <c r="AK145" i="3"/>
  <c r="AJ145" i="3"/>
  <c r="AK507" i="3"/>
  <c r="AJ507" i="3"/>
  <c r="AK79" i="3"/>
  <c r="AJ79" i="3"/>
  <c r="AK12" i="3"/>
  <c r="AJ12" i="3"/>
  <c r="AK508" i="3"/>
  <c r="AJ508" i="3"/>
  <c r="AK517" i="3"/>
  <c r="AJ517" i="3"/>
  <c r="AK531" i="3"/>
  <c r="AJ531" i="3"/>
  <c r="AK184" i="3"/>
  <c r="AJ184" i="3"/>
  <c r="AK474" i="3"/>
  <c r="AJ474" i="3"/>
  <c r="AK124" i="3"/>
  <c r="AJ124" i="3"/>
  <c r="AK55" i="3"/>
  <c r="AJ55" i="3"/>
  <c r="AM189" i="3"/>
  <c r="AL189" i="3"/>
  <c r="AD189" i="3"/>
  <c r="AK96" i="3"/>
  <c r="AJ96" i="3"/>
  <c r="AK168" i="3"/>
  <c r="AJ168" i="3"/>
  <c r="AK486" i="3"/>
  <c r="AJ486" i="3"/>
  <c r="AK86" i="3"/>
  <c r="AJ86" i="3"/>
  <c r="AK48" i="3"/>
  <c r="AJ48" i="3"/>
  <c r="AK13" i="3"/>
  <c r="AJ13" i="3"/>
  <c r="AK97" i="3"/>
  <c r="AJ97" i="3"/>
  <c r="AK73" i="3"/>
  <c r="AJ73" i="3"/>
  <c r="AK105" i="3"/>
  <c r="AJ105" i="3"/>
  <c r="AK547" i="3"/>
  <c r="AJ547" i="3"/>
  <c r="AK540" i="3"/>
  <c r="AJ540" i="3"/>
  <c r="AK166" i="3"/>
  <c r="AJ166" i="3"/>
  <c r="AM456" i="3" l="1"/>
  <c r="AL456" i="3"/>
  <c r="AD456" i="3"/>
  <c r="AK173" i="3"/>
  <c r="AJ173" i="3"/>
  <c r="AK174" i="3"/>
  <c r="AJ174" i="3"/>
  <c r="AK35" i="3"/>
  <c r="AJ35" i="3"/>
  <c r="AK98" i="3"/>
  <c r="AJ98" i="3"/>
  <c r="AK74" i="3"/>
  <c r="AJ74" i="3"/>
  <c r="AK38" i="3"/>
  <c r="AJ38" i="3"/>
  <c r="AK148" i="3"/>
  <c r="AJ148" i="3"/>
  <c r="AK78" i="3"/>
  <c r="AJ78" i="3"/>
  <c r="AK171" i="3"/>
  <c r="AJ171" i="3"/>
  <c r="AK17" i="3"/>
  <c r="AJ17" i="3"/>
  <c r="AK82" i="3"/>
  <c r="AJ82" i="3"/>
  <c r="AK138" i="3"/>
  <c r="AJ138" i="3"/>
  <c r="AK221" i="3"/>
  <c r="AJ221" i="3"/>
  <c r="AK27" i="3"/>
  <c r="AJ27" i="3"/>
  <c r="AK116" i="3"/>
  <c r="AJ116" i="3"/>
  <c r="AK131" i="3"/>
  <c r="AJ131" i="3"/>
  <c r="AK154" i="3"/>
  <c r="AJ154" i="3"/>
  <c r="AK37" i="3"/>
  <c r="AJ37" i="3"/>
  <c r="AK181" i="3"/>
  <c r="AJ181" i="3"/>
  <c r="AK123" i="3"/>
  <c r="AJ123" i="3"/>
  <c r="AK142" i="3"/>
  <c r="AJ142" i="3"/>
  <c r="AK11" i="3"/>
  <c r="AJ11" i="3"/>
  <c r="AK155" i="3"/>
  <c r="AJ155" i="3"/>
  <c r="AK94" i="3"/>
  <c r="AJ94" i="3"/>
  <c r="AK51" i="3"/>
  <c r="AJ51" i="3"/>
  <c r="AK125" i="3"/>
  <c r="AJ125" i="3"/>
  <c r="AK58" i="3"/>
  <c r="AJ58" i="3"/>
  <c r="AK122" i="3"/>
  <c r="AJ122" i="3"/>
  <c r="AK67" i="3"/>
  <c r="AJ67" i="3"/>
  <c r="AK43" i="3"/>
  <c r="AJ43" i="3"/>
  <c r="AK34" i="3"/>
  <c r="AJ34" i="3"/>
  <c r="AK187" i="3"/>
  <c r="AJ187" i="3"/>
  <c r="AK66" i="3"/>
  <c r="AJ66" i="3"/>
  <c r="AK14" i="3"/>
  <c r="AJ14" i="3"/>
  <c r="AK54" i="3"/>
  <c r="AJ54" i="3"/>
  <c r="AK99" i="3"/>
  <c r="AJ99" i="3"/>
  <c r="AK110" i="3"/>
  <c r="AJ110" i="3"/>
  <c r="AK84" i="3"/>
  <c r="AJ84" i="3"/>
  <c r="AK46" i="3"/>
  <c r="AJ46" i="3"/>
  <c r="AK133" i="3"/>
  <c r="AJ133" i="3"/>
  <c r="AK16" i="3"/>
  <c r="AJ16" i="3"/>
  <c r="AK126" i="3"/>
  <c r="AJ126" i="3"/>
  <c r="AK132" i="3"/>
  <c r="AJ132" i="3"/>
  <c r="AK101" i="3"/>
  <c r="AJ101" i="3"/>
  <c r="AK179" i="3"/>
  <c r="AJ179" i="3"/>
  <c r="AK100" i="3"/>
  <c r="AJ100" i="3"/>
  <c r="AK180" i="3"/>
  <c r="AJ180" i="3"/>
  <c r="AK157" i="3"/>
  <c r="AJ157" i="3"/>
  <c r="AK32" i="3"/>
  <c r="AJ32" i="3"/>
  <c r="AK59" i="3"/>
  <c r="AJ59" i="3"/>
  <c r="AK49" i="3"/>
  <c r="AJ49" i="3"/>
  <c r="AK91" i="3"/>
  <c r="AJ91" i="3"/>
  <c r="AK18" i="3"/>
  <c r="AJ18" i="3"/>
  <c r="AK21" i="3"/>
  <c r="AJ21" i="3"/>
  <c r="AL7" i="3"/>
  <c r="AM7" i="3"/>
  <c r="AD7" i="3"/>
  <c r="AK189" i="3"/>
  <c r="AJ189" i="3"/>
  <c r="AK115" i="3"/>
  <c r="AJ115" i="3"/>
  <c r="AK117" i="3"/>
  <c r="AJ117" i="3"/>
  <c r="AK165" i="3"/>
  <c r="AJ165" i="3"/>
  <c r="AK53" i="3"/>
  <c r="AJ53" i="3"/>
  <c r="AK139" i="3"/>
  <c r="AJ139" i="3"/>
  <c r="AK83" i="3"/>
  <c r="AJ83" i="3"/>
  <c r="AK75" i="3"/>
  <c r="AJ75" i="3"/>
  <c r="AK90" i="3"/>
  <c r="AJ90" i="3"/>
  <c r="AK164" i="3"/>
  <c r="AJ164" i="3"/>
  <c r="AK107" i="3"/>
  <c r="AJ107" i="3"/>
  <c r="AK141" i="3"/>
  <c r="AJ141" i="3"/>
  <c r="AK172" i="3"/>
  <c r="AJ172" i="3"/>
  <c r="AK30" i="3"/>
  <c r="AJ30" i="3"/>
  <c r="AK163" i="3"/>
  <c r="AJ163" i="3"/>
  <c r="AK15" i="3"/>
  <c r="AJ15" i="3"/>
  <c r="AK65" i="3"/>
  <c r="AJ65" i="3"/>
  <c r="AK383" i="3"/>
  <c r="AJ383" i="3"/>
  <c r="AK106" i="3"/>
  <c r="AJ106" i="3"/>
  <c r="AK19" i="3"/>
  <c r="AJ19" i="3"/>
  <c r="AK62" i="3"/>
  <c r="AJ62" i="3"/>
  <c r="AK170" i="3"/>
  <c r="AJ170" i="3"/>
  <c r="AK147" i="3"/>
  <c r="AJ147" i="3"/>
  <c r="AK158" i="3"/>
  <c r="AJ158" i="3"/>
  <c r="AK149" i="3"/>
  <c r="AJ149" i="3"/>
  <c r="AK190" i="3"/>
  <c r="AJ190" i="3"/>
  <c r="AK50" i="3"/>
  <c r="AJ50" i="3"/>
  <c r="AK22" i="3"/>
  <c r="AJ22" i="3"/>
  <c r="AK69" i="3"/>
  <c r="AJ69" i="3"/>
  <c r="N4" i="3" l="1"/>
  <c r="P4" i="3"/>
  <c r="O4" i="3"/>
  <c r="AK456" i="3"/>
  <c r="AJ456" i="3"/>
  <c r="AA1" i="3"/>
  <c r="AK7" i="3"/>
  <c r="AJ7" i="3"/>
  <c r="Y1" i="3" l="1"/>
  <c r="V1" i="3"/>
  <c r="Z1" i="3"/>
  <c r="U1" i="3"/>
  <c r="W1" i="3"/>
  <c r="W3" i="3" s="1"/>
  <c r="AA3" i="3"/>
  <c r="T1" i="3"/>
  <c r="X1" i="3"/>
  <c r="V3" i="3" l="1"/>
  <c r="Y3" i="3"/>
  <c r="Z3" i="3"/>
  <c r="U3" i="3"/>
  <c r="AB3" i="3"/>
  <c r="X3" i="3"/>
  <c r="AC3" i="3"/>
  <c r="T3" i="3"/>
  <c r="D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tc={0D215149-7C74-45C2-845A-F0F89217E80B}</author>
  </authors>
  <commentList>
    <comment ref="I2" authorId="0" shapeId="0" xr:uid="{0D215149-7C74-45C2-845A-F0F89217E80B}">
      <text>
        <t xml:space="preserve">[Threaded comment]
Your version of Excel allows you to read this threaded comment; however, any edits to it will get removed if the file is opened in a newer version of Excel. Learn more: https://go.microsoft.com/fwlink/?linkid=870924
Comment:
    Clusters to update with projected response up to December 2024 factoring partners planned response. 
</t>
      </text>
    </comment>
  </commentList>
</comments>
</file>

<file path=xl/sharedStrings.xml><?xml version="1.0" encoding="utf-8"?>
<sst xmlns="http://schemas.openxmlformats.org/spreadsheetml/2006/main" count="8781" uniqueCount="1145">
  <si>
    <t>SO1</t>
  </si>
  <si>
    <t>SO2</t>
  </si>
  <si>
    <t>SO3</t>
  </si>
  <si>
    <t>Strategic Objectives</t>
  </si>
  <si>
    <t>2025 HNRP SOs</t>
  </si>
  <si>
    <t>Provide safe, timely, principled and gender-responsive life-saving humanitarian assistance to the most vulnerable groups (including those displaced, directly impacted host communities, non-displaced people in conflict areas and refugees) to reduce mortality and morbidity in areas with high severity of need or at risk of a further deterioration of critical humanitarian needs.</t>
  </si>
  <si>
    <t>Directly respond to the conflict-driven protection needs of crisis-affected people through principled and conflict-sensitive assistance and advocacy as well as prevent and mitigate emerging protection risks, with due regard to international norms and standards.</t>
  </si>
  <si>
    <t>Provide safe, equitable, dignified and unhindered access to critical basic services (including primary and maternal healthcare services, education, water supply and shelter) and livelihoods opportunities for the most vulnerable groups to prevent further erosion of their coping abilities.</t>
  </si>
  <si>
    <t>*Please review</t>
  </si>
  <si>
    <t>*Please complete</t>
  </si>
  <si>
    <t>Cluster</t>
  </si>
  <si>
    <t>Reaching beneficiaries directly?</t>
  </si>
  <si>
    <t>Average unit cost (US$)</t>
  </si>
  <si>
    <t>Estimated 2024 target</t>
  </si>
  <si>
    <t>Estimated total cost in 2024</t>
  </si>
  <si>
    <t>Yes</t>
  </si>
  <si>
    <t>2025 total Financial Requirements (unrounded)</t>
  </si>
  <si>
    <t>aCode</t>
  </si>
  <si>
    <t>2025 Strategic Objectives (SO)</t>
  </si>
  <si>
    <t>ID</t>
  </si>
  <si>
    <t>Admin 1</t>
  </si>
  <si>
    <t>Admin 1 P-Code</t>
  </si>
  <si>
    <t>Admin 2</t>
  </si>
  <si>
    <t>Admin 2 P-Code</t>
  </si>
  <si>
    <t>Total Population</t>
  </si>
  <si>
    <t>Population Group</t>
  </si>
  <si>
    <t>Khartoum</t>
  </si>
  <si>
    <t>SD01</t>
  </si>
  <si>
    <t>Jebel Awlia</t>
  </si>
  <si>
    <t>SD01001</t>
  </si>
  <si>
    <t>Host Community</t>
  </si>
  <si>
    <t>Um Bada</t>
  </si>
  <si>
    <t>SD01002</t>
  </si>
  <si>
    <t>Bahri</t>
  </si>
  <si>
    <t>SD01003</t>
  </si>
  <si>
    <t>Sharg An Neel</t>
  </si>
  <si>
    <t>SD01004</t>
  </si>
  <si>
    <t>Karrari</t>
  </si>
  <si>
    <t>SD01005</t>
  </si>
  <si>
    <t>Um Durman</t>
  </si>
  <si>
    <t>SD01006</t>
  </si>
  <si>
    <t>SD01007</t>
  </si>
  <si>
    <t>North Darfur</t>
  </si>
  <si>
    <t>SD02</t>
  </si>
  <si>
    <t>Dar As Salam</t>
  </si>
  <si>
    <t>SD02113</t>
  </si>
  <si>
    <t>Al Fasher</t>
  </si>
  <si>
    <t>SD02114</t>
  </si>
  <si>
    <t>Al Koma</t>
  </si>
  <si>
    <t>SD02116</t>
  </si>
  <si>
    <t>Al Malha</t>
  </si>
  <si>
    <t>SD02117</t>
  </si>
  <si>
    <t>As Serief</t>
  </si>
  <si>
    <t>SD02118</t>
  </si>
  <si>
    <t>At Tawisha</t>
  </si>
  <si>
    <t>SD02119</t>
  </si>
  <si>
    <t>Um Baru</t>
  </si>
  <si>
    <t>SD02120</t>
  </si>
  <si>
    <t>Kebkabiya</t>
  </si>
  <si>
    <t>SD02124</t>
  </si>
  <si>
    <t>Kelemando</t>
  </si>
  <si>
    <t>SD02126</t>
  </si>
  <si>
    <t>Kutum</t>
  </si>
  <si>
    <t>SD02128</t>
  </si>
  <si>
    <t>Melit</t>
  </si>
  <si>
    <t>SD02129</t>
  </si>
  <si>
    <t>Saraf Omra</t>
  </si>
  <si>
    <t>SD02133</t>
  </si>
  <si>
    <t>Um Kadadah</t>
  </si>
  <si>
    <t>SD02136</t>
  </si>
  <si>
    <t>Kernoi</t>
  </si>
  <si>
    <t>SD02168</t>
  </si>
  <si>
    <t>Al Lait</t>
  </si>
  <si>
    <t>SD02169</t>
  </si>
  <si>
    <t>Tawila</t>
  </si>
  <si>
    <t>SD02170</t>
  </si>
  <si>
    <t>At Tina</t>
  </si>
  <si>
    <t>SD02171</t>
  </si>
  <si>
    <t>South Darfur</t>
  </si>
  <si>
    <t>SD03</t>
  </si>
  <si>
    <t>Al Radoum</t>
  </si>
  <si>
    <t>SD03141</t>
  </si>
  <si>
    <t>Ed Al Fursan</t>
  </si>
  <si>
    <t>SD03143</t>
  </si>
  <si>
    <t>Kas</t>
  </si>
  <si>
    <t>SD03144</t>
  </si>
  <si>
    <t>Mershing</t>
  </si>
  <si>
    <t>SD03145</t>
  </si>
  <si>
    <t>Um Dafoug</t>
  </si>
  <si>
    <t>SD03146</t>
  </si>
  <si>
    <t>Sharg Aj Jabal</t>
  </si>
  <si>
    <t>SD03147</t>
  </si>
  <si>
    <t>Tulus</t>
  </si>
  <si>
    <t>SD03149</t>
  </si>
  <si>
    <t>Al Wihda</t>
  </si>
  <si>
    <t>SD03150</t>
  </si>
  <si>
    <t>Nitega</t>
  </si>
  <si>
    <t>SD03151</t>
  </si>
  <si>
    <t>Gereida</t>
  </si>
  <si>
    <t>SD03153</t>
  </si>
  <si>
    <t>Shattaya</t>
  </si>
  <si>
    <t>SD03154</t>
  </si>
  <si>
    <t>As Sunta</t>
  </si>
  <si>
    <t>SD03156</t>
  </si>
  <si>
    <t>Kubum</t>
  </si>
  <si>
    <t>SD03157</t>
  </si>
  <si>
    <t>Rehaid Albirdi</t>
  </si>
  <si>
    <t>SD03158</t>
  </si>
  <si>
    <t>Kateila</t>
  </si>
  <si>
    <t>SD03159</t>
  </si>
  <si>
    <t>Buram</t>
  </si>
  <si>
    <t>SD03161</t>
  </si>
  <si>
    <t>Beliel</t>
  </si>
  <si>
    <t>SD03162</t>
  </si>
  <si>
    <t>Nyala Shimal</t>
  </si>
  <si>
    <t>SD03164</t>
  </si>
  <si>
    <t>As Salam - SD</t>
  </si>
  <si>
    <t>SD03166</t>
  </si>
  <si>
    <t>Nyala Janoub</t>
  </si>
  <si>
    <t>SD03167</t>
  </si>
  <si>
    <t>Damso</t>
  </si>
  <si>
    <t>SD03172</t>
  </si>
  <si>
    <t>West Darfur</t>
  </si>
  <si>
    <t>SD04</t>
  </si>
  <si>
    <t>Beida</t>
  </si>
  <si>
    <t>SD04111</t>
  </si>
  <si>
    <t>Ag Geneina</t>
  </si>
  <si>
    <t>SD04115</t>
  </si>
  <si>
    <t>Foro Baranga</t>
  </si>
  <si>
    <t>SD04121</t>
  </si>
  <si>
    <t>Habila - WD</t>
  </si>
  <si>
    <t>SD04122</t>
  </si>
  <si>
    <t>Jebel Moon</t>
  </si>
  <si>
    <t>SD04123</t>
  </si>
  <si>
    <t>Kereneik</t>
  </si>
  <si>
    <t>SD04125</t>
  </si>
  <si>
    <t>Kulbus</t>
  </si>
  <si>
    <t>SD04127</t>
  </si>
  <si>
    <t>Sirba</t>
  </si>
  <si>
    <t>SD04134</t>
  </si>
  <si>
    <t>East Darfur</t>
  </si>
  <si>
    <t>SD05</t>
  </si>
  <si>
    <t>Adila</t>
  </si>
  <si>
    <t>SD05139</t>
  </si>
  <si>
    <t>Abu Jabrah</t>
  </si>
  <si>
    <t>SD05140</t>
  </si>
  <si>
    <t>Ad Du'ayn</t>
  </si>
  <si>
    <t>SD05142</t>
  </si>
  <si>
    <t>Shia'ria</t>
  </si>
  <si>
    <t>SD05148</t>
  </si>
  <si>
    <t>Al Firdous</t>
  </si>
  <si>
    <t>SD05152</t>
  </si>
  <si>
    <t>Abu Karinka</t>
  </si>
  <si>
    <t>SD05155</t>
  </si>
  <si>
    <t>Bahr Al Arab</t>
  </si>
  <si>
    <t>SD05160</t>
  </si>
  <si>
    <t>Assalaya</t>
  </si>
  <si>
    <t>SD05163</t>
  </si>
  <si>
    <t>Yassin</t>
  </si>
  <si>
    <t>SD05165</t>
  </si>
  <si>
    <t>Central Darfur</t>
  </si>
  <si>
    <t>SD06</t>
  </si>
  <si>
    <t>Azum</t>
  </si>
  <si>
    <t>SD06110</t>
  </si>
  <si>
    <t>Bendasi</t>
  </si>
  <si>
    <t>SD06112</t>
  </si>
  <si>
    <t>Mukjar</t>
  </si>
  <si>
    <t>SD06130</t>
  </si>
  <si>
    <t>Gharb Jabal Marrah</t>
  </si>
  <si>
    <t>SD06131</t>
  </si>
  <si>
    <t>Shamal Jabal Marrah</t>
  </si>
  <si>
    <t>SD06132</t>
  </si>
  <si>
    <t>Um Dukhun</t>
  </si>
  <si>
    <t>SD06135</t>
  </si>
  <si>
    <t>Wadi Salih</t>
  </si>
  <si>
    <t>SD06137</t>
  </si>
  <si>
    <t>Zalingi</t>
  </si>
  <si>
    <t>SD06138</t>
  </si>
  <si>
    <t>Wasat Jabal Marrah</t>
  </si>
  <si>
    <t>SD06139</t>
  </si>
  <si>
    <t>South Kordofan</t>
  </si>
  <si>
    <t>SD07</t>
  </si>
  <si>
    <t>Abu Jubayhah</t>
  </si>
  <si>
    <t>SD07088</t>
  </si>
  <si>
    <t>Talawdi</t>
  </si>
  <si>
    <t>SD07089</t>
  </si>
  <si>
    <t>Abassiya</t>
  </si>
  <si>
    <t>SD07090</t>
  </si>
  <si>
    <t>Um Durein</t>
  </si>
  <si>
    <t>SD07091</t>
  </si>
  <si>
    <t>Ar Rashad</t>
  </si>
  <si>
    <t>SD07093</t>
  </si>
  <si>
    <t>Al Quoz</t>
  </si>
  <si>
    <t>SD07094</t>
  </si>
  <si>
    <t>Dilling</t>
  </si>
  <si>
    <t>SD07095</t>
  </si>
  <si>
    <t>Heiban</t>
  </si>
  <si>
    <t>SD07096</t>
  </si>
  <si>
    <t>Ar Reif Ash Shargi</t>
  </si>
  <si>
    <t>SD07097</t>
  </si>
  <si>
    <t>Kadugli</t>
  </si>
  <si>
    <t>SD07098</t>
  </si>
  <si>
    <t>Al Buram</t>
  </si>
  <si>
    <t>SD07099</t>
  </si>
  <si>
    <t>Habila - SK</t>
  </si>
  <si>
    <t>SD07103</t>
  </si>
  <si>
    <t>Abu Kershola</t>
  </si>
  <si>
    <t>SD07104</t>
  </si>
  <si>
    <t>Al Leri</t>
  </si>
  <si>
    <t>SD07105</t>
  </si>
  <si>
    <t>At Tadamon - SK</t>
  </si>
  <si>
    <t>SD07106</t>
  </si>
  <si>
    <t>Delami</t>
  </si>
  <si>
    <t>SD07107</t>
  </si>
  <si>
    <t>Ghadeer</t>
  </si>
  <si>
    <t>SD07108</t>
  </si>
  <si>
    <t>Blue Nile</t>
  </si>
  <si>
    <t>SD08</t>
  </si>
  <si>
    <t>Baw</t>
  </si>
  <si>
    <t>SD08104</t>
  </si>
  <si>
    <t>Ed Damazine</t>
  </si>
  <si>
    <t>SD08105</t>
  </si>
  <si>
    <t>Al Kurmuk</t>
  </si>
  <si>
    <t>SD08106</t>
  </si>
  <si>
    <t>Ar Rusayris</t>
  </si>
  <si>
    <t>SD08107</t>
  </si>
  <si>
    <t>At Tadamon - BN</t>
  </si>
  <si>
    <t>SD08108</t>
  </si>
  <si>
    <t>Geisan</t>
  </si>
  <si>
    <t>SD08109</t>
  </si>
  <si>
    <t>Wad Al Mahi</t>
  </si>
  <si>
    <t>SD08110</t>
  </si>
  <si>
    <t>White Nile</t>
  </si>
  <si>
    <t>SD09</t>
  </si>
  <si>
    <t>Ad Diwaim</t>
  </si>
  <si>
    <t>SD09044</t>
  </si>
  <si>
    <t>Um Rimta</t>
  </si>
  <si>
    <t>SD09045</t>
  </si>
  <si>
    <t>Rabak</t>
  </si>
  <si>
    <t>SD09046</t>
  </si>
  <si>
    <t>Kosti</t>
  </si>
  <si>
    <t>SD09047</t>
  </si>
  <si>
    <t>Tendalti</t>
  </si>
  <si>
    <t>SD09048</t>
  </si>
  <si>
    <t>As Salam / Ar Rawat</t>
  </si>
  <si>
    <t>SD09049</t>
  </si>
  <si>
    <t>Al Gitaina</t>
  </si>
  <si>
    <t>SD09050</t>
  </si>
  <si>
    <t>Aj Jabalain</t>
  </si>
  <si>
    <t>SD09051</t>
  </si>
  <si>
    <t>Guli</t>
  </si>
  <si>
    <t>SD09052</t>
  </si>
  <si>
    <t>Red Sea</t>
  </si>
  <si>
    <t>SD10</t>
  </si>
  <si>
    <t>Dordieb</t>
  </si>
  <si>
    <t>SD10063</t>
  </si>
  <si>
    <t>Port Sudan</t>
  </si>
  <si>
    <t>SD10064</t>
  </si>
  <si>
    <t>Tawkar</t>
  </si>
  <si>
    <t>SD10065</t>
  </si>
  <si>
    <t>Hala'ib</t>
  </si>
  <si>
    <t>SD10066</t>
  </si>
  <si>
    <t>Jubayt Elma'aadin</t>
  </si>
  <si>
    <t>SD10067</t>
  </si>
  <si>
    <t>Sawakin</t>
  </si>
  <si>
    <t>SD10068</t>
  </si>
  <si>
    <t>Al Ganab</t>
  </si>
  <si>
    <t>SD10069</t>
  </si>
  <si>
    <t>Haya</t>
  </si>
  <si>
    <t>SD10070</t>
  </si>
  <si>
    <t>Sinkat</t>
  </si>
  <si>
    <t>SD10071</t>
  </si>
  <si>
    <t>Agig</t>
  </si>
  <si>
    <t>SD10072</t>
  </si>
  <si>
    <t>Kassala</t>
  </si>
  <si>
    <t>SD11</t>
  </si>
  <si>
    <t>Halfa Aj Jadeedah</t>
  </si>
  <si>
    <t>SD11052</t>
  </si>
  <si>
    <t>Madeinat Kassala</t>
  </si>
  <si>
    <t>SD11053</t>
  </si>
  <si>
    <t>Reifi Gharb Kassala</t>
  </si>
  <si>
    <t>SD11054</t>
  </si>
  <si>
    <t>Reifi Aroma</t>
  </si>
  <si>
    <t>SD11055</t>
  </si>
  <si>
    <t>Reifi Kassla</t>
  </si>
  <si>
    <t>SD11056</t>
  </si>
  <si>
    <t>Reifi Shamal Ad Delta</t>
  </si>
  <si>
    <t>SD11057</t>
  </si>
  <si>
    <t>Reifi Hamashkureib</t>
  </si>
  <si>
    <t>SD11058</t>
  </si>
  <si>
    <t>Reifi Telkok</t>
  </si>
  <si>
    <t>SD11059</t>
  </si>
  <si>
    <t>Reifi Khashm Elgirba</t>
  </si>
  <si>
    <t>SD11060</t>
  </si>
  <si>
    <t>Reifi Wad Elhilaiw</t>
  </si>
  <si>
    <t>SD11061</t>
  </si>
  <si>
    <t>Reifi Nahr Atbara</t>
  </si>
  <si>
    <t>SD11062</t>
  </si>
  <si>
    <t>Gedaref</t>
  </si>
  <si>
    <t>SD12</t>
  </si>
  <si>
    <t>Al Butanah</t>
  </si>
  <si>
    <t>SD12073</t>
  </si>
  <si>
    <t>Al Fao</t>
  </si>
  <si>
    <t>SD12074</t>
  </si>
  <si>
    <t>Al Fashaga</t>
  </si>
  <si>
    <t>SD12075</t>
  </si>
  <si>
    <t>Al Qureisha</t>
  </si>
  <si>
    <t>SD12076</t>
  </si>
  <si>
    <t>Basundah</t>
  </si>
  <si>
    <t>SD12077</t>
  </si>
  <si>
    <t>Al Galabat Al Gharbyah - Kassab</t>
  </si>
  <si>
    <t>SD12078</t>
  </si>
  <si>
    <t>Gala'a Al Nahal</t>
  </si>
  <si>
    <t>SD12079</t>
  </si>
  <si>
    <t>Madeinat Al Gedaref</t>
  </si>
  <si>
    <t>SD12080</t>
  </si>
  <si>
    <t>Wasat Al Gedaref</t>
  </si>
  <si>
    <t>SD12081</t>
  </si>
  <si>
    <t>Al Mafaza</t>
  </si>
  <si>
    <t>SD12082</t>
  </si>
  <si>
    <t>Galabat Ash-Shargiah</t>
  </si>
  <si>
    <t>SD12083</t>
  </si>
  <si>
    <t>Ar Rahad</t>
  </si>
  <si>
    <t>SD12084</t>
  </si>
  <si>
    <t>North Kordofan</t>
  </si>
  <si>
    <t>SD13</t>
  </si>
  <si>
    <t>Um Rawaba</t>
  </si>
  <si>
    <t>SD13023</t>
  </si>
  <si>
    <t>Sheikan</t>
  </si>
  <si>
    <t>SD13024</t>
  </si>
  <si>
    <t>Soudari</t>
  </si>
  <si>
    <t>SD13025</t>
  </si>
  <si>
    <t>Bara</t>
  </si>
  <si>
    <t>SD13026</t>
  </si>
  <si>
    <t>Gebrat Al Sheikh</t>
  </si>
  <si>
    <t>SD13027</t>
  </si>
  <si>
    <t>Um Dam Haj Ahmed</t>
  </si>
  <si>
    <t>SD13028</t>
  </si>
  <si>
    <t>Gharb Bara</t>
  </si>
  <si>
    <t>SD13029</t>
  </si>
  <si>
    <t>SD13030</t>
  </si>
  <si>
    <t>Sennar</t>
  </si>
  <si>
    <t>SD14</t>
  </si>
  <si>
    <t>Abu Hujar</t>
  </si>
  <si>
    <t>SD14037</t>
  </si>
  <si>
    <t>SD14038</t>
  </si>
  <si>
    <t>Ad Dali</t>
  </si>
  <si>
    <t>SD14039</t>
  </si>
  <si>
    <t>Ad Dinder</t>
  </si>
  <si>
    <t>SD14040</t>
  </si>
  <si>
    <t>As Suki</t>
  </si>
  <si>
    <t>SD14041</t>
  </si>
  <si>
    <t>Sharg Sennar</t>
  </si>
  <si>
    <t>SD14042</t>
  </si>
  <si>
    <t>Sinja</t>
  </si>
  <si>
    <t>SD14043</t>
  </si>
  <si>
    <t>Aj Jazirah</t>
  </si>
  <si>
    <t>SD15</t>
  </si>
  <si>
    <t>Medani Al Kubra</t>
  </si>
  <si>
    <t>SD15030</t>
  </si>
  <si>
    <t>Janub Aj Jazirah</t>
  </si>
  <si>
    <t>SD15031</t>
  </si>
  <si>
    <t>Um Algura</t>
  </si>
  <si>
    <t>SD15032</t>
  </si>
  <si>
    <t>Sharg Aj Jazirah</t>
  </si>
  <si>
    <t>SD15033</t>
  </si>
  <si>
    <t>Al Hasahisa</t>
  </si>
  <si>
    <t>SD15034</t>
  </si>
  <si>
    <t>Al Kamlin</t>
  </si>
  <si>
    <t>SD15035</t>
  </si>
  <si>
    <t>Al Manaqil</t>
  </si>
  <si>
    <t>SD15036</t>
  </si>
  <si>
    <t>Al Qurashi</t>
  </si>
  <si>
    <t>SD15037</t>
  </si>
  <si>
    <t>River Nile</t>
  </si>
  <si>
    <t>SD16</t>
  </si>
  <si>
    <t>Abu Hamad</t>
  </si>
  <si>
    <t>SD16008</t>
  </si>
  <si>
    <t>Al Matama</t>
  </si>
  <si>
    <t>SD16009</t>
  </si>
  <si>
    <t>Shendi</t>
  </si>
  <si>
    <t>SD16010</t>
  </si>
  <si>
    <t>Ad Damar</t>
  </si>
  <si>
    <t>SD16011</t>
  </si>
  <si>
    <t>Atbara</t>
  </si>
  <si>
    <t>SD16012</t>
  </si>
  <si>
    <t>Barbar</t>
  </si>
  <si>
    <t>SD16013</t>
  </si>
  <si>
    <t>Al Buhaira</t>
  </si>
  <si>
    <t>SD16014</t>
  </si>
  <si>
    <t>Northern</t>
  </si>
  <si>
    <t>SD17</t>
  </si>
  <si>
    <t>Halfa</t>
  </si>
  <si>
    <t>SD17014</t>
  </si>
  <si>
    <t>Delgo</t>
  </si>
  <si>
    <t>SD17015</t>
  </si>
  <si>
    <t>Al Burgaig</t>
  </si>
  <si>
    <t>SD17016</t>
  </si>
  <si>
    <t>Dongola</t>
  </si>
  <si>
    <t>SD17017</t>
  </si>
  <si>
    <t>Al Golid</t>
  </si>
  <si>
    <t>SD17018</t>
  </si>
  <si>
    <t>Ad Dabbah</t>
  </si>
  <si>
    <t>SD17019</t>
  </si>
  <si>
    <t>Merwoe</t>
  </si>
  <si>
    <t>SD17020</t>
  </si>
  <si>
    <t>West Kordofan</t>
  </si>
  <si>
    <t>SD18</t>
  </si>
  <si>
    <t>Ghubaish</t>
  </si>
  <si>
    <t>SD18021</t>
  </si>
  <si>
    <t>An Nuhud</t>
  </si>
  <si>
    <t>SD18022</t>
  </si>
  <si>
    <t>Abu Zabad</t>
  </si>
  <si>
    <t>SD18028</t>
  </si>
  <si>
    <t>Wad Bandah</t>
  </si>
  <si>
    <t>SD18029</t>
  </si>
  <si>
    <t>Keilak</t>
  </si>
  <si>
    <t>SD18085</t>
  </si>
  <si>
    <t>As Salam - WK</t>
  </si>
  <si>
    <t>SD18086</t>
  </si>
  <si>
    <t>Abyei</t>
  </si>
  <si>
    <t>SD18087</t>
  </si>
  <si>
    <t>As Sunut</t>
  </si>
  <si>
    <t>SD18092</t>
  </si>
  <si>
    <t>Babanusa</t>
  </si>
  <si>
    <t>SD18100</t>
  </si>
  <si>
    <t>Al Lagowa</t>
  </si>
  <si>
    <t>SD18102</t>
  </si>
  <si>
    <t>Al Dibab</t>
  </si>
  <si>
    <t>SD18103</t>
  </si>
  <si>
    <t>Al Idia</t>
  </si>
  <si>
    <t>SD18104</t>
  </si>
  <si>
    <t>Al Khiwai</t>
  </si>
  <si>
    <t>SD18105</t>
  </si>
  <si>
    <t>Al Meiram</t>
  </si>
  <si>
    <t>SD18106</t>
  </si>
  <si>
    <t>IDPs</t>
  </si>
  <si>
    <t>Non-hosting Population</t>
  </si>
  <si>
    <t>Cluster PiN</t>
  </si>
  <si>
    <t>Cluster Severity</t>
  </si>
  <si>
    <t>Intercluser Severity</t>
  </si>
  <si>
    <t>*Please complete
(Sum, Max, Average)</t>
  </si>
  <si>
    <t>This is automatically calculated. Please make sure that the sum of your actvity cost matches the total requirements above</t>
  </si>
  <si>
    <t>Cluster Target</t>
  </si>
  <si>
    <t>Host CommunitySD01001</t>
  </si>
  <si>
    <t>Host CommunitySD01002</t>
  </si>
  <si>
    <t>Host CommunitySD01003</t>
  </si>
  <si>
    <t>Host CommunitySD01004</t>
  </si>
  <si>
    <t>Host CommunitySD01005</t>
  </si>
  <si>
    <t>Host CommunitySD01006</t>
  </si>
  <si>
    <t>Host CommunitySD01007</t>
  </si>
  <si>
    <t>Host CommunitySD02113</t>
  </si>
  <si>
    <t>Host CommunitySD02114</t>
  </si>
  <si>
    <t>Host CommunitySD02116</t>
  </si>
  <si>
    <t>Host CommunitySD02117</t>
  </si>
  <si>
    <t>Host CommunitySD02118</t>
  </si>
  <si>
    <t>Host CommunitySD02119</t>
  </si>
  <si>
    <t>Host CommunitySD02120</t>
  </si>
  <si>
    <t>Host CommunitySD02124</t>
  </si>
  <si>
    <t>Host CommunitySD02126</t>
  </si>
  <si>
    <t>Host CommunitySD02128</t>
  </si>
  <si>
    <t>Host CommunitySD02129</t>
  </si>
  <si>
    <t>Host CommunitySD02133</t>
  </si>
  <si>
    <t>Host CommunitySD02136</t>
  </si>
  <si>
    <t>Host CommunitySD02168</t>
  </si>
  <si>
    <t>Host CommunitySD02169</t>
  </si>
  <si>
    <t>Host CommunitySD02170</t>
  </si>
  <si>
    <t>Host CommunitySD02171</t>
  </si>
  <si>
    <t>Host CommunitySD03141</t>
  </si>
  <si>
    <t>Host CommunitySD03143</t>
  </si>
  <si>
    <t>Host CommunitySD03144</t>
  </si>
  <si>
    <t>Host CommunitySD03145</t>
  </si>
  <si>
    <t>Host CommunitySD03146</t>
  </si>
  <si>
    <t>Host CommunitySD03147</t>
  </si>
  <si>
    <t>Host CommunitySD03149</t>
  </si>
  <si>
    <t>Host CommunitySD03150</t>
  </si>
  <si>
    <t>Host CommunitySD03151</t>
  </si>
  <si>
    <t>Host CommunitySD03153</t>
  </si>
  <si>
    <t>Host CommunitySD03154</t>
  </si>
  <si>
    <t>Host CommunitySD03156</t>
  </si>
  <si>
    <t>Host CommunitySD03157</t>
  </si>
  <si>
    <t>Host CommunitySD03158</t>
  </si>
  <si>
    <t>Host CommunitySD03159</t>
  </si>
  <si>
    <t>Host CommunitySD03161</t>
  </si>
  <si>
    <t>Host CommunitySD03162</t>
  </si>
  <si>
    <t>Host CommunitySD03164</t>
  </si>
  <si>
    <t>Host CommunitySD03166</t>
  </si>
  <si>
    <t>Host CommunitySD03167</t>
  </si>
  <si>
    <t>Host CommunitySD03172</t>
  </si>
  <si>
    <t>Host CommunitySD04111</t>
  </si>
  <si>
    <t>Host CommunitySD04115</t>
  </si>
  <si>
    <t>Host CommunitySD04121</t>
  </si>
  <si>
    <t>Host CommunitySD04122</t>
  </si>
  <si>
    <t>Host CommunitySD04123</t>
  </si>
  <si>
    <t>Host CommunitySD04125</t>
  </si>
  <si>
    <t>Host CommunitySD04127</t>
  </si>
  <si>
    <t>Host CommunitySD04134</t>
  </si>
  <si>
    <t>Host CommunitySD05139</t>
  </si>
  <si>
    <t>Host CommunitySD05140</t>
  </si>
  <si>
    <t>Host CommunitySD05142</t>
  </si>
  <si>
    <t>Host CommunitySD05148</t>
  </si>
  <si>
    <t>Host CommunitySD05152</t>
  </si>
  <si>
    <t>Host CommunitySD05155</t>
  </si>
  <si>
    <t>Host CommunitySD05160</t>
  </si>
  <si>
    <t>Host CommunitySD05163</t>
  </si>
  <si>
    <t>Host CommunitySD05165</t>
  </si>
  <si>
    <t>Host CommunitySD06110</t>
  </si>
  <si>
    <t>Host CommunitySD06112</t>
  </si>
  <si>
    <t>Host CommunitySD06130</t>
  </si>
  <si>
    <t>Host CommunitySD06131</t>
  </si>
  <si>
    <t>Host CommunitySD06132</t>
  </si>
  <si>
    <t>Host CommunitySD06135</t>
  </si>
  <si>
    <t>Host CommunitySD06137</t>
  </si>
  <si>
    <t>Host CommunitySD06138</t>
  </si>
  <si>
    <t>Host CommunitySD06139</t>
  </si>
  <si>
    <t>Host CommunitySD07088</t>
  </si>
  <si>
    <t>Host CommunitySD07089</t>
  </si>
  <si>
    <t>Host CommunitySD07090</t>
  </si>
  <si>
    <t>Host CommunitySD07091</t>
  </si>
  <si>
    <t>Host CommunitySD07093</t>
  </si>
  <si>
    <t>Host CommunitySD07094</t>
  </si>
  <si>
    <t>Host CommunitySD07095</t>
  </si>
  <si>
    <t>Host CommunitySD07096</t>
  </si>
  <si>
    <t>Host CommunitySD07097</t>
  </si>
  <si>
    <t>Host CommunitySD07098</t>
  </si>
  <si>
    <t>Host CommunitySD07099</t>
  </si>
  <si>
    <t>Host CommunitySD07103</t>
  </si>
  <si>
    <t>Host CommunitySD07104</t>
  </si>
  <si>
    <t>Host CommunitySD07105</t>
  </si>
  <si>
    <t>Host CommunitySD07106</t>
  </si>
  <si>
    <t>Host CommunitySD07107</t>
  </si>
  <si>
    <t>Host CommunitySD07108</t>
  </si>
  <si>
    <t>Host CommunitySD08104</t>
  </si>
  <si>
    <t>Host CommunitySD08105</t>
  </si>
  <si>
    <t>Host CommunitySD08106</t>
  </si>
  <si>
    <t>Host CommunitySD08107</t>
  </si>
  <si>
    <t>Host CommunitySD08108</t>
  </si>
  <si>
    <t>Host CommunitySD08109</t>
  </si>
  <si>
    <t>Host CommunitySD08110</t>
  </si>
  <si>
    <t>Host CommunitySD09044</t>
  </si>
  <si>
    <t>Host CommunitySD09045</t>
  </si>
  <si>
    <t>Host CommunitySD09046</t>
  </si>
  <si>
    <t>Host CommunitySD09047</t>
  </si>
  <si>
    <t>Host CommunitySD09048</t>
  </si>
  <si>
    <t>Host CommunitySD09049</t>
  </si>
  <si>
    <t>Host CommunitySD09050</t>
  </si>
  <si>
    <t>Host CommunitySD09051</t>
  </si>
  <si>
    <t>Host CommunitySD09052</t>
  </si>
  <si>
    <t>Host CommunitySD10063</t>
  </si>
  <si>
    <t>Host CommunitySD10064</t>
  </si>
  <si>
    <t>Host CommunitySD10065</t>
  </si>
  <si>
    <t>Host CommunitySD10066</t>
  </si>
  <si>
    <t>Host CommunitySD10067</t>
  </si>
  <si>
    <t>Host CommunitySD10068</t>
  </si>
  <si>
    <t>Host CommunitySD10069</t>
  </si>
  <si>
    <t>Host CommunitySD10070</t>
  </si>
  <si>
    <t>Host CommunitySD10071</t>
  </si>
  <si>
    <t>Host CommunitySD10072</t>
  </si>
  <si>
    <t>Host CommunitySD11052</t>
  </si>
  <si>
    <t>Host CommunitySD11053</t>
  </si>
  <si>
    <t>Host CommunitySD11054</t>
  </si>
  <si>
    <t>Host CommunitySD11055</t>
  </si>
  <si>
    <t>Host CommunitySD11056</t>
  </si>
  <si>
    <t>Host CommunitySD11057</t>
  </si>
  <si>
    <t>Host CommunitySD11058</t>
  </si>
  <si>
    <t>Host CommunitySD11059</t>
  </si>
  <si>
    <t>Host CommunitySD11060</t>
  </si>
  <si>
    <t>Host CommunitySD11061</t>
  </si>
  <si>
    <t>Host CommunitySD11062</t>
  </si>
  <si>
    <t>Host CommunitySD12073</t>
  </si>
  <si>
    <t>Host CommunitySD12074</t>
  </si>
  <si>
    <t>Host CommunitySD12075</t>
  </si>
  <si>
    <t>Host CommunitySD12076</t>
  </si>
  <si>
    <t>Host CommunitySD12077</t>
  </si>
  <si>
    <t>Host CommunitySD12078</t>
  </si>
  <si>
    <t>Host CommunitySD12079</t>
  </si>
  <si>
    <t>Host CommunitySD12080</t>
  </si>
  <si>
    <t>Host CommunitySD12081</t>
  </si>
  <si>
    <t>Host CommunitySD12082</t>
  </si>
  <si>
    <t>Host CommunitySD12083</t>
  </si>
  <si>
    <t>Host CommunitySD12084</t>
  </si>
  <si>
    <t>Host CommunitySD13023</t>
  </si>
  <si>
    <t>Host CommunitySD13024</t>
  </si>
  <si>
    <t>Host CommunitySD13025</t>
  </si>
  <si>
    <t>Host CommunitySD13026</t>
  </si>
  <si>
    <t>Host CommunitySD13027</t>
  </si>
  <si>
    <t>Host CommunitySD13028</t>
  </si>
  <si>
    <t>Host CommunitySD13029</t>
  </si>
  <si>
    <t>Host CommunitySD13030</t>
  </si>
  <si>
    <t>Host CommunitySD14037</t>
  </si>
  <si>
    <t>Host CommunitySD14038</t>
  </si>
  <si>
    <t>Host CommunitySD14039</t>
  </si>
  <si>
    <t>Host CommunitySD14040</t>
  </si>
  <si>
    <t>Host CommunitySD14041</t>
  </si>
  <si>
    <t>Host CommunitySD14042</t>
  </si>
  <si>
    <t>Host CommunitySD14043</t>
  </si>
  <si>
    <t>Host CommunitySD15030</t>
  </si>
  <si>
    <t>Host CommunitySD15031</t>
  </si>
  <si>
    <t>Host CommunitySD15032</t>
  </si>
  <si>
    <t>Host CommunitySD15033</t>
  </si>
  <si>
    <t>Host CommunitySD15034</t>
  </si>
  <si>
    <t>Host CommunitySD15035</t>
  </si>
  <si>
    <t>Host CommunitySD15036</t>
  </si>
  <si>
    <t>Host CommunitySD15037</t>
  </si>
  <si>
    <t>Host CommunitySD16008</t>
  </si>
  <si>
    <t>Host CommunitySD16009</t>
  </si>
  <si>
    <t>Host CommunitySD16010</t>
  </si>
  <si>
    <t>Host CommunitySD16011</t>
  </si>
  <si>
    <t>Host CommunitySD16012</t>
  </si>
  <si>
    <t>Host CommunitySD16013</t>
  </si>
  <si>
    <t>Host CommunitySD16014</t>
  </si>
  <si>
    <t>Host CommunitySD17014</t>
  </si>
  <si>
    <t>Host CommunitySD17015</t>
  </si>
  <si>
    <t>Host CommunitySD17016</t>
  </si>
  <si>
    <t>Host CommunitySD17017</t>
  </si>
  <si>
    <t>Host CommunitySD17018</t>
  </si>
  <si>
    <t>Host CommunitySD17019</t>
  </si>
  <si>
    <t>Host CommunitySD17020</t>
  </si>
  <si>
    <t>Host CommunitySD18021</t>
  </si>
  <si>
    <t>Host CommunitySD18022</t>
  </si>
  <si>
    <t>Host CommunitySD18028</t>
  </si>
  <si>
    <t>Host CommunitySD18029</t>
  </si>
  <si>
    <t>Host CommunitySD18085</t>
  </si>
  <si>
    <t>Host CommunitySD18086</t>
  </si>
  <si>
    <t>Host CommunitySD18087</t>
  </si>
  <si>
    <t>Host CommunitySD18092</t>
  </si>
  <si>
    <t>Host CommunitySD18100</t>
  </si>
  <si>
    <t>Host CommunitySD18102</t>
  </si>
  <si>
    <t>Host CommunitySD18103</t>
  </si>
  <si>
    <t>Host CommunitySD18104</t>
  </si>
  <si>
    <t>Host CommunitySD18105</t>
  </si>
  <si>
    <t>Host CommunitySD18106</t>
  </si>
  <si>
    <t>IDPsSD01001</t>
  </si>
  <si>
    <t>IDPsSD01002</t>
  </si>
  <si>
    <t>IDPsSD01003</t>
  </si>
  <si>
    <t>IDPsSD01004</t>
  </si>
  <si>
    <t>IDPsSD01005</t>
  </si>
  <si>
    <t>IDPsSD01006</t>
  </si>
  <si>
    <t>IDPsSD01007</t>
  </si>
  <si>
    <t>IDPsSD02113</t>
  </si>
  <si>
    <t>IDPsSD02114</t>
  </si>
  <si>
    <t>IDPsSD02116</t>
  </si>
  <si>
    <t>IDPsSD02117</t>
  </si>
  <si>
    <t>IDPsSD02118</t>
  </si>
  <si>
    <t>IDPsSD02119</t>
  </si>
  <si>
    <t>IDPsSD02120</t>
  </si>
  <si>
    <t>IDPsSD02124</t>
  </si>
  <si>
    <t>IDPsSD02126</t>
  </si>
  <si>
    <t>IDPsSD02128</t>
  </si>
  <si>
    <t>IDPsSD02129</t>
  </si>
  <si>
    <t>IDPsSD02133</t>
  </si>
  <si>
    <t>IDPsSD02136</t>
  </si>
  <si>
    <t>IDPsSD02168</t>
  </si>
  <si>
    <t>IDPsSD02169</t>
  </si>
  <si>
    <t>IDPsSD02170</t>
  </si>
  <si>
    <t>IDPsSD02171</t>
  </si>
  <si>
    <t>IDPsSD03141</t>
  </si>
  <si>
    <t>IDPsSD03143</t>
  </si>
  <si>
    <t>IDPsSD03144</t>
  </si>
  <si>
    <t>IDPsSD03145</t>
  </si>
  <si>
    <t>IDPsSD03146</t>
  </si>
  <si>
    <t>IDPsSD03147</t>
  </si>
  <si>
    <t>IDPsSD03149</t>
  </si>
  <si>
    <t>IDPsSD03150</t>
  </si>
  <si>
    <t>IDPsSD03151</t>
  </si>
  <si>
    <t>IDPsSD03153</t>
  </si>
  <si>
    <t>IDPsSD03154</t>
  </si>
  <si>
    <t>IDPsSD03156</t>
  </si>
  <si>
    <t>IDPsSD03157</t>
  </si>
  <si>
    <t>IDPsSD03158</t>
  </si>
  <si>
    <t>IDPsSD03159</t>
  </si>
  <si>
    <t>IDPsSD03161</t>
  </si>
  <si>
    <t>IDPsSD03162</t>
  </si>
  <si>
    <t>IDPsSD03164</t>
  </si>
  <si>
    <t>IDPsSD03166</t>
  </si>
  <si>
    <t>IDPsSD03167</t>
  </si>
  <si>
    <t>IDPsSD03172</t>
  </si>
  <si>
    <t>IDPsSD04111</t>
  </si>
  <si>
    <t>IDPsSD04115</t>
  </si>
  <si>
    <t>IDPsSD04121</t>
  </si>
  <si>
    <t>IDPsSD04122</t>
  </si>
  <si>
    <t>IDPsSD04123</t>
  </si>
  <si>
    <t>IDPsSD04125</t>
  </si>
  <si>
    <t>IDPsSD04127</t>
  </si>
  <si>
    <t>IDPsSD04134</t>
  </si>
  <si>
    <t>IDPsSD05139</t>
  </si>
  <si>
    <t>IDPsSD05140</t>
  </si>
  <si>
    <t>IDPsSD05142</t>
  </si>
  <si>
    <t>IDPsSD05148</t>
  </si>
  <si>
    <t>IDPsSD05152</t>
  </si>
  <si>
    <t>IDPsSD05155</t>
  </si>
  <si>
    <t>IDPsSD05160</t>
  </si>
  <si>
    <t>IDPsSD05163</t>
  </si>
  <si>
    <t>IDPsSD05165</t>
  </si>
  <si>
    <t>IDPsSD06110</t>
  </si>
  <si>
    <t>IDPsSD06112</t>
  </si>
  <si>
    <t>IDPsSD06130</t>
  </si>
  <si>
    <t>IDPsSD06131</t>
  </si>
  <si>
    <t>IDPsSD06132</t>
  </si>
  <si>
    <t>IDPsSD06135</t>
  </si>
  <si>
    <t>IDPsSD06137</t>
  </si>
  <si>
    <t>IDPsSD06138</t>
  </si>
  <si>
    <t>IDPsSD06139</t>
  </si>
  <si>
    <t>IDPsSD07088</t>
  </si>
  <si>
    <t>IDPsSD07089</t>
  </si>
  <si>
    <t>IDPsSD07090</t>
  </si>
  <si>
    <t>IDPsSD07091</t>
  </si>
  <si>
    <t>IDPsSD07093</t>
  </si>
  <si>
    <t>IDPsSD07094</t>
  </si>
  <si>
    <t>IDPsSD07095</t>
  </si>
  <si>
    <t>IDPsSD07096</t>
  </si>
  <si>
    <t>IDPsSD07097</t>
  </si>
  <si>
    <t>IDPsSD07098</t>
  </si>
  <si>
    <t>IDPsSD07099</t>
  </si>
  <si>
    <t>IDPsSD07103</t>
  </si>
  <si>
    <t>IDPsSD07104</t>
  </si>
  <si>
    <t>IDPsSD07105</t>
  </si>
  <si>
    <t>IDPsSD07106</t>
  </si>
  <si>
    <t>IDPsSD07107</t>
  </si>
  <si>
    <t>IDPsSD07108</t>
  </si>
  <si>
    <t>IDPsSD08104</t>
  </si>
  <si>
    <t>IDPsSD08105</t>
  </si>
  <si>
    <t>IDPsSD08106</t>
  </si>
  <si>
    <t>IDPsSD08107</t>
  </si>
  <si>
    <t>IDPsSD08108</t>
  </si>
  <si>
    <t>IDPsSD08109</t>
  </si>
  <si>
    <t>IDPsSD08110</t>
  </si>
  <si>
    <t>IDPsSD09044</t>
  </si>
  <si>
    <t>IDPsSD09045</t>
  </si>
  <si>
    <t>IDPsSD09046</t>
  </si>
  <si>
    <t>IDPsSD09047</t>
  </si>
  <si>
    <t>IDPsSD09048</t>
  </si>
  <si>
    <t>IDPsSD09049</t>
  </si>
  <si>
    <t>IDPsSD09050</t>
  </si>
  <si>
    <t>IDPsSD09051</t>
  </si>
  <si>
    <t>IDPsSD09052</t>
  </si>
  <si>
    <t>IDPsSD10063</t>
  </si>
  <si>
    <t>IDPsSD10064</t>
  </si>
  <si>
    <t>IDPsSD10065</t>
  </si>
  <si>
    <t>IDPsSD10066</t>
  </si>
  <si>
    <t>IDPsSD10067</t>
  </si>
  <si>
    <t>IDPsSD10068</t>
  </si>
  <si>
    <t>IDPsSD10069</t>
  </si>
  <si>
    <t>IDPsSD10070</t>
  </si>
  <si>
    <t>IDPsSD10071</t>
  </si>
  <si>
    <t>IDPsSD10072</t>
  </si>
  <si>
    <t>IDPsSD11052</t>
  </si>
  <si>
    <t>IDPsSD11053</t>
  </si>
  <si>
    <t>IDPsSD11054</t>
  </si>
  <si>
    <t>IDPsSD11055</t>
  </si>
  <si>
    <t>IDPsSD11056</t>
  </si>
  <si>
    <t>IDPsSD11057</t>
  </si>
  <si>
    <t>IDPsSD11058</t>
  </si>
  <si>
    <t>IDPsSD11059</t>
  </si>
  <si>
    <t>IDPsSD11060</t>
  </si>
  <si>
    <t>IDPsSD11061</t>
  </si>
  <si>
    <t>IDPsSD11062</t>
  </si>
  <si>
    <t>IDPsSD12073</t>
  </si>
  <si>
    <t>IDPsSD12074</t>
  </si>
  <si>
    <t>IDPsSD12075</t>
  </si>
  <si>
    <t>IDPsSD12076</t>
  </si>
  <si>
    <t>IDPsSD12077</t>
  </si>
  <si>
    <t>IDPsSD12078</t>
  </si>
  <si>
    <t>IDPsSD12079</t>
  </si>
  <si>
    <t>IDPsSD12080</t>
  </si>
  <si>
    <t>IDPsSD12081</t>
  </si>
  <si>
    <t>IDPsSD12082</t>
  </si>
  <si>
    <t>IDPsSD12083</t>
  </si>
  <si>
    <t>IDPsSD12084</t>
  </si>
  <si>
    <t>IDPsSD13023</t>
  </si>
  <si>
    <t>IDPsSD13024</t>
  </si>
  <si>
    <t>IDPsSD13025</t>
  </si>
  <si>
    <t>IDPsSD13026</t>
  </si>
  <si>
    <t>IDPsSD13027</t>
  </si>
  <si>
    <t>IDPsSD13028</t>
  </si>
  <si>
    <t>IDPsSD13029</t>
  </si>
  <si>
    <t>IDPsSD13030</t>
  </si>
  <si>
    <t>IDPsSD14037</t>
  </si>
  <si>
    <t>IDPsSD14038</t>
  </si>
  <si>
    <t>IDPsSD14039</t>
  </si>
  <si>
    <t>IDPsSD14040</t>
  </si>
  <si>
    <t>IDPsSD14041</t>
  </si>
  <si>
    <t>IDPsSD14042</t>
  </si>
  <si>
    <t>IDPsSD14043</t>
  </si>
  <si>
    <t>IDPsSD15030</t>
  </si>
  <si>
    <t>IDPsSD15031</t>
  </si>
  <si>
    <t>IDPsSD15032</t>
  </si>
  <si>
    <t>IDPsSD15033</t>
  </si>
  <si>
    <t>IDPsSD15034</t>
  </si>
  <si>
    <t>IDPsSD15035</t>
  </si>
  <si>
    <t>IDPsSD15036</t>
  </si>
  <si>
    <t>IDPsSD15037</t>
  </si>
  <si>
    <t>IDPsSD16008</t>
  </si>
  <si>
    <t>IDPsSD16009</t>
  </si>
  <si>
    <t>IDPsSD16010</t>
  </si>
  <si>
    <t>IDPsSD16011</t>
  </si>
  <si>
    <t>IDPsSD16012</t>
  </si>
  <si>
    <t>IDPsSD16013</t>
  </si>
  <si>
    <t>IDPsSD16014</t>
  </si>
  <si>
    <t>IDPsSD17014</t>
  </si>
  <si>
    <t>IDPsSD17015</t>
  </si>
  <si>
    <t>IDPsSD17016</t>
  </si>
  <si>
    <t>IDPsSD17017</t>
  </si>
  <si>
    <t>IDPsSD17018</t>
  </si>
  <si>
    <t>IDPsSD17019</t>
  </si>
  <si>
    <t>IDPsSD17020</t>
  </si>
  <si>
    <t>IDPsSD18021</t>
  </si>
  <si>
    <t>IDPsSD18022</t>
  </si>
  <si>
    <t>IDPsSD18028</t>
  </si>
  <si>
    <t>IDPsSD18029</t>
  </si>
  <si>
    <t>IDPsSD18085</t>
  </si>
  <si>
    <t>IDPsSD18086</t>
  </si>
  <si>
    <t>IDPsSD18087</t>
  </si>
  <si>
    <t>IDPsSD18092</t>
  </si>
  <si>
    <t>IDPsSD18100</t>
  </si>
  <si>
    <t>IDPsSD18102</t>
  </si>
  <si>
    <t>IDPsSD18103</t>
  </si>
  <si>
    <t>IDPsSD18104</t>
  </si>
  <si>
    <t>IDPsSD18105</t>
  </si>
  <si>
    <t>IDPsSD18106</t>
  </si>
  <si>
    <t>Non-hosting PopulationSD01001</t>
  </si>
  <si>
    <t>Non-hosting PopulationSD01002</t>
  </si>
  <si>
    <t>Non-hosting PopulationSD01003</t>
  </si>
  <si>
    <t>Non-hosting PopulationSD01004</t>
  </si>
  <si>
    <t>Non-hosting PopulationSD01005</t>
  </si>
  <si>
    <t>Non-hosting PopulationSD01006</t>
  </si>
  <si>
    <t>Non-hosting PopulationSD01007</t>
  </si>
  <si>
    <t>Non-hosting PopulationSD02113</t>
  </si>
  <si>
    <t>Non-hosting PopulationSD02114</t>
  </si>
  <si>
    <t>Non-hosting PopulationSD02116</t>
  </si>
  <si>
    <t>Non-hosting PopulationSD02117</t>
  </si>
  <si>
    <t>Non-hosting PopulationSD02118</t>
  </si>
  <si>
    <t>Non-hosting PopulationSD02119</t>
  </si>
  <si>
    <t>Non-hosting PopulationSD02120</t>
  </si>
  <si>
    <t>Non-hosting PopulationSD02124</t>
  </si>
  <si>
    <t>Non-hosting PopulationSD02126</t>
  </si>
  <si>
    <t>Non-hosting PopulationSD02128</t>
  </si>
  <si>
    <t>Non-hosting PopulationSD02129</t>
  </si>
  <si>
    <t>Non-hosting PopulationSD02133</t>
  </si>
  <si>
    <t>Non-hosting PopulationSD02136</t>
  </si>
  <si>
    <t>Non-hosting PopulationSD02168</t>
  </si>
  <si>
    <t>Non-hosting PopulationSD02169</t>
  </si>
  <si>
    <t>Non-hosting PopulationSD02170</t>
  </si>
  <si>
    <t>Non-hosting PopulationSD02171</t>
  </si>
  <si>
    <t>Non-hosting PopulationSD03141</t>
  </si>
  <si>
    <t>Non-hosting PopulationSD03143</t>
  </si>
  <si>
    <t>Non-hosting PopulationSD03144</t>
  </si>
  <si>
    <t>Non-hosting PopulationSD03145</t>
  </si>
  <si>
    <t>Non-hosting PopulationSD03146</t>
  </si>
  <si>
    <t>Non-hosting PopulationSD03147</t>
  </si>
  <si>
    <t>Non-hosting PopulationSD03149</t>
  </si>
  <si>
    <t>Non-hosting PopulationSD03150</t>
  </si>
  <si>
    <t>Non-hosting PopulationSD03151</t>
  </si>
  <si>
    <t>Non-hosting PopulationSD03153</t>
  </si>
  <si>
    <t>Non-hosting PopulationSD03154</t>
  </si>
  <si>
    <t>Non-hosting PopulationSD03156</t>
  </si>
  <si>
    <t>Non-hosting PopulationSD03157</t>
  </si>
  <si>
    <t>Non-hosting PopulationSD03158</t>
  </si>
  <si>
    <t>Non-hosting PopulationSD03159</t>
  </si>
  <si>
    <t>Non-hosting PopulationSD03161</t>
  </si>
  <si>
    <t>Non-hosting PopulationSD03162</t>
  </si>
  <si>
    <t>Non-hosting PopulationSD03164</t>
  </si>
  <si>
    <t>Non-hosting PopulationSD03166</t>
  </si>
  <si>
    <t>Non-hosting PopulationSD03167</t>
  </si>
  <si>
    <t>Non-hosting PopulationSD03172</t>
  </si>
  <si>
    <t>Non-hosting PopulationSD04111</t>
  </si>
  <si>
    <t>Non-hosting PopulationSD04115</t>
  </si>
  <si>
    <t>Non-hosting PopulationSD04121</t>
  </si>
  <si>
    <t>Non-hosting PopulationSD04122</t>
  </si>
  <si>
    <t>Non-hosting PopulationSD04123</t>
  </si>
  <si>
    <t>Non-hosting PopulationSD04125</t>
  </si>
  <si>
    <t>Non-hosting PopulationSD04127</t>
  </si>
  <si>
    <t>Non-hosting PopulationSD04134</t>
  </si>
  <si>
    <t>Non-hosting PopulationSD05139</t>
  </si>
  <si>
    <t>Non-hosting PopulationSD05140</t>
  </si>
  <si>
    <t>Non-hosting PopulationSD05142</t>
  </si>
  <si>
    <t>Non-hosting PopulationSD05148</t>
  </si>
  <si>
    <t>Non-hosting PopulationSD05152</t>
  </si>
  <si>
    <t>Non-hosting PopulationSD05155</t>
  </si>
  <si>
    <t>Non-hosting PopulationSD05160</t>
  </si>
  <si>
    <t>Non-hosting PopulationSD05163</t>
  </si>
  <si>
    <t>Non-hosting PopulationSD05165</t>
  </si>
  <si>
    <t>Non-hosting PopulationSD06110</t>
  </si>
  <si>
    <t>Non-hosting PopulationSD06112</t>
  </si>
  <si>
    <t>Non-hosting PopulationSD06130</t>
  </si>
  <si>
    <t>Non-hosting PopulationSD06131</t>
  </si>
  <si>
    <t>Non-hosting PopulationSD06132</t>
  </si>
  <si>
    <t>Non-hosting PopulationSD06135</t>
  </si>
  <si>
    <t>Non-hosting PopulationSD06137</t>
  </si>
  <si>
    <t>Non-hosting PopulationSD06138</t>
  </si>
  <si>
    <t>Non-hosting PopulationSD06139</t>
  </si>
  <si>
    <t>Non-hosting PopulationSD07088</t>
  </si>
  <si>
    <t>Non-hosting PopulationSD07089</t>
  </si>
  <si>
    <t>Non-hosting PopulationSD07090</t>
  </si>
  <si>
    <t>Non-hosting PopulationSD07091</t>
  </si>
  <si>
    <t>Non-hosting PopulationSD07093</t>
  </si>
  <si>
    <t>Non-hosting PopulationSD07094</t>
  </si>
  <si>
    <t>Non-hosting PopulationSD07095</t>
  </si>
  <si>
    <t>Non-hosting PopulationSD07096</t>
  </si>
  <si>
    <t>Non-hosting PopulationSD07097</t>
  </si>
  <si>
    <t>Non-hosting PopulationSD07098</t>
  </si>
  <si>
    <t>Non-hosting PopulationSD07099</t>
  </si>
  <si>
    <t>Non-hosting PopulationSD07103</t>
  </si>
  <si>
    <t>Non-hosting PopulationSD07104</t>
  </si>
  <si>
    <t>Non-hosting PopulationSD07105</t>
  </si>
  <si>
    <t>Non-hosting PopulationSD07106</t>
  </si>
  <si>
    <t>Non-hosting PopulationSD07107</t>
  </si>
  <si>
    <t>Non-hosting PopulationSD07108</t>
  </si>
  <si>
    <t>Non-hosting PopulationSD08104</t>
  </si>
  <si>
    <t>Non-hosting PopulationSD08105</t>
  </si>
  <si>
    <t>Non-hosting PopulationSD08106</t>
  </si>
  <si>
    <t>Non-hosting PopulationSD08107</t>
  </si>
  <si>
    <t>Non-hosting PopulationSD08108</t>
  </si>
  <si>
    <t>Non-hosting PopulationSD08109</t>
  </si>
  <si>
    <t>Non-hosting PopulationSD08110</t>
  </si>
  <si>
    <t>Non-hosting PopulationSD09044</t>
  </si>
  <si>
    <t>Non-hosting PopulationSD09045</t>
  </si>
  <si>
    <t>Non-hosting PopulationSD09046</t>
  </si>
  <si>
    <t>Non-hosting PopulationSD09047</t>
  </si>
  <si>
    <t>Non-hosting PopulationSD09048</t>
  </si>
  <si>
    <t>Non-hosting PopulationSD09049</t>
  </si>
  <si>
    <t>Non-hosting PopulationSD09050</t>
  </si>
  <si>
    <t>Non-hosting PopulationSD09051</t>
  </si>
  <si>
    <t>Non-hosting PopulationSD09052</t>
  </si>
  <si>
    <t>Non-hosting PopulationSD10063</t>
  </si>
  <si>
    <t>Non-hosting PopulationSD10064</t>
  </si>
  <si>
    <t>Non-hosting PopulationSD10065</t>
  </si>
  <si>
    <t>Non-hosting PopulationSD10066</t>
  </si>
  <si>
    <t>Non-hosting PopulationSD10067</t>
  </si>
  <si>
    <t>Non-hosting PopulationSD10068</t>
  </si>
  <si>
    <t>Non-hosting PopulationSD10069</t>
  </si>
  <si>
    <t>Non-hosting PopulationSD10070</t>
  </si>
  <si>
    <t>Non-hosting PopulationSD10071</t>
  </si>
  <si>
    <t>Non-hosting PopulationSD10072</t>
  </si>
  <si>
    <t>Non-hosting PopulationSD11052</t>
  </si>
  <si>
    <t>Non-hosting PopulationSD11053</t>
  </si>
  <si>
    <t>Non-hosting PopulationSD11054</t>
  </si>
  <si>
    <t>Non-hosting PopulationSD11055</t>
  </si>
  <si>
    <t>Non-hosting PopulationSD11056</t>
  </si>
  <si>
    <t>Non-hosting PopulationSD11057</t>
  </si>
  <si>
    <t>Non-hosting PopulationSD11058</t>
  </si>
  <si>
    <t>Non-hosting PopulationSD11059</t>
  </si>
  <si>
    <t>Non-hosting PopulationSD11060</t>
  </si>
  <si>
    <t>Non-hosting PopulationSD11061</t>
  </si>
  <si>
    <t>Non-hosting PopulationSD11062</t>
  </si>
  <si>
    <t>Non-hosting PopulationSD12073</t>
  </si>
  <si>
    <t>Non-hosting PopulationSD12074</t>
  </si>
  <si>
    <t>Non-hosting PopulationSD12075</t>
  </si>
  <si>
    <t>Non-hosting PopulationSD12076</t>
  </si>
  <si>
    <t>Non-hosting PopulationSD12077</t>
  </si>
  <si>
    <t>Non-hosting PopulationSD12078</t>
  </si>
  <si>
    <t>Non-hosting PopulationSD12079</t>
  </si>
  <si>
    <t>Non-hosting PopulationSD12080</t>
  </si>
  <si>
    <t>Non-hosting PopulationSD12081</t>
  </si>
  <si>
    <t>Non-hosting PopulationSD12082</t>
  </si>
  <si>
    <t>Non-hosting PopulationSD12083</t>
  </si>
  <si>
    <t>Non-hosting PopulationSD12084</t>
  </si>
  <si>
    <t>Non-hosting PopulationSD13023</t>
  </si>
  <si>
    <t>Non-hosting PopulationSD13024</t>
  </si>
  <si>
    <t>Non-hosting PopulationSD13025</t>
  </si>
  <si>
    <t>Non-hosting PopulationSD13026</t>
  </si>
  <si>
    <t>Non-hosting PopulationSD13027</t>
  </si>
  <si>
    <t>Non-hosting PopulationSD13028</t>
  </si>
  <si>
    <t>Non-hosting PopulationSD13029</t>
  </si>
  <si>
    <t>Non-hosting PopulationSD13030</t>
  </si>
  <si>
    <t>Non-hosting PopulationSD14037</t>
  </si>
  <si>
    <t>Non-hosting PopulationSD14038</t>
  </si>
  <si>
    <t>Non-hosting PopulationSD14039</t>
  </si>
  <si>
    <t>Non-hosting PopulationSD14040</t>
  </si>
  <si>
    <t>Non-hosting PopulationSD14041</t>
  </si>
  <si>
    <t>Non-hosting PopulationSD14042</t>
  </si>
  <si>
    <t>Non-hosting PopulationSD14043</t>
  </si>
  <si>
    <t>Non-hosting PopulationSD15030</t>
  </si>
  <si>
    <t>Non-hosting PopulationSD15031</t>
  </si>
  <si>
    <t>Non-hosting PopulationSD15032</t>
  </si>
  <si>
    <t>Non-hosting PopulationSD15033</t>
  </si>
  <si>
    <t>Non-hosting PopulationSD15034</t>
  </si>
  <si>
    <t>Non-hosting PopulationSD15035</t>
  </si>
  <si>
    <t>Non-hosting PopulationSD15036</t>
  </si>
  <si>
    <t>Non-hosting PopulationSD15037</t>
  </si>
  <si>
    <t>Non-hosting PopulationSD16008</t>
  </si>
  <si>
    <t>Non-hosting PopulationSD16009</t>
  </si>
  <si>
    <t>Non-hosting PopulationSD16010</t>
  </si>
  <si>
    <t>Non-hosting PopulationSD16011</t>
  </si>
  <si>
    <t>Non-hosting PopulationSD16012</t>
  </si>
  <si>
    <t>Non-hosting PopulationSD16013</t>
  </si>
  <si>
    <t>Non-hosting PopulationSD16014</t>
  </si>
  <si>
    <t>Non-hosting PopulationSD17014</t>
  </si>
  <si>
    <t>Non-hosting PopulationSD17015</t>
  </si>
  <si>
    <t>Non-hosting PopulationSD17016</t>
  </si>
  <si>
    <t>Non-hosting PopulationSD17017</t>
  </si>
  <si>
    <t>Non-hosting PopulationSD17018</t>
  </si>
  <si>
    <t>Non-hosting PopulationSD17019</t>
  </si>
  <si>
    <t>Non-hosting PopulationSD17020</t>
  </si>
  <si>
    <t>Non-hosting PopulationSD18021</t>
  </si>
  <si>
    <t>Non-hosting PopulationSD18022</t>
  </si>
  <si>
    <t>Non-hosting PopulationSD18028</t>
  </si>
  <si>
    <t>Non-hosting PopulationSD18029</t>
  </si>
  <si>
    <t>Non-hosting PopulationSD18085</t>
  </si>
  <si>
    <t>Non-hosting PopulationSD18086</t>
  </si>
  <si>
    <t>Non-hosting PopulationSD18087</t>
  </si>
  <si>
    <t>Non-hosting PopulationSD18092</t>
  </si>
  <si>
    <t>Non-hosting PopulationSD18100</t>
  </si>
  <si>
    <t>Non-hosting PopulationSD18102</t>
  </si>
  <si>
    <t>Non-hosting PopulationSD18103</t>
  </si>
  <si>
    <t>Non-hosting PopulationSD18104</t>
  </si>
  <si>
    <t>Non-hosting PopulationSD18105</t>
  </si>
  <si>
    <t>Non-hosting PopulationSD18106</t>
  </si>
  <si>
    <t>Calculation method of your targets</t>
  </si>
  <si>
    <t>Female</t>
  </si>
  <si>
    <t xml:space="preserve">Male </t>
  </si>
  <si>
    <t>Children (&lt;18)</t>
  </si>
  <si>
    <t>Adults (18 - 59)</t>
  </si>
  <si>
    <t>Elderly (60+)</t>
  </si>
  <si>
    <t>% with disabilities</t>
  </si>
  <si>
    <t>Sum</t>
  </si>
  <si>
    <t>*Review these cluster activities for 2025 (add/remove/reword)</t>
  </si>
  <si>
    <t>Activity</t>
  </si>
  <si>
    <t>Indicator</t>
  </si>
  <si>
    <t>iCode</t>
  </si>
  <si>
    <t>Unit for indicator (per person or other - kindly specify)</t>
  </si>
  <si>
    <t>Sum activity</t>
  </si>
  <si>
    <t>Unit cost</t>
  </si>
  <si>
    <t>Cost of activity</t>
  </si>
  <si>
    <t>Please do not delete this sheet or tables in this sheet!</t>
  </si>
  <si>
    <t>Tables in this sheet are being used in formulas in other sheets!</t>
  </si>
  <si>
    <t>Flag Name</t>
  </si>
  <si>
    <t xml:space="preserve">Flag Description </t>
  </si>
  <si>
    <t xml:space="preserve">Explanation for proposing another threshold </t>
  </si>
  <si>
    <t>Purpose</t>
  </si>
  <si>
    <t>Target Flagging criteria &amp; thresholds</t>
  </si>
  <si>
    <t xml:space="preserve">In localities with inter-sectoral severity 4, no more than 30% difference between target-to-PiN ratio VS. people reached in 2024 </t>
  </si>
  <si>
    <t xml:space="preserve">In localities with inter-sectoral severity 3, no more than 30% difference between target-to-PiN ratio VS. people reached in 2024 </t>
  </si>
  <si>
    <t>Proposed Threshold</t>
  </si>
  <si>
    <t>Agreed Threshold</t>
  </si>
  <si>
    <t>Activities with direct beneficiaries</t>
  </si>
  <si>
    <t>100% target in localities with intersectoral severity 5</t>
  </si>
  <si>
    <t>Target in localities with intersectoral severity 5</t>
  </si>
  <si>
    <t>Target greater than 100% of PiN</t>
  </si>
  <si>
    <t>% Difference between cluster target and response capacity in severity 4</t>
  </si>
  <si>
    <t>% Difference between cluster target and response capacity in severity 3</t>
  </si>
  <si>
    <t>Flag where the target exceeds PiN per locality and population group</t>
  </si>
  <si>
    <t>Target to PiN (%)</t>
  </si>
  <si>
    <t>Target greater than PiN</t>
  </si>
  <si>
    <t>% difference between cluster target &amp; response capacity in severity 3 is over the proposed threshold2</t>
  </si>
  <si>
    <r>
      <t xml:space="preserve">% difference between cluster target &amp; response capacity in </t>
    </r>
    <r>
      <rPr>
        <b/>
        <sz val="8"/>
        <color theme="0"/>
        <rFont val="Aptos Display"/>
        <family val="2"/>
        <scheme val="major"/>
      </rPr>
      <t>severity 4</t>
    </r>
    <r>
      <rPr>
        <sz val="8"/>
        <color theme="0"/>
        <rFont val="Aptos Display"/>
        <family val="2"/>
        <scheme val="major"/>
      </rPr>
      <t xml:space="preserve"> is over the proposed threshold</t>
    </r>
  </si>
  <si>
    <t>2024 Target</t>
  </si>
  <si>
    <t>2024 Cumulative reached (August RPM)</t>
  </si>
  <si>
    <t>Flag system for cluster Target</t>
  </si>
  <si>
    <t>Include only the estimated number of individuals who are anticipated to receive direct assistance in target figure.</t>
  </si>
  <si>
    <t>Reality check with past response capacity</t>
  </si>
  <si>
    <t>Improve monitoring of response of direct beneficiaries</t>
  </si>
  <si>
    <t>Shelter and NFIs</t>
  </si>
  <si>
    <t>CLSHL/CA1</t>
  </si>
  <si>
    <t>CLSHL/CA2</t>
  </si>
  <si>
    <t>CLSHL/CA3</t>
  </si>
  <si>
    <t>CLSHL/CA4</t>
  </si>
  <si>
    <t>CLSHL/CA5</t>
  </si>
  <si>
    <t>CLSHL/CA6</t>
  </si>
  <si>
    <t>CLSHL/CA7</t>
  </si>
  <si>
    <t>CLSHL/CA8</t>
  </si>
  <si>
    <t>CLSHL/CA9</t>
  </si>
  <si>
    <t>NFI kit distribution</t>
  </si>
  <si>
    <t>Provision of cash/vouchers for NFIs</t>
  </si>
  <si>
    <t>Establishment of communal shelters</t>
  </si>
  <si>
    <t>Rehabilitation of collective centers</t>
  </si>
  <si>
    <t>Tent distribution</t>
  </si>
  <si>
    <t>Emergency Shelter Kit (ESK) distribution</t>
  </si>
  <si>
    <t>Provision of cash/vouchers for shelter repair or emergency shelter</t>
  </si>
  <si>
    <t>Provision of cash for rent</t>
  </si>
  <si>
    <t>General site development</t>
  </si>
  <si>
    <t>Number of households that received NFI kits</t>
  </si>
  <si>
    <t>Number of households that received cash/vouchers for NFIs</t>
  </si>
  <si>
    <t>Number of households accommodated in newly established communal shelters</t>
  </si>
  <si>
    <t>Number of households that benefited from collective centre rehabilitation</t>
  </si>
  <si>
    <t>Number of households that received tents</t>
  </si>
  <si>
    <t>Number of households that received ESKs</t>
  </si>
  <si>
    <t>Number of households that received cash/vouchers for emergency/repaired shelter</t>
  </si>
  <si>
    <t>Number of households that received cash/vouchers for rent</t>
  </si>
  <si>
    <t>Number of households that benefited from site development</t>
  </si>
  <si>
    <t>CLSHL/CA1/IN1</t>
  </si>
  <si>
    <t>CLSHL/CA2/IN1</t>
  </si>
  <si>
    <t>CLSHL/CA3/IN1</t>
  </si>
  <si>
    <t>CLSHL/CA4/IN1</t>
  </si>
  <si>
    <t>CLSHL/CA5/IN1</t>
  </si>
  <si>
    <t>CLSHL/CA6/IN1</t>
  </si>
  <si>
    <t>CLSHL/CA7/IN1</t>
  </si>
  <si>
    <t>CLSHL/CA8/IN1</t>
  </si>
  <si>
    <t>CLSHL/CA9/IN1</t>
  </si>
  <si>
    <t>Non-people</t>
  </si>
  <si>
    <t>Partners should report on this indicator on a monthly basis in ActivityInfo? (Yes/No)</t>
  </si>
  <si>
    <t>Does this indicator contribute to the total cluster reached calculation? (Yes/No)</t>
  </si>
  <si>
    <t>Response modality (cash &amp; voucher, in-kind)</t>
  </si>
  <si>
    <t>Risk of Famine localities</t>
  </si>
  <si>
    <t>Localities with  GAM prevalence &gt;=30%</t>
  </si>
  <si>
    <t>Localities with 1 cluster severity 5 and more than 4 clusters severity 4</t>
  </si>
  <si>
    <t>Qualifies for exception</t>
  </si>
  <si>
    <t>Exceptional considerations to the flag</t>
  </si>
  <si>
    <t>Ok</t>
  </si>
  <si>
    <t/>
  </si>
  <si>
    <t>2024 Projected reached (Dec 2024)</t>
  </si>
  <si>
    <t>Up to 100%</t>
  </si>
  <si>
    <t>Based on capacity consideration up to 100%  
Exception for Risk of Famine, High GAM Localities, Localities where 1 cluster in severity 5 and more than 4 clusters in severity 4
No duplication between cluster targeting and MPCA</t>
  </si>
  <si>
    <t xml:space="preserve">Response projected up to December 2024 factoring partners planned response 
If 0 response in 2024 across all population groups target based on number of partners planning to respond in 2025,  alternatively use intercluster reached as a benchmark not exceeding  30% in Severity 4 and 10% in severity 3 localities 
Limitations of Pop disaggregated Data – To use vulnerability guidance  provided by protection cluster / Extrapolation of response to other population groups in the locality  (e.g Cluster reached only IDPs but not Host Community or non-hosting)
No duplication between cluster targeting and MPCA </t>
  </si>
  <si>
    <t>Clusters to update this column based on Projection up to December</t>
  </si>
  <si>
    <t>2024 Response capacity up to December</t>
  </si>
  <si>
    <t>Target up to 100% for localities with severity 5 and exceptions only</t>
  </si>
  <si>
    <t>Flagged</t>
  </si>
  <si>
    <t>Unique count of cluster partners (Jan to Aug 2024)</t>
  </si>
  <si>
    <t>CLSHL/CA10</t>
  </si>
  <si>
    <t>CLSHL/CA11</t>
  </si>
  <si>
    <t>CLSHL/CA10/IN1</t>
  </si>
  <si>
    <t>CLSHL/CA11/IN1</t>
  </si>
  <si>
    <t>Cash</t>
  </si>
  <si>
    <t>Intersectorial Reached August 2024</t>
  </si>
  <si>
    <t>2024 Intercluster reached -August RPM</t>
  </si>
  <si>
    <t>Cluster plans and justification 2025</t>
  </si>
  <si>
    <t>Key Cluster Capacities 2025</t>
  </si>
  <si>
    <t>Justification</t>
  </si>
  <si>
    <t>Should not be Flagged - target are lower than intersectorial responses</t>
  </si>
  <si>
    <t># partners in  2024 OR   planning to respond 2025</t>
  </si>
  <si>
    <t>Row Labels</t>
  </si>
  <si>
    <t>Grand Total</t>
  </si>
  <si>
    <t>Sum of CLSHL/CA1/IN1</t>
  </si>
  <si>
    <t>Sum of CLSHL/CA2/IN1</t>
  </si>
  <si>
    <t>Sum of CLSHL/CA3/IN1</t>
  </si>
  <si>
    <t>Sum of CLSHL/CA4/IN1</t>
  </si>
  <si>
    <t>Sum of CLSHL/CA5/IN1</t>
  </si>
  <si>
    <t>Sum of CLSHL/CA6/IN1</t>
  </si>
  <si>
    <t>Sum of CLSHL/CA7/IN1</t>
  </si>
  <si>
    <t>Sum of CLSHL/CA8/IN1</t>
  </si>
  <si>
    <t>Sum of CLSHL/CA9/IN1</t>
  </si>
  <si>
    <t>Sum of CLSHL/CA10/IN1</t>
  </si>
  <si>
    <t>Sum of CLSHL/CA11/IN1</t>
  </si>
  <si>
    <t>No</t>
  </si>
  <si>
    <t>Should this indicator be identified as priority contributing to prioritized target?</t>
  </si>
  <si>
    <t>Prioritized estimated target</t>
  </si>
  <si>
    <t>Prioritized estimated cost</t>
  </si>
  <si>
    <t>Based on intercluster prioritized localities</t>
  </si>
  <si>
    <t>Prioritized Localities</t>
  </si>
  <si>
    <t>Prioritized Target</t>
  </si>
  <si>
    <t>Support Safe Shelter Initiatives</t>
  </si>
  <si>
    <t>Transitional Shelter Support</t>
  </si>
  <si>
    <t>Number of individuals  receiving support for Safe shelter initiatives</t>
  </si>
  <si>
    <t>Number of household  receiving support to construct transitional shelter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</si>
</sst>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
    <numFmt numFmtId="165" formatCode="_-* #,##0.00_-;\-* #,##0.00_-;_-* &quot;-&quot;??_-;_-@_-"/>
    <numFmt numFmtId="166" formatCode="_-* #,##0_-;\-* #,##0_-;_-* &quot;-&quot;??_-;_-@_-"/>
    <numFmt numFmtId="167" formatCode="[$$-409]#,##0_ ;\-[$$-409]#,##0\ "/>
    <numFmt numFmtId="168" formatCode="_ * #,##0_ ;_ * \-#,##0_ ;_ * &quot;-&quot;??_ ;_ @_ "/>
    <numFmt numFmtId="169" formatCode="_(* #,##0_);_(* \(#,##0\);_(* &quot;-&quot;??_);_(@_)"/>
  </numFmts>
  <fonts count="32" x14ac:knownFonts="1">
    <font>
      <sz val="11"/>
      <color theme="1"/>
      <name val="Aptos Narrow"/>
      <family val="2"/>
      <scheme val="minor"/>
    </font>
    <font>
      <sz val="11"/>
      <color theme="1"/>
      <name val="Aptos Narrow"/>
      <family val="2"/>
      <scheme val="minor"/>
    </font>
    <font>
      <sz val="8"/>
      <name val="Aptos Narrow"/>
      <family val="2"/>
      <scheme val="minor"/>
    </font>
    <font>
      <b/>
      <sz val="10"/>
      <color theme="0"/>
      <name val="Aptos Narrow"/>
      <family val="2"/>
      <scheme val="minor"/>
    </font>
    <font>
      <sz val="10"/>
      <color theme="1"/>
      <name val="Aptos Narrow"/>
      <family val="2"/>
      <scheme val="minor"/>
    </font>
    <font>
      <b/>
      <sz val="9"/>
      <color theme="1"/>
      <name val="Aptos Narrow"/>
      <family val="2"/>
      <scheme val="minor"/>
    </font>
    <font>
      <b/>
      <sz val="8"/>
      <color theme="1"/>
      <name val="Aptos Narrow"/>
      <family val="2"/>
      <scheme val="minor"/>
    </font>
    <font>
      <sz val="8"/>
      <color theme="1"/>
      <name val="Aptos Narrow"/>
      <family val="2"/>
      <scheme val="minor"/>
    </font>
    <font>
      <b/>
      <i/>
      <sz val="8"/>
      <color rgb="FFFF0000"/>
      <name val="Aptos Narrow"/>
      <family val="2"/>
      <scheme val="minor"/>
    </font>
    <font>
      <sz val="8"/>
      <color theme="1"/>
      <name val="Roboto Condensed"/>
      <family val="2"/>
    </font>
    <font>
      <sz val="8"/>
      <name val="Arial"/>
      <family val="2"/>
    </font>
    <font>
      <sz val="10"/>
      <color theme="1"/>
      <name val="Arial Narrow"/>
      <family val="2"/>
    </font>
    <font>
      <sz val="8"/>
      <color theme="1"/>
      <name val="Aptos Display"/>
      <family val="2"/>
      <scheme val="major"/>
    </font>
    <font>
      <sz val="8"/>
      <color theme="1"/>
      <name val="Arial"/>
      <family val="2"/>
    </font>
    <font>
      <sz val="8"/>
      <color rgb="FFFF0000"/>
      <name val="Arial"/>
      <family val="2"/>
    </font>
    <font>
      <b/>
      <sz val="8"/>
      <color theme="1"/>
      <name val="Arial"/>
      <family val="2"/>
    </font>
    <font>
      <b/>
      <sz val="8"/>
      <name val="Arial"/>
      <family val="2"/>
    </font>
    <font>
      <sz val="8"/>
      <color theme="0"/>
      <name val="Arial"/>
      <family val="2"/>
    </font>
    <font>
      <sz val="8"/>
      <color theme="0" tint="-4.9989318521683403E-2"/>
      <name val="Arial"/>
      <family val="2"/>
    </font>
    <font>
      <sz val="8"/>
      <color theme="0"/>
      <name val="Aptos Display"/>
      <family val="2"/>
      <scheme val="major"/>
    </font>
    <font>
      <b/>
      <sz val="8"/>
      <color theme="0"/>
      <name val="Aptos Display"/>
      <family val="2"/>
      <scheme val="major"/>
    </font>
    <font>
      <sz val="8"/>
      <color rgb="FF000000"/>
      <name val="Aptos Display"/>
      <family val="2"/>
      <scheme val="major"/>
    </font>
    <font>
      <b/>
      <sz val="8"/>
      <color theme="1"/>
      <name val="Aptos Display"/>
      <family val="2"/>
      <scheme val="major"/>
    </font>
    <font>
      <i/>
      <sz val="8"/>
      <color theme="1"/>
      <name val="Aptos Display"/>
      <family val="2"/>
      <scheme val="major"/>
    </font>
    <font>
      <b/>
      <sz val="8"/>
      <color theme="1" tint="0.34998626667073579"/>
      <name val="Aptos Display"/>
      <family val="2"/>
      <scheme val="major"/>
    </font>
    <font>
      <b/>
      <sz val="8"/>
      <name val="Aptos Display"/>
      <family val="2"/>
      <scheme val="major"/>
    </font>
    <font>
      <b/>
      <sz val="8"/>
      <color theme="1"/>
      <name val="Arial Narrow"/>
      <family val="2"/>
    </font>
    <font>
      <b/>
      <sz val="8"/>
      <color rgb="FFFF0000"/>
      <name val="Arial Narrow"/>
      <family val="2"/>
    </font>
    <font>
      <b/>
      <sz val="8"/>
      <color theme="0"/>
      <name val="Arial Narrow"/>
      <family val="2"/>
    </font>
    <font>
      <sz val="8"/>
      <color theme="0"/>
      <name val="Arial Narrow"/>
      <family val="2"/>
    </font>
    <font>
      <sz val="8"/>
      <color theme="1"/>
      <name val="Arial Narrow"/>
      <family val="2"/>
    </font>
    <font>
      <b/>
      <sz val="8"/>
      <color theme="0"/>
      <name val="Aptos Narrow"/>
      <family val="2"/>
      <scheme val="minor"/>
    </font>
  </fonts>
  <fills count="24">
    <fill>
      <patternFill patternType="none"/>
    </fill>
    <fill>
      <patternFill patternType="gray125"/>
    </fill>
    <fill>
      <patternFill patternType="solid">
        <fgColor theme="4" tint="0.79998168889431442"/>
        <bgColor theme="4" tint="0.79998168889431442"/>
      </patternFill>
    </fill>
    <fill>
      <patternFill patternType="solid">
        <fgColor rgb="FF8FB6C9"/>
        <bgColor indexed="64"/>
      </patternFill>
    </fill>
    <fill>
      <patternFill patternType="solid">
        <fgColor rgb="FF4A7082"/>
        <bgColor indexed="64"/>
      </patternFill>
    </fill>
    <fill>
      <patternFill patternType="solid">
        <fgColor rgb="FF628FA5"/>
        <bgColor indexed="64"/>
      </patternFill>
    </fill>
    <fill>
      <patternFill patternType="solid">
        <fgColor theme="0"/>
        <bgColor indexed="64"/>
      </patternFill>
    </fill>
    <fill>
      <patternFill patternType="solid">
        <fgColor rgb="FFFFFF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3" tint="0.749992370372631"/>
        <bgColor theme="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744368"/>
        <bgColor indexed="64"/>
      </patternFill>
    </fill>
    <fill>
      <patternFill patternType="solid">
        <fgColor theme="3" tint="0.499984740745262"/>
        <bgColor indexed="64"/>
      </patternFill>
    </fill>
    <fill>
      <patternFill patternType="solid">
        <fgColor theme="5"/>
        <bgColor indexed="64"/>
      </patternFill>
    </fill>
    <fill>
      <patternFill patternType="solid">
        <fgColor theme="7" tint="0.79998168889431442"/>
        <bgColor indexed="64"/>
      </patternFill>
    </fill>
    <fill>
      <patternFill patternType="solid">
        <fgColor theme="7"/>
        <bgColor indexed="64"/>
      </patternFill>
    </fill>
    <fill>
      <patternFill patternType="solid">
        <fgColor theme="4" tint="0.39997558519241921"/>
        <bgColor indexed="64"/>
      </patternFill>
    </fill>
    <fill>
      <patternFill patternType="solid">
        <fgColor rgb="FFC00000"/>
        <bgColor indexed="64"/>
      </patternFill>
    </fill>
    <fill>
      <patternFill patternType="solid">
        <fgColor theme="5" tint="0.39997558519241921"/>
        <bgColor theme="4"/>
      </patternFill>
    </fill>
  </fills>
  <borders count="17">
    <border>
      <left/>
      <right/>
      <top/>
      <bottom/>
      <diagonal/>
    </border>
    <border>
      <left/>
      <right/>
      <top/>
      <bottom style="thin">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165" fontId="1" fillId="0" borderId="0" applyFont="0" applyFill="0" applyBorder="0" applyAlignment="0" applyProtection="0"/>
  </cellStyleXfs>
  <cellXfs count="141">
    <xf numFmtId="0" fontId="0" fillId="0" borderId="0" xfId="0"/>
    <xf numFmtId="0" fontId="4" fillId="0" borderId="0" xfId="0" applyFont="1"/>
    <xf numFmtId="0" fontId="4" fillId="0" borderId="0" xfId="0" applyFont="1" applyAlignment="1">
      <alignment wrapText="1"/>
    </xf>
    <xf numFmtId="1" fontId="6" fillId="0" borderId="0" xfId="0" applyNumberFormat="1" applyFont="1" applyAlignment="1">
      <alignment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top"/>
    </xf>
    <xf numFmtId="1" fontId="6" fillId="0" borderId="0" xfId="0" applyNumberFormat="1" applyFont="1" applyAlignment="1">
      <alignment horizontal="right" vertical="center" wrapText="1"/>
    </xf>
    <xf numFmtId="164" fontId="6" fillId="0" borderId="0" xfId="0" applyNumberFormat="1" applyFont="1" applyAlignment="1">
      <alignment horizontal="center" vertical="center"/>
    </xf>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center" wrapText="1"/>
    </xf>
    <xf numFmtId="0" fontId="6"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right" vertical="center" wrapText="1"/>
    </xf>
    <xf numFmtId="0" fontId="7"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center" vertical="center"/>
    </xf>
    <xf numFmtId="166" fontId="7" fillId="0" borderId="0" xfId="1" applyNumberFormat="1" applyFont="1" applyFill="1" applyAlignment="1">
      <alignment horizontal="left" vertical="center"/>
    </xf>
    <xf numFmtId="3" fontId="7" fillId="0" borderId="0" xfId="1" applyNumberFormat="1" applyFont="1" applyFill="1" applyAlignment="1">
      <alignment horizontal="left" vertical="center"/>
    </xf>
    <xf numFmtId="167" fontId="7" fillId="0" borderId="0" xfId="1" applyNumberFormat="1" applyFont="1" applyFill="1" applyAlignment="1">
      <alignment horizontal="center" vertical="center"/>
    </xf>
    <xf numFmtId="166" fontId="2" fillId="0" borderId="0" xfId="1" applyNumberFormat="1" applyFont="1" applyFill="1" applyAlignment="1">
      <alignment horizontal="left" vertical="center"/>
    </xf>
    <xf numFmtId="0" fontId="9" fillId="10" borderId="0" xfId="0" applyFont="1" applyFill="1" applyAlignment="1">
      <alignment vertical="center" wrapText="1"/>
    </xf>
    <xf numFmtId="0" fontId="5" fillId="0" borderId="0" xfId="0" applyFont="1" applyAlignment="1">
      <alignment horizontal="right" vertical="center" wrapText="1"/>
    </xf>
    <xf numFmtId="0" fontId="3" fillId="11" borderId="1" xfId="0" applyFont="1" applyFill="1" applyBorder="1" applyAlignment="1">
      <alignment horizontal="center" vertical="top" wrapText="1"/>
    </xf>
    <xf numFmtId="0" fontId="12" fillId="0" borderId="0" xfId="0" applyFont="1" applyAlignment="1">
      <alignment vertical="top" wrapText="1"/>
    </xf>
    <xf numFmtId="0" fontId="6" fillId="12" borderId="0" xfId="1" applyNumberFormat="1" applyFont="1" applyFill="1" applyBorder="1" applyAlignment="1">
      <alignment horizontal="right" vertical="center"/>
    </xf>
    <xf numFmtId="0" fontId="13" fillId="0" borderId="0" xfId="0" applyFont="1"/>
    <xf numFmtId="0" fontId="10" fillId="0" borderId="3" xfId="0" applyFont="1" applyBorder="1"/>
    <xf numFmtId="0" fontId="10" fillId="0" borderId="3" xfId="0" applyFont="1" applyBorder="1" applyAlignment="1">
      <alignment wrapText="1"/>
    </xf>
    <xf numFmtId="0" fontId="18" fillId="0" borderId="0" xfId="0" applyFont="1"/>
    <xf numFmtId="0" fontId="13" fillId="0" borderId="3" xfId="0" applyFont="1" applyBorder="1"/>
    <xf numFmtId="0" fontId="13" fillId="0" borderId="3" xfId="0" applyFont="1" applyBorder="1" applyAlignment="1">
      <alignment wrapText="1"/>
    </xf>
    <xf numFmtId="9" fontId="13" fillId="0" borderId="3" xfId="2" applyFont="1" applyBorder="1"/>
    <xf numFmtId="0" fontId="15" fillId="0" borderId="0" xfId="0" applyFont="1"/>
    <xf numFmtId="0" fontId="13" fillId="0" borderId="7" xfId="0" applyFont="1" applyBorder="1"/>
    <xf numFmtId="0" fontId="10" fillId="0" borderId="5" xfId="0" applyFont="1" applyBorder="1"/>
    <xf numFmtId="0" fontId="13" fillId="0" borderId="5" xfId="0" applyFont="1" applyBorder="1"/>
    <xf numFmtId="0" fontId="16" fillId="13" borderId="8"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2" borderId="3" xfId="0" applyFont="1" applyFill="1" applyBorder="1" applyAlignment="1">
      <alignment wrapText="1"/>
    </xf>
    <xf numFmtId="9" fontId="10" fillId="2" borderId="3" xfId="0" applyNumberFormat="1" applyFont="1" applyFill="1" applyBorder="1"/>
    <xf numFmtId="0" fontId="12" fillId="0" borderId="0" xfId="0" applyFont="1" applyAlignment="1">
      <alignment horizontal="left"/>
    </xf>
    <xf numFmtId="0" fontId="12" fillId="0" borderId="0" xfId="0" applyFont="1"/>
    <xf numFmtId="3" fontId="12" fillId="0" borderId="0" xfId="0" applyNumberFormat="1" applyFont="1" applyAlignment="1">
      <alignment horizontal="right"/>
    </xf>
    <xf numFmtId="168" fontId="12" fillId="0" borderId="0" xfId="1" applyNumberFormat="1" applyFont="1" applyAlignment="1">
      <alignment horizontal="left"/>
    </xf>
    <xf numFmtId="0" fontId="12" fillId="0" borderId="0" xfId="0" applyFont="1" applyAlignment="1">
      <alignment horizontal="left" wrapText="1"/>
    </xf>
    <xf numFmtId="0" fontId="12" fillId="0" borderId="0" xfId="0" applyFont="1" applyAlignment="1">
      <alignment horizontal="center" wrapText="1"/>
    </xf>
    <xf numFmtId="3" fontId="12" fillId="0" borderId="0" xfId="1" applyNumberFormat="1" applyFont="1" applyAlignment="1">
      <alignment horizontal="right" wrapText="1"/>
    </xf>
    <xf numFmtId="168" fontId="12" fillId="0" borderId="0" xfId="1" applyNumberFormat="1" applyFont="1" applyAlignment="1">
      <alignment wrapText="1"/>
    </xf>
    <xf numFmtId="166" fontId="19" fillId="3" borderId="4" xfId="4" applyNumberFormat="1" applyFont="1" applyFill="1" applyBorder="1" applyAlignment="1">
      <alignment horizontal="left" vertical="center"/>
    </xf>
    <xf numFmtId="166" fontId="19" fillId="4" borderId="4" xfId="4" applyNumberFormat="1" applyFont="1" applyFill="1" applyBorder="1" applyAlignment="1">
      <alignment horizontal="left" vertical="center" wrapText="1"/>
    </xf>
    <xf numFmtId="166" fontId="19" fillId="4" borderId="4" xfId="4" applyNumberFormat="1" applyFont="1" applyFill="1" applyBorder="1" applyAlignment="1">
      <alignment horizontal="center" vertical="center" wrapText="1"/>
    </xf>
    <xf numFmtId="166" fontId="20" fillId="4" borderId="4" xfId="4" applyNumberFormat="1" applyFont="1" applyFill="1" applyBorder="1" applyAlignment="1">
      <alignment horizontal="center" vertical="center" wrapText="1"/>
    </xf>
    <xf numFmtId="3" fontId="20" fillId="4" borderId="4" xfId="1" applyNumberFormat="1" applyFont="1" applyFill="1" applyBorder="1" applyAlignment="1">
      <alignment horizontal="right" vertical="center" wrapText="1"/>
    </xf>
    <xf numFmtId="166" fontId="20" fillId="4" borderId="4" xfId="4" applyNumberFormat="1" applyFont="1" applyFill="1" applyBorder="1" applyAlignment="1">
      <alignment horizontal="left" vertical="center" wrapText="1"/>
    </xf>
    <xf numFmtId="168" fontId="20" fillId="5" borderId="4" xfId="1" applyNumberFormat="1" applyFont="1" applyFill="1" applyBorder="1" applyAlignment="1">
      <alignment horizontal="center" vertical="center" wrapText="1"/>
    </xf>
    <xf numFmtId="168" fontId="20" fillId="8" borderId="4" xfId="1" applyNumberFormat="1" applyFont="1" applyFill="1" applyBorder="1" applyAlignment="1">
      <alignment horizontal="center" vertical="center" wrapText="1"/>
    </xf>
    <xf numFmtId="168" fontId="19" fillId="16" borderId="4" xfId="1" applyNumberFormat="1" applyFont="1" applyFill="1" applyBorder="1" applyAlignment="1">
      <alignment horizontal="center" vertical="center" wrapText="1"/>
    </xf>
    <xf numFmtId="166" fontId="21" fillId="0" borderId="4" xfId="1" applyNumberFormat="1" applyFont="1" applyBorder="1" applyAlignment="1">
      <alignment horizontal="left" vertical="center"/>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3" fontId="12" fillId="0" borderId="4" xfId="1" applyNumberFormat="1" applyFont="1" applyBorder="1" applyAlignment="1">
      <alignment horizontal="right" vertical="center" wrapText="1"/>
    </xf>
    <xf numFmtId="168" fontId="12" fillId="0" borderId="4" xfId="1" applyNumberFormat="1" applyFont="1" applyBorder="1" applyAlignment="1">
      <alignment horizontal="left" vertical="center" wrapText="1"/>
    </xf>
    <xf numFmtId="168" fontId="12" fillId="0" borderId="4" xfId="1" applyNumberFormat="1" applyFont="1" applyBorder="1" applyAlignment="1">
      <alignment vertical="center" wrapText="1"/>
    </xf>
    <xf numFmtId="0" fontId="12" fillId="0" borderId="4" xfId="0" applyFont="1" applyBorder="1"/>
    <xf numFmtId="0" fontId="12" fillId="0" borderId="6" xfId="0" applyFont="1" applyBorder="1"/>
    <xf numFmtId="9" fontId="12" fillId="0" borderId="6" xfId="2" applyFont="1" applyBorder="1"/>
    <xf numFmtId="168" fontId="12" fillId="6" borderId="4" xfId="1" applyNumberFormat="1" applyFont="1" applyFill="1" applyBorder="1" applyAlignment="1">
      <alignment vertical="center" wrapText="1"/>
    </xf>
    <xf numFmtId="0" fontId="12" fillId="6" borderId="4" xfId="0" applyFont="1" applyFill="1" applyBorder="1" applyAlignment="1">
      <alignment horizontal="left" vertical="center" wrapText="1"/>
    </xf>
    <xf numFmtId="168" fontId="12" fillId="7" borderId="4" xfId="1" applyNumberFormat="1" applyFont="1" applyFill="1" applyBorder="1" applyAlignment="1">
      <alignment horizontal="left" vertical="center" wrapText="1"/>
    </xf>
    <xf numFmtId="0" fontId="23" fillId="0" borderId="0" xfId="0" applyFont="1" applyAlignment="1">
      <alignment vertical="top" wrapText="1"/>
    </xf>
    <xf numFmtId="168" fontId="20" fillId="9" borderId="13" xfId="1" applyNumberFormat="1" applyFont="1" applyFill="1" applyBorder="1" applyAlignment="1">
      <alignment horizontal="center" vertical="center" wrapText="1"/>
    </xf>
    <xf numFmtId="168" fontId="24" fillId="12" borderId="4" xfId="1" applyNumberFormat="1" applyFont="1" applyFill="1" applyBorder="1" applyAlignment="1">
      <alignment horizontal="center" vertical="center" wrapText="1"/>
    </xf>
    <xf numFmtId="0" fontId="6" fillId="18" borderId="0" xfId="0" applyFont="1" applyFill="1" applyAlignment="1">
      <alignment horizontal="left" vertical="top" wrapText="1"/>
    </xf>
    <xf numFmtId="3" fontId="12" fillId="0" borderId="0" xfId="2" applyNumberFormat="1" applyFont="1"/>
    <xf numFmtId="3" fontId="12" fillId="0" borderId="6" xfId="2" applyNumberFormat="1" applyFont="1" applyBorder="1"/>
    <xf numFmtId="168" fontId="19" fillId="5" borderId="15" xfId="1" applyNumberFormat="1" applyFont="1" applyFill="1" applyBorder="1" applyAlignment="1">
      <alignment horizontal="center" vertical="center" wrapText="1"/>
    </xf>
    <xf numFmtId="168" fontId="12" fillId="0" borderId="4" xfId="0" applyNumberFormat="1" applyFont="1" applyBorder="1"/>
    <xf numFmtId="168" fontId="12" fillId="0" borderId="6" xfId="0" applyNumberFormat="1" applyFont="1" applyBorder="1"/>
    <xf numFmtId="168" fontId="12" fillId="0" borderId="16" xfId="0" applyNumberFormat="1" applyFont="1" applyBorder="1"/>
    <xf numFmtId="0" fontId="10" fillId="7" borderId="3" xfId="0" applyFont="1" applyFill="1" applyBorder="1" applyAlignment="1">
      <alignment wrapText="1"/>
    </xf>
    <xf numFmtId="1" fontId="12" fillId="0" borderId="4" xfId="0" applyNumberFormat="1" applyFont="1" applyBorder="1"/>
    <xf numFmtId="166" fontId="12" fillId="0" borderId="6" xfId="0" applyNumberFormat="1" applyFont="1" applyBorder="1"/>
    <xf numFmtId="169" fontId="12" fillId="0" borderId="0" xfId="1" applyNumberFormat="1" applyFont="1"/>
    <xf numFmtId="169" fontId="25" fillId="0" borderId="0" xfId="1" applyNumberFormat="1" applyFont="1"/>
    <xf numFmtId="169" fontId="22" fillId="0" borderId="0" xfId="1" applyNumberFormat="1" applyFont="1" applyAlignment="1">
      <alignment horizontal="center" wrapText="1"/>
    </xf>
    <xf numFmtId="169" fontId="20" fillId="9" borderId="4" xfId="1" applyNumberFormat="1" applyFont="1" applyFill="1" applyBorder="1" applyAlignment="1">
      <alignment horizontal="center" vertical="center" wrapText="1"/>
    </xf>
    <xf numFmtId="169" fontId="12" fillId="0" borderId="4" xfId="1" applyNumberFormat="1" applyFont="1" applyBorder="1"/>
    <xf numFmtId="169" fontId="12" fillId="0" borderId="0" xfId="1" applyNumberFormat="1" applyFont="1" applyAlignment="1">
      <alignment wrapText="1"/>
    </xf>
    <xf numFmtId="169" fontId="20" fillId="8" borderId="4" xfId="1" applyNumberFormat="1" applyFont="1" applyFill="1" applyBorder="1" applyAlignment="1">
      <alignment horizontal="center" vertical="center" wrapText="1"/>
    </xf>
    <xf numFmtId="166" fontId="7" fillId="22" borderId="0" xfId="1" applyNumberFormat="1" applyFont="1" applyFill="1" applyAlignment="1">
      <alignment horizontal="left" vertical="center"/>
    </xf>
    <xf numFmtId="3" fontId="20" fillId="17" borderId="4" xfId="2" applyNumberFormat="1" applyFont="1" applyFill="1" applyBorder="1" applyAlignment="1">
      <alignment horizontal="center" vertical="center" wrapText="1"/>
    </xf>
    <xf numFmtId="168" fontId="26" fillId="0" borderId="0" xfId="1" applyNumberFormat="1" applyFont="1" applyAlignment="1">
      <alignment horizontal="center" wrapText="1"/>
    </xf>
    <xf numFmtId="169" fontId="27" fillId="0" borderId="0" xfId="1" applyNumberFormat="1" applyFont="1" applyAlignment="1">
      <alignment horizontal="left" vertical="top" wrapText="1"/>
    </xf>
    <xf numFmtId="166" fontId="28" fillId="4" borderId="10" xfId="4" applyNumberFormat="1" applyFont="1" applyFill="1" applyBorder="1" applyAlignment="1">
      <alignment horizontal="left" vertical="center" wrapText="1"/>
    </xf>
    <xf numFmtId="166" fontId="29" fillId="4" borderId="11" xfId="4" applyNumberFormat="1" applyFont="1" applyFill="1" applyBorder="1" applyAlignment="1">
      <alignment horizontal="left" vertical="center" wrapText="1"/>
    </xf>
    <xf numFmtId="166" fontId="29" fillId="4" borderId="4" xfId="4" applyNumberFormat="1" applyFont="1" applyFill="1" applyBorder="1" applyAlignment="1">
      <alignment horizontal="center" vertical="center" wrapText="1"/>
    </xf>
    <xf numFmtId="166" fontId="28" fillId="4" borderId="4" xfId="4" applyNumberFormat="1" applyFont="1" applyFill="1" applyBorder="1" applyAlignment="1">
      <alignment horizontal="center" vertical="center" wrapText="1"/>
    </xf>
    <xf numFmtId="166" fontId="28" fillId="4" borderId="4" xfId="4" applyNumberFormat="1" applyFont="1" applyFill="1" applyBorder="1" applyAlignment="1">
      <alignment horizontal="left" vertical="center" wrapText="1"/>
    </xf>
    <xf numFmtId="3" fontId="28" fillId="20" borderId="12" xfId="2" applyNumberFormat="1" applyFont="1" applyFill="1" applyBorder="1" applyAlignment="1">
      <alignment horizontal="left" vertical="center" wrapText="1"/>
    </xf>
    <xf numFmtId="169" fontId="28" fillId="21" borderId="10" xfId="1" applyNumberFormat="1" applyFont="1" applyFill="1" applyBorder="1" applyAlignment="1">
      <alignment horizontal="left" vertical="center" wrapText="1"/>
    </xf>
    <xf numFmtId="0" fontId="30" fillId="0" borderId="11" xfId="0" applyFont="1" applyBorder="1" applyAlignment="1">
      <alignment horizontal="left" vertical="center" wrapText="1"/>
    </xf>
    <xf numFmtId="0" fontId="30" fillId="0" borderId="4" xfId="0" applyFont="1" applyBorder="1" applyAlignment="1">
      <alignment horizontal="left" vertical="center" wrapText="1"/>
    </xf>
    <xf numFmtId="0" fontId="30" fillId="0" borderId="4" xfId="0" applyFont="1" applyBorder="1" applyAlignment="1">
      <alignment horizontal="center" vertical="center" wrapText="1"/>
    </xf>
    <xf numFmtId="168" fontId="30" fillId="0" borderId="4" xfId="1" applyNumberFormat="1" applyFont="1" applyBorder="1" applyAlignment="1">
      <alignment horizontal="left" vertical="center" wrapText="1"/>
    </xf>
    <xf numFmtId="3" fontId="30" fillId="0" borderId="13" xfId="2" applyNumberFormat="1" applyFont="1" applyBorder="1" applyAlignment="1">
      <alignment horizontal="right" vertical="center" wrapText="1"/>
    </xf>
    <xf numFmtId="0" fontId="30" fillId="0" borderId="0" xfId="0" applyFont="1"/>
    <xf numFmtId="0" fontId="30" fillId="6" borderId="11" xfId="0" applyFont="1" applyFill="1" applyBorder="1" applyAlignment="1">
      <alignment horizontal="left" vertical="center" wrapText="1"/>
    </xf>
    <xf numFmtId="168" fontId="30" fillId="7" borderId="4" xfId="1" applyNumberFormat="1" applyFont="1" applyFill="1" applyBorder="1" applyAlignment="1">
      <alignment horizontal="left" vertical="center" wrapText="1"/>
    </xf>
    <xf numFmtId="168" fontId="30" fillId="0" borderId="0" xfId="0" applyNumberFormat="1" applyFont="1"/>
    <xf numFmtId="169" fontId="30" fillId="0" borderId="0" xfId="1" applyNumberFormat="1" applyFont="1"/>
    <xf numFmtId="3" fontId="30" fillId="0" borderId="0" xfId="2" applyNumberFormat="1" applyFont="1"/>
    <xf numFmtId="0" fontId="0" fillId="0" borderId="0" xfId="0" pivotButton="1"/>
    <xf numFmtId="0" fontId="0" fillId="0" borderId="0" xfId="0" applyAlignment="1">
      <alignment horizontal="left"/>
    </xf>
    <xf numFmtId="3" fontId="0" fillId="0" borderId="0" xfId="0" applyNumberFormat="1"/>
    <xf numFmtId="0" fontId="7" fillId="0" borderId="0" xfId="0" applyFont="1" applyFill="1" applyAlignment="1">
      <alignment horizontal="left" vertical="center"/>
    </xf>
    <xf numFmtId="0" fontId="7" fillId="0" borderId="0" xfId="0" applyFont="1" applyFill="1" applyAlignment="1">
      <alignment horizontal="center" vertical="center"/>
    </xf>
    <xf numFmtId="0" fontId="10" fillId="0" borderId="0" xfId="0" applyFont="1" applyFill="1" applyAlignment="1">
      <alignment horizontal="left" vertical="center"/>
    </xf>
    <xf numFmtId="0" fontId="31" fillId="23" borderId="0" xfId="0" applyFont="1" applyFill="1" applyAlignment="1">
      <alignment horizontal="left" vertical="top" wrapText="1"/>
    </xf>
    <xf numFmtId="0" fontId="6" fillId="8" borderId="0" xfId="0" applyFont="1" applyFill="1" applyAlignment="1">
      <alignment horizontal="left" vertical="top" wrapText="1"/>
    </xf>
    <xf numFmtId="0" fontId="0" fillId="0" borderId="0" xfId="0" applyFill="1" applyAlignment="1">
      <alignment vertical="center"/>
    </xf>
    <xf numFmtId="166" fontId="10" fillId="0" borderId="0" xfId="0" applyNumberFormat="1" applyFont="1" applyFill="1" applyAlignment="1">
      <alignment horizontal="left" vertical="center"/>
    </xf>
    <xf numFmtId="166" fontId="7" fillId="0" borderId="0" xfId="0" applyNumberFormat="1" applyFont="1" applyFill="1" applyAlignment="1">
      <alignment horizontal="left" vertical="center"/>
    </xf>
    <xf numFmtId="166" fontId="2" fillId="0" borderId="0" xfId="0" applyNumberFormat="1" applyFont="1" applyFill="1" applyAlignment="1">
      <alignment horizontal="left" vertical="center"/>
    </xf>
    <xf numFmtId="3" fontId="7" fillId="0" borderId="0" xfId="0" applyNumberFormat="1" applyFont="1" applyFill="1" applyAlignment="1">
      <alignment horizontal="left" vertical="center"/>
    </xf>
    <xf numFmtId="167" fontId="7" fillId="0" borderId="0" xfId="0" applyNumberFormat="1" applyFont="1" applyFill="1" applyAlignment="1">
      <alignment horizontal="center" vertical="center"/>
    </xf>
    <xf numFmtId="3" fontId="6" fillId="0" borderId="0" xfId="1" applyNumberFormat="1" applyFont="1" applyFill="1" applyAlignment="1">
      <alignment horizontal="left" vertical="center"/>
    </xf>
    <xf numFmtId="168" fontId="20" fillId="8" borderId="0" xfId="1" applyNumberFormat="1" applyFont="1" applyFill="1" applyBorder="1" applyAlignment="1">
      <alignment horizontal="center" vertical="center" wrapText="1"/>
    </xf>
    <xf numFmtId="169" fontId="22" fillId="18" borderId="0" xfId="1" applyNumberFormat="1" applyFont="1" applyFill="1" applyAlignment="1">
      <alignment horizontal="center" wrapText="1"/>
    </xf>
    <xf numFmtId="169" fontId="22" fillId="18" borderId="0" xfId="1" applyNumberFormat="1" applyFont="1" applyFill="1"/>
    <xf numFmtId="3" fontId="12" fillId="0" borderId="0" xfId="1" applyNumberFormat="1" applyFont="1"/>
    <xf numFmtId="3" fontId="12" fillId="0" borderId="0" xfId="0" applyNumberFormat="1" applyFont="1"/>
    <xf numFmtId="167" fontId="0" fillId="0" borderId="0" xfId="0" applyNumberFormat="1"/>
    <xf numFmtId="1" fontId="6" fillId="0" borderId="0" xfId="0" applyNumberFormat="1" applyFont="1" applyAlignment="1">
      <alignment horizontal="left" vertical="center" wrapText="1"/>
    </xf>
    <xf numFmtId="0" fontId="22" fillId="0" borderId="14" xfId="0" applyFont="1" applyBorder="1" applyAlignment="1">
      <alignment horizontal="center" vertical="center" wrapText="1"/>
    </xf>
    <xf numFmtId="0" fontId="22" fillId="19" borderId="0" xfId="0" applyFont="1" applyFill="1" applyAlignment="1">
      <alignment horizontal="center" vertical="center" wrapText="1"/>
    </xf>
    <xf numFmtId="0" fontId="14" fillId="7" borderId="0" xfId="0" applyFont="1" applyFill="1" applyAlignment="1">
      <alignment horizontal="center"/>
    </xf>
  </cellXfs>
  <cellStyles count="5">
    <cellStyle name="Comma" xfId="1" builtinId="3"/>
    <cellStyle name="Comma 2" xfId="4" xr:uid="{5F37F890-5079-454D-B495-0A85AA75C778}"/>
    <cellStyle name="Normal" xfId="0" builtinId="0"/>
    <cellStyle name="Normal 2" xfId="3" xr:uid="{FE5AFDD6-DCE5-457E-B24D-12C4F88C4E52}"/>
    <cellStyle name="Percent" xfId="2" builtinId="5"/>
  </cellStyles>
  <dxfs count="155">
    <dxf>
      <numFmt numFmtId="167" formatCode="[$$-409]#,##0_ ;\-[$$-409]#,##0\ "/>
    </dxf>
    <dxf>
      <font>
        <b val="0"/>
        <i val="0"/>
        <strike val="0"/>
        <condense val="0"/>
        <extend val="0"/>
        <outline val="0"/>
        <shadow val="0"/>
        <u val="none"/>
        <vertAlign val="baseline"/>
        <sz val="8"/>
        <color theme="1"/>
        <name val="Aptos Narrow"/>
        <family val="2"/>
        <scheme val="minor"/>
      </font>
      <numFmt numFmtId="167" formatCode="[$$-409]#,##0_ ;\-[$$-409]#,##0\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left" vertical="center" textRotation="0" wrapText="0" indent="0" justifyLastLine="0" shrinkToFit="0" readingOrder="0"/>
    </dxf>
    <dxf>
      <font>
        <sz val="8"/>
      </font>
      <numFmt numFmtId="167" formatCode="[$$-409]#,##0_ ;\-[$$-409]#,##0\ "/>
      <fill>
        <patternFill patternType="none">
          <fgColor indexed="64"/>
          <bgColor indexed="65"/>
        </patternFill>
      </fill>
      <alignment horizontal="center"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font>
        <sz val="8"/>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7" formatCode="[$$-409]#,##0_ ;\-[$$-409]#,##0\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6" formatCode="_-* #,##0_-;\-* #,##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theme="1"/>
        <name val="Arial Narrow"/>
        <family val="2"/>
        <scheme val="none"/>
      </font>
    </dxf>
    <dxf>
      <font>
        <strike val="0"/>
        <outline val="0"/>
        <shadow val="0"/>
        <u val="none"/>
        <vertAlign val="baseline"/>
        <sz val="8"/>
        <name val="Arial Narrow"/>
        <family val="2"/>
        <scheme val="none"/>
      </font>
      <numFmt numFmtId="169" formatCode="_(* #,##0_);_(* \(#,##0\);_(* &quot;-&quot;??_);_(@_)"/>
    </dxf>
    <dxf>
      <font>
        <b val="0"/>
        <i val="0"/>
        <strike val="0"/>
        <condense val="0"/>
        <extend val="0"/>
        <outline val="0"/>
        <shadow val="0"/>
        <u val="none"/>
        <vertAlign val="baseline"/>
        <sz val="8"/>
        <color theme="1"/>
        <name val="Arial Narrow"/>
        <family val="2"/>
        <scheme val="none"/>
      </font>
      <numFmt numFmtId="3" formatCode="#,##0"/>
      <alignment horizontal="right" vertical="center" textRotation="0" wrapText="1" indent="0" justifyLastLine="0" shrinkToFit="0" readingOrder="0"/>
      <border diagonalUp="0" diagonalDown="0" outline="0">
        <left style="thin">
          <color theme="1" tint="0.499984740745262"/>
        </left>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numFmt numFmtId="168" formatCode="_ * #,##0_ ;_ * \-#,##0_ ;_ * &quot;-&quot;??_ ;_ @_ "/>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numFmt numFmtId="168" formatCode="_ * #,##0_ ;_ * \-#,##0_ ;_ * &quot;-&quot;??_ ;_ @_ "/>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border diagonalUp="0" diagonalDown="0" outline="0">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rial Narrow"/>
        <family val="2"/>
        <scheme val="none"/>
      </font>
      <alignment horizontal="left"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outline="0">
        <left style="thin">
          <color theme="1" tint="0.499984740745262"/>
        </left>
        <right style="thin">
          <color theme="1" tint="0.499984740745262"/>
        </right>
        <bottom style="thin">
          <color theme="1" tint="0.499984740745262"/>
        </bottom>
      </border>
    </dxf>
    <dxf>
      <font>
        <strike val="0"/>
        <outline val="0"/>
        <shadow val="0"/>
        <u val="none"/>
        <vertAlign val="baseline"/>
        <sz val="8"/>
        <name val="Arial Narrow"/>
        <family val="2"/>
        <scheme val="none"/>
      </font>
      <numFmt numFmtId="166" formatCode="_-* #,##0_-;\-* #,##0_-;_-* &quot;-&quot;??_-;_-@_-"/>
    </dxf>
    <dxf>
      <font>
        <b/>
        <i val="0"/>
        <strike val="0"/>
        <condense val="0"/>
        <extend val="0"/>
        <outline val="0"/>
        <shadow val="0"/>
        <u val="none"/>
        <vertAlign val="baseline"/>
        <sz val="8"/>
        <color theme="0"/>
        <name val="Arial Narrow"/>
        <family val="2"/>
        <scheme val="none"/>
      </font>
      <numFmt numFmtId="166" formatCode="_-* #,##0_-;\-* #,##0_-;_-* &quot;-&quot;??_-;_-@_-"/>
      <fill>
        <patternFill patternType="solid">
          <fgColor indexed="64"/>
          <bgColor rgb="FF4A7082"/>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8" formatCode="_ * #,##0_ ;_ * \-#,##0_ ;_ * &quot;-&quot;??_ ;_ @_ "/>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3" formatCode="#,##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3" formatCode="#,##0"/>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3" formatCode="#,##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3" formatCode="#,##0"/>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3" formatCode="#,##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3" formatCode="#,##0"/>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3" formatCode="#,##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3" formatCode="#,##0"/>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3" formatCode="#,##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8"/>
        <color theme="1"/>
        <name val="Aptos Display"/>
        <family val="2"/>
        <scheme val="major"/>
      </font>
      <numFmt numFmtId="3" formatCode="#,##0"/>
      <border diagonalUp="0" diagonalDown="0">
        <left style="thin">
          <color theme="1" tint="0.499984740745262"/>
        </left>
        <right style="thin">
          <color theme="1" tint="0.499984740745262"/>
        </right>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0" formatCode="General"/>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6" formatCode="_-* #,##0_-;\-* #,##0_-;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 formatCode="0"/>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 formatCode="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8"/>
        <color theme="1"/>
        <name val="Aptos Display"/>
        <family val="2"/>
        <scheme val="major"/>
      </font>
      <numFmt numFmtId="1" formatCode="0"/>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 formatCode="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169" formatCode="_(* #,##0_);_(* \(#,##0\);_(* &quot;-&quot;??_);_(@_)"/>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3" formatCode="#,##0"/>
      <alignment horizontal="right" vertical="bottom"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numFmt numFmtId="3" formatCode="#,##0"/>
      <alignment horizontal="right"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alignment horizontal="left" vertical="bottom"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8"/>
        <color theme="1"/>
        <name val="Aptos Display"/>
        <family val="2"/>
        <scheme val="major"/>
      </font>
      <alignment horizontal="left" vertical="bottom"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8"/>
        <color theme="1"/>
        <name val="Aptos Display"/>
        <family val="2"/>
        <scheme val="major"/>
      </font>
      <numFmt numFmtId="168" formatCode="_ * #,##0_ ;_ * \-#,##0_ ;_ * &quot;-&quot;??_ ;_ @_ "/>
    </dxf>
    <dxf>
      <font>
        <b val="0"/>
        <i val="0"/>
        <strike val="0"/>
        <condense val="0"/>
        <extend val="0"/>
        <outline val="0"/>
        <shadow val="0"/>
        <u val="none"/>
        <vertAlign val="baseline"/>
        <sz val="8"/>
        <color theme="0"/>
        <name val="Aptos Display"/>
        <family val="2"/>
        <scheme val="major"/>
      </font>
      <numFmt numFmtId="168" formatCode="_ * #,##0_ ;_ * \-#,##0_ ;_ * &quot;-&quot;??_ ;_ @_ "/>
      <fill>
        <patternFill patternType="solid">
          <fgColor indexed="64"/>
          <bgColor rgb="FF628FA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patternFill>
      </fill>
    </dxf>
    <dxf>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8"/>
        <color theme="1"/>
        <name val="Aptos Narrow"/>
        <family val="2"/>
        <scheme val="minor"/>
      </font>
      <fill>
        <patternFill patternType="none">
          <fgColor indexed="64"/>
          <bgColor auto="1"/>
        </patternFill>
      </fill>
      <alignment horizontal="left" vertical="top"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
        <color theme="0"/>
        <name val="Aptos Narrow"/>
        <family val="2"/>
        <scheme val="minor"/>
      </font>
      <fill>
        <patternFill patternType="solid">
          <fgColor theme="4"/>
          <bgColor theme="3" tint="0.74999237037263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260350</xdr:colOff>
      <xdr:row>23</xdr:row>
      <xdr:rowOff>25400</xdr:rowOff>
    </xdr:to>
    <xdr:sp macro="" textlink="">
      <xdr:nvSpPr>
        <xdr:cNvPr id="2" name="TextBox 1">
          <a:extLst>
            <a:ext uri="{FF2B5EF4-FFF2-40B4-BE49-F238E27FC236}">
              <a16:creationId xmlns:a16="http://schemas.microsoft.com/office/drawing/2014/main" id="{0EAD0CA0-F292-45CE-B5A3-96B4093BF1C0}"/>
            </a:ext>
          </a:extLst>
        </xdr:cNvPr>
        <xdr:cNvSpPr txBox="1"/>
      </xdr:nvSpPr>
      <xdr:spPr>
        <a:xfrm>
          <a:off x="0" y="0"/>
          <a:ext cx="8794750" cy="42608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This template is designed to collect people targeted per activity including unit costing for the 2025 response plan.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Provide input to </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2. Activities and requirements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and </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3. Cluster Target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1. SO_Reference</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Reference to Strategic Objectives (SOs) in 2025 HNRP.</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2. Activities and requirements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Provides list of activities based on previous response plan. Clusters can add/modify/remove activities as it fits to the current plan.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You will see most columns are pre-populated with existing information. Please review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 Provide your input to </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Column H J, K, M and 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3. Cluster Target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 Provide cluster target by population group and SAAD data in this sheet</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Ensure that </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cluster targets are linked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to the activities in </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Activities and requirement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sheet.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 For Target SAAD, make sure the</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 sum of Male and Female is equal to Cluster Target.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Similarly,</a:t>
          </a: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 sum of Children, Adult and Elderly is equal to Cluster Target.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4. 2024 Response Performanc</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Provide cluster response performance in 2024.</a:t>
          </a: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5. Threshold</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Contains the thresholds for the flaggs. Do not change anything in this sheet.</a:t>
          </a: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Umar Abba Yusuf" id="{CE8C37AD-F2B7-4417-A140-95092BF6E461}" userId="S::yusuf7@un.org::25dc736e-85df-4074-8c17-d4adb4c6bb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hel Getachew" refreshedDate="45578.824731944442" createdVersion="8" refreshedVersion="8" minRefreshableVersion="3" recordCount="564" xr:uid="{A5BA70FC-94C5-4E67-8237-6538D87EE7C9}">
  <cacheSource type="worksheet">
    <worksheetSource name="tblTarget"/>
  </cacheSource>
  <cacheFields count="42">
    <cacheField name="ID" numFmtId="166">
      <sharedItems/>
    </cacheField>
    <cacheField name="Admin 1" numFmtId="0">
      <sharedItems count="18">
        <s v="Khartoum"/>
        <s v="North Darfur"/>
        <s v="South Darfur"/>
        <s v="West Darfur"/>
        <s v="East Darfur"/>
        <s v="Central Darfur"/>
        <s v="South Kordofan"/>
        <s v="Blue Nile"/>
        <s v="White Nile"/>
        <s v="Red Sea"/>
        <s v="Kassala"/>
        <s v="Gedaref"/>
        <s v="North Kordofan"/>
        <s v="Sennar"/>
        <s v="Aj Jazirah"/>
        <s v="River Nile"/>
        <s v="Northern"/>
        <s v="West Kordofan"/>
      </sharedItems>
    </cacheField>
    <cacheField name="Admin 1 P-Code" numFmtId="0">
      <sharedItems count="18">
        <s v="SD01"/>
        <s v="SD02"/>
        <s v="SD03"/>
        <s v="SD04"/>
        <s v="SD05"/>
        <s v="SD06"/>
        <s v="SD07"/>
        <s v="SD08"/>
        <s v="SD09"/>
        <s v="SD10"/>
        <s v="SD11"/>
        <s v="SD12"/>
        <s v="SD13"/>
        <s v="SD14"/>
        <s v="SD15"/>
        <s v="SD16"/>
        <s v="SD17"/>
        <s v="SD18"/>
      </sharedItems>
    </cacheField>
    <cacheField name="Admin 2" numFmtId="0">
      <sharedItems/>
    </cacheField>
    <cacheField name="Admin 2 P-Code" numFmtId="0">
      <sharedItems/>
    </cacheField>
    <cacheField name="Total Population" numFmtId="3">
      <sharedItems containsSemiMixedTypes="0" containsString="0" containsNumber="1" containsInteger="1" minValue="0" maxValue="1539537"/>
    </cacheField>
    <cacheField name="Population Group" numFmtId="168">
      <sharedItems/>
    </cacheField>
    <cacheField name="Cluster PiN" numFmtId="168">
      <sharedItems containsSemiMixedTypes="0" containsString="0" containsNumber="1" containsInteger="1" minValue="0" maxValue="344494"/>
    </cacheField>
    <cacheField name="Cluster Severity" numFmtId="0">
      <sharedItems containsSemiMixedTypes="0" containsString="0" containsNumber="1" containsInteger="1" minValue="2" maxValue="4"/>
    </cacheField>
    <cacheField name="Intercluser Severity" numFmtId="0">
      <sharedItems containsSemiMixedTypes="0" containsString="0" containsNumber="1" containsInteger="1" minValue="3" maxValue="5"/>
    </cacheField>
    <cacheField name="Cluster Target" numFmtId="169">
      <sharedItems containsSemiMixedTypes="0" containsString="0" containsNumber="1" minValue="0" maxValue="285612.80000000005"/>
    </cacheField>
    <cacheField name="Female" numFmtId="169">
      <sharedItems containsSemiMixedTypes="0" containsString="0" containsNumber="1" minValue="0" maxValue="144011.40148947365"/>
    </cacheField>
    <cacheField name="Male " numFmtId="169">
      <sharedItems containsSemiMixedTypes="0" containsString="0" containsNumber="1" minValue="0" maxValue="141601.3985105264"/>
    </cacheField>
    <cacheField name="Children (&lt;18)" numFmtId="169">
      <sharedItems containsSemiMixedTypes="0" containsString="0" containsNumber="1" minValue="0" maxValue="157087.04000000004"/>
    </cacheField>
    <cacheField name="Adults (18 - 59)" numFmtId="169">
      <sharedItems containsSemiMixedTypes="0" containsString="0" containsNumber="1" minValue="0" maxValue="111388.99200000003"/>
    </cacheField>
    <cacheField name="Elderly (60+)" numFmtId="169">
      <sharedItems containsSemiMixedTypes="0" containsString="0" containsNumber="1" minValue="0" maxValue="17136.768000000004"/>
    </cacheField>
    <cacheField name="% with disabilities" numFmtId="1">
      <sharedItems containsSemiMixedTypes="0" containsString="0" containsNumber="1" minValue="0" maxValue="42841.920000000006"/>
    </cacheField>
    <cacheField name="CLSHL/CA1/IN1" numFmtId="166">
      <sharedItems containsSemiMixedTypes="0" containsString="0" containsNumber="1" containsInteger="1" minValue="0" maxValue="46269"/>
    </cacheField>
    <cacheField name="CLSHL/CA2/IN1" numFmtId="0">
      <sharedItems containsSemiMixedTypes="0" containsString="0" containsNumber="1" containsInteger="1" minValue="0" maxValue="5141"/>
    </cacheField>
    <cacheField name="CLSHL/CA3/IN1" numFmtId="0">
      <sharedItems containsSemiMixedTypes="0" containsString="0" containsNumber="1" containsInteger="1" minValue="0" maxValue="1928"/>
    </cacheField>
    <cacheField name="CLSHL/CA4/IN1" numFmtId="0">
      <sharedItems containsSemiMixedTypes="0" containsString="0" containsNumber="1" containsInteger="1" minValue="0" maxValue="2571"/>
    </cacheField>
    <cacheField name="CLSHL/CA5/IN1" numFmtId="0">
      <sharedItems containsSemiMixedTypes="0" containsString="0" containsNumber="1" containsInteger="1" minValue="0" maxValue="2856"/>
    </cacheField>
    <cacheField name="CLSHL/CA6/IN1" numFmtId="0">
      <sharedItems containsSemiMixedTypes="0" containsString="0" containsNumber="1" containsInteger="1" minValue="0" maxValue="5712"/>
    </cacheField>
    <cacheField name="CLSHL/CA7/IN1" numFmtId="0">
      <sharedItems containsSemiMixedTypes="0" containsString="0" containsNumber="1" containsInteger="1" minValue="0" maxValue="8568"/>
    </cacheField>
    <cacheField name="CLSHL/CA8/IN1" numFmtId="0">
      <sharedItems containsSemiMixedTypes="0" containsString="0" containsNumber="1" containsInteger="1" minValue="0" maxValue="5712"/>
    </cacheField>
    <cacheField name="CLSHL/CA9/IN1" numFmtId="0">
      <sharedItems containsSemiMixedTypes="0" containsString="0" containsNumber="1" containsInteger="1" minValue="0" maxValue="966"/>
    </cacheField>
    <cacheField name="CLSHL/CA10/IN1" numFmtId="0">
      <sharedItems containsSemiMixedTypes="0" containsString="0" containsNumber="1" containsInteger="1" minValue="0" maxValue="357"/>
    </cacheField>
    <cacheField name="CLSHL/CA11/IN1" numFmtId="0">
      <sharedItems containsSemiMixedTypes="0" containsString="0" containsNumber="1" containsInteger="1" minValue="0" maxValue="857"/>
    </cacheField>
    <cacheField name="Target to PiN (%)" numFmtId="9">
      <sharedItems containsSemiMixedTypes="0" containsString="0" containsNumber="1" minValue="0" maxValue="0.88000000000000012"/>
    </cacheField>
    <cacheField name="2024 Response capacity up to December" numFmtId="3">
      <sharedItems containsSemiMixedTypes="0" containsString="0" containsNumber="1" containsInteger="1" minValue="0" maxValue="81200"/>
    </cacheField>
    <cacheField name="Intersectorial Reached August 2024" numFmtId="3">
      <sharedItems containsSemiMixedTypes="0" containsString="0" containsNumber="1" minValue="0" maxValue="403621.83507453097"/>
    </cacheField>
    <cacheField name="# partners in  2024 OR   planning to respond 2025" numFmtId="3">
      <sharedItems containsSemiMixedTypes="0" containsString="0" containsNumber="1" containsInteger="1" minValue="0" maxValue="10"/>
    </cacheField>
    <cacheField name="Key Cluster Capacities 2025" numFmtId="3">
      <sharedItems containsNonDate="0" containsString="0" containsBlank="1"/>
    </cacheField>
    <cacheField name="Justification" numFmtId="3">
      <sharedItems containsBlank="1"/>
    </cacheField>
    <cacheField name="Target greater than PiN" numFmtId="9">
      <sharedItems/>
    </cacheField>
    <cacheField name="Target up to 100% for localities with severity 5 and exceptions only" numFmtId="0">
      <sharedItems/>
    </cacheField>
    <cacheField name="% difference between cluster target &amp; response capacity in severity 4 is over the proposed threshold" numFmtId="0">
      <sharedItems/>
    </cacheField>
    <cacheField name="% difference between cluster target &amp; response capacity in severity 3 is over the proposed threshold2" numFmtId="0">
      <sharedItems/>
    </cacheField>
    <cacheField name="Risk of Famine localities" numFmtId="168">
      <sharedItems/>
    </cacheField>
    <cacheField name="Localities with  GAM prevalence &gt;=30%" numFmtId="168">
      <sharedItems containsBlank="1"/>
    </cacheField>
    <cacheField name="Localities with 1 cluster severity 5 and more than 4 clusters severity 4" numFmtId="168">
      <sharedItems/>
    </cacheField>
    <cacheField name="Qualifies for exception" numFmtId="16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4">
  <r>
    <s v="Host CommunitySD01001"/>
    <x v="0"/>
    <x v="0"/>
    <s v="Jebel Awlia"/>
    <s v="SD01001"/>
    <n v="15904"/>
    <s v="Host Community"/>
    <n v="1448"/>
    <n v="3"/>
    <n v="4"/>
    <n v="76.800000000000011"/>
    <n v="35.562959691111367"/>
    <n v="41.237040308888645"/>
    <n v="38.400000000000006"/>
    <n v="33.792000000000009"/>
    <n v="4.6080000000000005"/>
    <n v="11.520000000000001"/>
    <n v="12"/>
    <n v="1"/>
    <n v="0"/>
    <n v="0"/>
    <n v="1"/>
    <n v="2"/>
    <n v="5"/>
    <n v="1"/>
    <n v="0"/>
    <n v="0"/>
    <n v="0"/>
    <n v="5.3038674033149179E-2"/>
    <n v="0"/>
    <n v="41948.265497596905"/>
    <n v="2"/>
    <m/>
    <m/>
    <s v=""/>
    <s v=""/>
    <s v=""/>
    <s v=""/>
    <s v="Yes"/>
    <m/>
    <s v="Yes"/>
    <s v="Ok"/>
  </r>
  <r>
    <s v="Host CommunitySD01002"/>
    <x v="0"/>
    <x v="0"/>
    <s v="Um Bada"/>
    <s v="SD01002"/>
    <n v="13283"/>
    <s v="Host Community"/>
    <n v="3024"/>
    <n v="4"/>
    <n v="4"/>
    <n v="45.800000000000004"/>
    <n v="21.173425751954706"/>
    <n v="24.626574248045298"/>
    <n v="22.900000000000002"/>
    <n v="20.152000000000001"/>
    <n v="2.7480000000000002"/>
    <n v="6.87"/>
    <n v="7"/>
    <n v="1"/>
    <n v="0"/>
    <n v="0"/>
    <n v="0"/>
    <n v="1"/>
    <n v="3"/>
    <n v="0"/>
    <n v="0"/>
    <n v="0"/>
    <n v="0"/>
    <n v="1.5145502645502646E-2"/>
    <n v="0"/>
    <n v="1988.3745108022483"/>
    <n v="1"/>
    <m/>
    <m/>
    <s v=""/>
    <s v=""/>
    <s v="Flagged"/>
    <s v=""/>
    <s v=""/>
    <m/>
    <s v=""/>
    <s v="Flagged"/>
  </r>
  <r>
    <s v="Host CommunitySD01003"/>
    <x v="0"/>
    <x v="0"/>
    <s v="Bahri"/>
    <s v="SD01003"/>
    <n v="30236"/>
    <s v="Host Community"/>
    <n v="5507"/>
    <n v="4"/>
    <n v="4"/>
    <n v="730"/>
    <n v="344.57113643129253"/>
    <n v="385.42886356870753"/>
    <n v="365"/>
    <n v="321.2"/>
    <n v="43.8"/>
    <n v="109.5"/>
    <n v="118"/>
    <n v="13"/>
    <n v="0"/>
    <n v="0"/>
    <n v="7"/>
    <n v="15"/>
    <n v="44"/>
    <n v="7"/>
    <n v="0"/>
    <n v="0"/>
    <n v="0"/>
    <n v="0.13255856183039769"/>
    <n v="0"/>
    <n v="24487.370822687786"/>
    <n v="1"/>
    <m/>
    <m/>
    <s v=""/>
    <s v=""/>
    <s v=""/>
    <s v=""/>
    <s v=""/>
    <m/>
    <s v="Yes"/>
    <s v="Ok"/>
  </r>
  <r>
    <s v="Host CommunitySD01004"/>
    <x v="0"/>
    <x v="0"/>
    <s v="Sharg An Neel"/>
    <s v="SD01004"/>
    <n v="29719"/>
    <s v="Host Community"/>
    <n v="5413"/>
    <n v="4"/>
    <n v="4"/>
    <n v="367.40000000000003"/>
    <n v="171.65075543424311"/>
    <n v="195.74924456575692"/>
    <n v="183.70000000000002"/>
    <n v="161.65600000000001"/>
    <n v="22.044"/>
    <n v="55.110000000000007"/>
    <n v="60"/>
    <n v="7"/>
    <n v="0"/>
    <n v="0"/>
    <n v="4"/>
    <n v="7"/>
    <n v="22"/>
    <n v="4"/>
    <n v="0"/>
    <n v="0"/>
    <n v="0"/>
    <n v="6.7873637539257348E-2"/>
    <n v="0"/>
    <n v="13992.783327250165"/>
    <n v="1"/>
    <m/>
    <m/>
    <s v=""/>
    <s v=""/>
    <s v="Flagged"/>
    <s v=""/>
    <s v=""/>
    <m/>
    <s v=""/>
    <s v="Flagged"/>
  </r>
  <r>
    <s v="Host CommunitySD01005"/>
    <x v="0"/>
    <x v="0"/>
    <s v="Karrari"/>
    <s v="SD01005"/>
    <n v="32287"/>
    <s v="Host Community"/>
    <n v="2940"/>
    <n v="3"/>
    <n v="3"/>
    <n v="205.60000000000002"/>
    <n v="97.763897609841962"/>
    <n v="107.83610239015808"/>
    <n v="102.80000000000001"/>
    <n v="90.464000000000013"/>
    <n v="12.336"/>
    <n v="30.840000000000003"/>
    <n v="33"/>
    <n v="4"/>
    <n v="0"/>
    <n v="0"/>
    <n v="2"/>
    <n v="4"/>
    <n v="12"/>
    <n v="2"/>
    <n v="0"/>
    <n v="0"/>
    <n v="0"/>
    <n v="6.9931972789115657E-2"/>
    <n v="0"/>
    <n v="59550.487284111252"/>
    <n v="5"/>
    <m/>
    <s v="Should not be Flagged - target are lower than intersectorial responses"/>
    <s v=""/>
    <s v=""/>
    <s v=""/>
    <s v="Flagged"/>
    <s v=""/>
    <m/>
    <s v=""/>
    <s v="Flagged"/>
  </r>
  <r>
    <s v="Host CommunitySD01006"/>
    <x v="0"/>
    <x v="0"/>
    <s v="Um Durman"/>
    <s v="SD01006"/>
    <n v="14263"/>
    <s v="Host Community"/>
    <n v="3247"/>
    <n v="4"/>
    <n v="4"/>
    <n v="351.6"/>
    <n v="165.83822038607698"/>
    <n v="185.76177961392304"/>
    <n v="175.8"/>
    <n v="154.70400000000001"/>
    <n v="21.096"/>
    <n v="52.74"/>
    <n v="57"/>
    <n v="6"/>
    <n v="0"/>
    <n v="0"/>
    <n v="4"/>
    <n v="7"/>
    <n v="21"/>
    <n v="4"/>
    <n v="0"/>
    <n v="0"/>
    <n v="0"/>
    <n v="0.10828457037265168"/>
    <n v="0"/>
    <n v="54410.937968012266"/>
    <n v="6"/>
    <m/>
    <m/>
    <s v=""/>
    <s v=""/>
    <s v=""/>
    <s v=""/>
    <s v=""/>
    <m/>
    <s v="Yes"/>
    <s v="Ok"/>
  </r>
  <r>
    <s v="Host CommunitySD01007"/>
    <x v="0"/>
    <x v="0"/>
    <s v="Khartoum"/>
    <s v="SD01007"/>
    <n v="13880"/>
    <s v="Host Community"/>
    <n v="3160"/>
    <n v="4"/>
    <n v="4"/>
    <n v="124"/>
    <n v="58.065085636560475"/>
    <n v="65.934914363439532"/>
    <n v="62"/>
    <n v="54.56"/>
    <n v="7.4399999999999995"/>
    <n v="18.599999999999998"/>
    <n v="20"/>
    <n v="2"/>
    <n v="0"/>
    <n v="0"/>
    <n v="1"/>
    <n v="2"/>
    <n v="7"/>
    <n v="1"/>
    <n v="0"/>
    <n v="0"/>
    <n v="0"/>
    <n v="3.9240506329113925E-2"/>
    <n v="0"/>
    <n v="69852.674008799178"/>
    <n v="1"/>
    <m/>
    <m/>
    <s v=""/>
    <s v=""/>
    <s v=""/>
    <s v=""/>
    <s v="Yes"/>
    <m/>
    <s v="Yes"/>
    <s v="Ok"/>
  </r>
  <r>
    <s v="Host CommunitySD02113"/>
    <x v="1"/>
    <x v="1"/>
    <s v="Dar As Salam"/>
    <s v="SD02113"/>
    <n v="30263"/>
    <s v="Host Community"/>
    <n v="19904"/>
    <n v="3"/>
    <n v="4"/>
    <n v="6369.6"/>
    <n v="3001.9875799583924"/>
    <n v="3367.6124200416079"/>
    <n v="3184.8"/>
    <n v="2802.6240000000003"/>
    <n v="382.17599999999999"/>
    <n v="955.44"/>
    <n v="1032"/>
    <n v="115"/>
    <n v="0"/>
    <n v="0"/>
    <n v="64"/>
    <n v="127"/>
    <n v="382"/>
    <n v="64"/>
    <n v="0"/>
    <n v="0"/>
    <n v="0"/>
    <n v="0.32001607717041802"/>
    <n v="0"/>
    <n v="3113.3942903131615"/>
    <n v="1"/>
    <m/>
    <m/>
    <s v=""/>
    <s v=""/>
    <s v="Flagged"/>
    <s v=""/>
    <s v=""/>
    <m/>
    <s v=""/>
    <s v="Flagged"/>
  </r>
  <r>
    <s v="Host CommunitySD02114"/>
    <x v="1"/>
    <x v="1"/>
    <s v="Al Fasher"/>
    <s v="SD02114"/>
    <n v="171329"/>
    <s v="Host Community"/>
    <n v="79157"/>
    <n v="4"/>
    <n v="5"/>
    <n v="50660.800000000003"/>
    <n v="25544.138107878658"/>
    <n v="25116.661892121345"/>
    <n v="25330.400000000001"/>
    <n v="22290.752"/>
    <n v="3039.6480000000001"/>
    <n v="7599.12"/>
    <n v="8207"/>
    <n v="912"/>
    <n v="0"/>
    <n v="0"/>
    <n v="507"/>
    <n v="1013"/>
    <n v="3040"/>
    <n v="507"/>
    <n v="0"/>
    <n v="0"/>
    <n v="0"/>
    <n v="0.64000404259888577"/>
    <n v="3335"/>
    <n v="110436.6431319892"/>
    <n v="5"/>
    <m/>
    <m/>
    <s v=""/>
    <s v=""/>
    <s v=""/>
    <s v=""/>
    <s v="Yes"/>
    <m/>
    <s v=""/>
    <s v="Ok"/>
  </r>
  <r>
    <s v="Host CommunitySD02116"/>
    <x v="1"/>
    <x v="1"/>
    <s v="Al Koma"/>
    <s v="SD02116"/>
    <n v="10045"/>
    <s v="Host Community"/>
    <n v="9077"/>
    <n v="3"/>
    <n v="4"/>
    <n v="363"/>
    <n v="180.32806360440267"/>
    <n v="182.67193639559733"/>
    <n v="181.5"/>
    <n v="159.72"/>
    <n v="21.779999999999998"/>
    <n v="54.449999999999996"/>
    <n v="59"/>
    <n v="7"/>
    <n v="0"/>
    <n v="0"/>
    <n v="4"/>
    <n v="7"/>
    <n v="22"/>
    <n v="4"/>
    <n v="0"/>
    <n v="0"/>
    <n v="0"/>
    <n v="3.9991186515368517E-2"/>
    <n v="0"/>
    <n v="1342.6075602496533"/>
    <n v="1"/>
    <m/>
    <m/>
    <s v=""/>
    <s v=""/>
    <s v=""/>
    <s v=""/>
    <s v=""/>
    <m/>
    <s v="Yes"/>
    <s v="Ok"/>
  </r>
  <r>
    <s v="Host CommunitySD02117"/>
    <x v="1"/>
    <x v="1"/>
    <s v="Al Malha"/>
    <s v="SD02117"/>
    <n v="6255"/>
    <s v="Host Community"/>
    <n v="1246"/>
    <n v="3"/>
    <n v="4"/>
    <n v="25"/>
    <n v="12.082834928229664"/>
    <n v="12.917165071770334"/>
    <n v="12.5"/>
    <n v="11"/>
    <n v="1.5"/>
    <n v="3.75"/>
    <n v="4"/>
    <n v="0"/>
    <n v="0"/>
    <n v="0"/>
    <n v="0"/>
    <n v="1"/>
    <n v="2"/>
    <n v="0"/>
    <n v="0"/>
    <n v="0"/>
    <n v="0"/>
    <n v="2.0064205457463884E-2"/>
    <n v="0"/>
    <n v="14211.77038632163"/>
    <n v="2"/>
    <m/>
    <m/>
    <s v=""/>
    <s v=""/>
    <s v="Flagged"/>
    <s v=""/>
    <s v=""/>
    <m/>
    <s v=""/>
    <s v="Flagged"/>
  </r>
  <r>
    <s v="Host CommunitySD02118"/>
    <x v="1"/>
    <x v="1"/>
    <s v="As Serief"/>
    <s v="SD02118"/>
    <n v="13075"/>
    <s v="Host Community"/>
    <n v="9042"/>
    <n v="3"/>
    <n v="4"/>
    <n v="723.40000000000009"/>
    <n v="355.65772295039841"/>
    <n v="367.74227704960174"/>
    <n v="361.70000000000005"/>
    <n v="318.29600000000005"/>
    <n v="43.404000000000003"/>
    <n v="108.51"/>
    <n v="117"/>
    <n v="13"/>
    <n v="0"/>
    <n v="0"/>
    <n v="7"/>
    <n v="14"/>
    <n v="43"/>
    <n v="7"/>
    <n v="0"/>
    <n v="0"/>
    <n v="0"/>
    <n v="8.0004423800044244E-2"/>
    <n v="0"/>
    <n v="1083.0414295291628"/>
    <n v="1"/>
    <m/>
    <m/>
    <s v=""/>
    <s v=""/>
    <s v="Flagged"/>
    <s v=""/>
    <s v=""/>
    <m/>
    <s v=""/>
    <s v="Flagged"/>
  </r>
  <r>
    <s v="Host CommunitySD02119"/>
    <x v="1"/>
    <x v="1"/>
    <s v="At Tawisha"/>
    <s v="SD02119"/>
    <n v="1946"/>
    <s v="Host Community"/>
    <n v="700"/>
    <n v="3"/>
    <n v="3"/>
    <n v="0"/>
    <n v="0"/>
    <n v="0"/>
    <n v="0"/>
    <n v="0"/>
    <n v="0"/>
    <n v="0"/>
    <n v="0"/>
    <n v="0"/>
    <n v="0"/>
    <n v="0"/>
    <n v="0"/>
    <n v="0"/>
    <n v="0"/>
    <n v="0"/>
    <n v="0"/>
    <n v="0"/>
    <n v="0"/>
    <n v="0"/>
    <n v="0"/>
    <n v="1903.7181716723849"/>
    <n v="1"/>
    <m/>
    <m/>
    <s v=""/>
    <s v=""/>
    <s v="No target"/>
    <s v="No target"/>
    <s v=""/>
    <s v="Yes"/>
    <s v=""/>
    <s v="Ok"/>
  </r>
  <r>
    <s v="Host CommunitySD02120"/>
    <x v="1"/>
    <x v="1"/>
    <s v="Um Baru"/>
    <s v="SD02120"/>
    <n v="1360"/>
    <s v="Host Community"/>
    <n v="231"/>
    <n v="3"/>
    <n v="4"/>
    <n v="27.8"/>
    <n v="14.164751415562966"/>
    <n v="13.635248584437035"/>
    <n v="13.9"/>
    <n v="12.232000000000001"/>
    <n v="1.6679999999999999"/>
    <n v="4.17"/>
    <n v="5"/>
    <n v="1"/>
    <n v="0"/>
    <n v="0"/>
    <n v="0"/>
    <n v="1"/>
    <n v="2"/>
    <n v="0"/>
    <n v="0"/>
    <n v="0"/>
    <n v="0"/>
    <n v="0.12034632034632035"/>
    <n v="0"/>
    <n v="2448.737082268779"/>
    <n v="2"/>
    <m/>
    <m/>
    <s v=""/>
    <s v=""/>
    <s v="Flagged"/>
    <s v=""/>
    <s v=""/>
    <m/>
    <s v=""/>
    <s v="Flagged"/>
  </r>
  <r>
    <s v="Host CommunitySD02124"/>
    <x v="1"/>
    <x v="1"/>
    <s v="Kebkabiya"/>
    <s v="SD02124"/>
    <n v="82555"/>
    <s v="Host Community"/>
    <n v="61047"/>
    <n v="4"/>
    <n v="4"/>
    <n v="4883.8"/>
    <n v="2443.6421876592535"/>
    <n v="2440.1578123407467"/>
    <n v="2441.9"/>
    <n v="2148.8720000000003"/>
    <n v="293.02800000000002"/>
    <n v="732.57"/>
    <n v="791"/>
    <n v="88"/>
    <n v="0"/>
    <n v="0"/>
    <n v="49"/>
    <n v="98"/>
    <n v="293"/>
    <n v="49"/>
    <n v="0"/>
    <n v="0"/>
    <n v="0"/>
    <n v="8.0000655232853379E-2"/>
    <n v="0"/>
    <n v="10773.743522816265"/>
    <n v="1"/>
    <m/>
    <m/>
    <s v=""/>
    <s v=""/>
    <s v="Flagged"/>
    <s v=""/>
    <s v=""/>
    <m/>
    <s v=""/>
    <s v="Flagged"/>
  </r>
  <r>
    <s v="Host CommunitySD02126"/>
    <x v="1"/>
    <x v="1"/>
    <s v="Kelemando"/>
    <s v="SD02126"/>
    <n v="13232"/>
    <s v="Host Community"/>
    <n v="3734"/>
    <n v="3"/>
    <n v="4"/>
    <n v="37.4"/>
    <n v="19.113236371836066"/>
    <n v="18.286763628163932"/>
    <n v="18.7"/>
    <n v="16.456"/>
    <n v="2.2439999999999998"/>
    <n v="5.6099999999999994"/>
    <n v="6"/>
    <n v="1"/>
    <n v="0"/>
    <n v="0"/>
    <n v="0"/>
    <n v="1"/>
    <n v="2"/>
    <n v="0"/>
    <n v="0"/>
    <n v="0"/>
    <n v="0"/>
    <n v="1.0016068559185859E-2"/>
    <n v="0"/>
    <n v="2657.2295538448061"/>
    <n v="1"/>
    <m/>
    <m/>
    <s v=""/>
    <s v=""/>
    <s v="Flagged"/>
    <s v=""/>
    <s v=""/>
    <m/>
    <s v=""/>
    <s v="Flagged"/>
  </r>
  <r>
    <s v="Host CommunitySD02128"/>
    <x v="1"/>
    <x v="1"/>
    <s v="Kutum"/>
    <s v="SD02128"/>
    <n v="122856"/>
    <s v="Host Community"/>
    <n v="109172"/>
    <n v="3"/>
    <n v="4"/>
    <n v="1377.4"/>
    <n v="697.7741372422704"/>
    <n v="679.62586275772969"/>
    <n v="688.7"/>
    <n v="606.05600000000004"/>
    <n v="82.644000000000005"/>
    <n v="206.61"/>
    <n v="223"/>
    <n v="25"/>
    <n v="0"/>
    <n v="0"/>
    <n v="14"/>
    <n v="28"/>
    <n v="83"/>
    <n v="14"/>
    <n v="0"/>
    <n v="0"/>
    <n v="0"/>
    <n v="1.2616788187447332E-2"/>
    <n v="0"/>
    <n v="12563.420510371559"/>
    <n v="1"/>
    <m/>
    <m/>
    <s v=""/>
    <s v=""/>
    <s v=""/>
    <s v=""/>
    <s v=""/>
    <m/>
    <s v="Yes"/>
    <s v="Ok"/>
  </r>
  <r>
    <s v="Host CommunitySD02129"/>
    <x v="1"/>
    <x v="1"/>
    <s v="Melit"/>
    <s v="SD02129"/>
    <n v="46779"/>
    <s v="Host Community"/>
    <n v="23827"/>
    <n v="3"/>
    <n v="4"/>
    <n v="238.20000000000002"/>
    <n v="120.24691033130235"/>
    <n v="117.95308966869767"/>
    <n v="119.10000000000001"/>
    <n v="104.80800000000001"/>
    <n v="14.292"/>
    <n v="35.730000000000004"/>
    <n v="39"/>
    <n v="4"/>
    <n v="0"/>
    <n v="0"/>
    <n v="2"/>
    <n v="5"/>
    <n v="14"/>
    <n v="2"/>
    <n v="0"/>
    <n v="0"/>
    <n v="0"/>
    <n v="9.9970621563772195E-3"/>
    <n v="0"/>
    <n v="59363.683626692458"/>
    <n v="1"/>
    <m/>
    <m/>
    <s v=""/>
    <s v=""/>
    <s v="Flagged"/>
    <s v=""/>
    <s v=""/>
    <m/>
    <s v=""/>
    <s v="Flagged"/>
  </r>
  <r>
    <s v="Host CommunitySD02133"/>
    <x v="1"/>
    <x v="1"/>
    <s v="Saraf Omra"/>
    <s v="SD02133"/>
    <n v="65012"/>
    <s v="Host Community"/>
    <n v="52519"/>
    <n v="3"/>
    <n v="4"/>
    <n v="4201.6000000000004"/>
    <n v="2120.2766300267417"/>
    <n v="2081.3233699732582"/>
    <n v="2100.8000000000002"/>
    <n v="1848.7040000000002"/>
    <n v="252.096"/>
    <n v="630.24"/>
    <n v="681"/>
    <n v="76"/>
    <n v="0"/>
    <n v="0"/>
    <n v="42"/>
    <n v="84"/>
    <n v="252"/>
    <n v="42"/>
    <n v="0"/>
    <n v="0"/>
    <n v="0"/>
    <n v="8.0001523258249399E-2"/>
    <n v="0"/>
    <n v="6716.5359970800791"/>
    <n v="1"/>
    <m/>
    <m/>
    <s v=""/>
    <s v=""/>
    <s v="Flagged"/>
    <s v=""/>
    <s v=""/>
    <m/>
    <s v=""/>
    <s v="Flagged"/>
  </r>
  <r>
    <s v="Host CommunitySD02136"/>
    <x v="1"/>
    <x v="1"/>
    <s v="Um Kadadah"/>
    <s v="SD02136"/>
    <n v="38640"/>
    <s v="Host Community"/>
    <n v="19288"/>
    <n v="3"/>
    <n v="4"/>
    <n v="1543"/>
    <n v="796.25926476206644"/>
    <n v="746.74073523793356"/>
    <n v="771.5"/>
    <n v="678.92"/>
    <n v="92.58"/>
    <n v="231.45"/>
    <n v="250"/>
    <n v="28"/>
    <n v="0"/>
    <n v="0"/>
    <n v="15"/>
    <n v="31"/>
    <n v="93"/>
    <n v="15"/>
    <n v="0"/>
    <n v="0"/>
    <n v="0"/>
    <n v="7.9997926171712988E-2"/>
    <n v="0"/>
    <n v="1945.6965216541353"/>
    <n v="1"/>
    <m/>
    <m/>
    <s v=""/>
    <s v=""/>
    <s v=""/>
    <s v=""/>
    <s v=""/>
    <s v="Yes"/>
    <s v="Yes"/>
    <s v="Ok"/>
  </r>
  <r>
    <s v="Host CommunitySD02168"/>
    <x v="1"/>
    <x v="1"/>
    <s v="Kernoi"/>
    <s v="SD02168"/>
    <n v="1605"/>
    <s v="Host Community"/>
    <n v="436"/>
    <n v="3"/>
    <n v="4"/>
    <n v="34.800000000000004"/>
    <n v="17.733757751136835"/>
    <n v="17.066242248863169"/>
    <n v="17.400000000000002"/>
    <n v="15.312000000000001"/>
    <n v="2.0880000000000001"/>
    <n v="5.2200000000000006"/>
    <n v="6"/>
    <n v="1"/>
    <n v="0"/>
    <n v="0"/>
    <n v="0"/>
    <n v="1"/>
    <n v="2"/>
    <n v="0"/>
    <n v="0"/>
    <n v="0"/>
    <n v="0"/>
    <n v="7.9816513761467894E-2"/>
    <n v="0"/>
    <n v="1661.643020110957"/>
    <n v="2"/>
    <m/>
    <m/>
    <s v=""/>
    <s v=""/>
    <s v="Flagged"/>
    <s v=""/>
    <s v=""/>
    <m/>
    <s v=""/>
    <s v="Flagged"/>
  </r>
  <r>
    <s v="Host CommunitySD02169"/>
    <x v="1"/>
    <x v="1"/>
    <s v="Al Lait"/>
    <s v="SD02169"/>
    <n v="32363"/>
    <s v="Host Community"/>
    <n v="20237"/>
    <n v="3"/>
    <n v="4"/>
    <n v="683.6"/>
    <n v="348.80270690909867"/>
    <n v="334.79729309090141"/>
    <n v="341.8"/>
    <n v="300.78399999999999"/>
    <n v="41.015999999999998"/>
    <n v="102.54"/>
    <n v="111"/>
    <n v="12"/>
    <n v="0"/>
    <n v="0"/>
    <n v="7"/>
    <n v="14"/>
    <n v="41"/>
    <n v="7"/>
    <n v="0"/>
    <n v="0"/>
    <n v="0"/>
    <n v="3.3779710431388055E-2"/>
    <n v="0"/>
    <n v="2969.9682612088473"/>
    <n v="3"/>
    <m/>
    <m/>
    <s v=""/>
    <s v=""/>
    <s v=""/>
    <s v=""/>
    <s v=""/>
    <s v="Yes"/>
    <s v=""/>
    <s v="Ok"/>
  </r>
  <r>
    <s v="Host CommunitySD02170"/>
    <x v="1"/>
    <x v="1"/>
    <s v="Tawila"/>
    <s v="SD02170"/>
    <n v="0"/>
    <s v="Host Community"/>
    <n v="0"/>
    <n v="4"/>
    <n v="5"/>
    <n v="0"/>
    <n v="0"/>
    <n v="0"/>
    <n v="0"/>
    <n v="0"/>
    <n v="0"/>
    <n v="0"/>
    <n v="0"/>
    <n v="0"/>
    <n v="0"/>
    <n v="0"/>
    <n v="0"/>
    <n v="0"/>
    <n v="0"/>
    <n v="0"/>
    <n v="0"/>
    <n v="0"/>
    <n v="0"/>
    <n v="0"/>
    <n v="0"/>
    <n v="9668.3136399635005"/>
    <n v="1"/>
    <m/>
    <m/>
    <s v=""/>
    <s v=""/>
    <s v="No target"/>
    <s v="No target"/>
    <s v=""/>
    <m/>
    <s v=""/>
    <s v="Ok"/>
  </r>
  <r>
    <s v="Host CommunitySD02171"/>
    <x v="1"/>
    <x v="1"/>
    <s v="At Tina"/>
    <s v="SD02171"/>
    <n v="5385"/>
    <s v="Host Community"/>
    <n v="4559"/>
    <n v="3"/>
    <n v="4"/>
    <n v="364.8"/>
    <n v="185.02322909285891"/>
    <n v="179.7767709071411"/>
    <n v="182.4"/>
    <n v="160.512"/>
    <n v="21.887999999999998"/>
    <n v="54.72"/>
    <n v="59"/>
    <n v="7"/>
    <n v="0"/>
    <n v="0"/>
    <n v="4"/>
    <n v="7"/>
    <n v="22"/>
    <n v="4"/>
    <n v="0"/>
    <n v="0"/>
    <n v="0"/>
    <n v="8.0017547707830664E-2"/>
    <n v="0"/>
    <n v="1262.8486952843273"/>
    <n v="3"/>
    <m/>
    <m/>
    <s v=""/>
    <s v=""/>
    <s v="Flagged"/>
    <s v=""/>
    <s v=""/>
    <m/>
    <s v=""/>
    <s v="Flagged"/>
  </r>
  <r>
    <s v="Host CommunitySD03141"/>
    <x v="2"/>
    <x v="2"/>
    <s v="Al Radoum"/>
    <s v="SD03141"/>
    <n v="46725"/>
    <s v="Host Community"/>
    <n v="11819"/>
    <n v="3"/>
    <n v="3"/>
    <n v="0"/>
    <n v="0"/>
    <n v="0"/>
    <n v="0"/>
    <n v="0"/>
    <n v="0"/>
    <n v="0"/>
    <n v="0"/>
    <n v="0"/>
    <n v="0"/>
    <n v="0"/>
    <n v="0"/>
    <n v="0"/>
    <n v="0"/>
    <n v="0"/>
    <n v="0"/>
    <n v="0"/>
    <n v="0"/>
    <n v="0"/>
    <n v="0"/>
    <n v="20.989174990875245"/>
    <n v="1"/>
    <m/>
    <m/>
    <s v=""/>
    <s v=""/>
    <s v="No target"/>
    <s v="No target"/>
    <s v=""/>
    <m/>
    <s v=""/>
    <s v="Flagged"/>
  </r>
  <r>
    <s v="Host CommunitySD03143"/>
    <x v="2"/>
    <x v="2"/>
    <s v="Ed Al Fursan"/>
    <s v="SD03143"/>
    <n v="33541"/>
    <s v="Host Community"/>
    <n v="18038"/>
    <n v="3"/>
    <n v="4"/>
    <n v="180.4"/>
    <n v="89.504834945609218"/>
    <n v="90.895165054390802"/>
    <n v="90.2"/>
    <n v="79.376000000000005"/>
    <n v="10.824"/>
    <n v="27.06"/>
    <n v="29"/>
    <n v="3"/>
    <n v="0"/>
    <n v="0"/>
    <n v="2"/>
    <n v="4"/>
    <n v="11"/>
    <n v="2"/>
    <n v="0"/>
    <n v="0"/>
    <n v="0"/>
    <n v="1.0001108770373655E-2"/>
    <n v="0"/>
    <n v="0"/>
    <n v="1"/>
    <m/>
    <m/>
    <s v=""/>
    <s v=""/>
    <s v="Flagged"/>
    <s v=""/>
    <s v=""/>
    <m/>
    <s v=""/>
    <s v="Flagged"/>
  </r>
  <r>
    <s v="Host CommunitySD03144"/>
    <x v="2"/>
    <x v="2"/>
    <s v="Kas"/>
    <s v="SD03144"/>
    <n v="153958"/>
    <s v="Host Community"/>
    <n v="102181"/>
    <n v="4"/>
    <n v="4"/>
    <n v="8174.4000000000005"/>
    <n v="4082.0358561156386"/>
    <n v="4092.364143884362"/>
    <n v="4087.2000000000003"/>
    <n v="3596.7360000000003"/>
    <n v="490.464"/>
    <n v="1226.1600000000001"/>
    <n v="1324"/>
    <n v="147"/>
    <n v="0"/>
    <n v="0"/>
    <n v="82"/>
    <n v="163"/>
    <n v="490"/>
    <n v="82"/>
    <n v="0"/>
    <n v="0"/>
    <n v="0"/>
    <n v="7.9999217075581566E-2"/>
    <n v="0"/>
    <n v="40066.236140081761"/>
    <n v="2"/>
    <m/>
    <m/>
    <s v=""/>
    <s v=""/>
    <s v="Flagged"/>
    <s v=""/>
    <s v=""/>
    <m/>
    <s v=""/>
    <s v="Flagged"/>
  </r>
  <r>
    <s v="Host CommunitySD03145"/>
    <x v="2"/>
    <x v="2"/>
    <s v="Mershing"/>
    <s v="SD03145"/>
    <n v="525"/>
    <s v="Host Community"/>
    <n v="279"/>
    <n v="4"/>
    <n v="4"/>
    <n v="89.600000000000009"/>
    <n v="42.487526961695806"/>
    <n v="47.112473038304202"/>
    <n v="44.800000000000004"/>
    <n v="39.424000000000007"/>
    <n v="5.3760000000000003"/>
    <n v="13.440000000000001"/>
    <n v="15"/>
    <n v="2"/>
    <n v="0"/>
    <n v="0"/>
    <n v="1"/>
    <n v="2"/>
    <n v="5"/>
    <n v="1"/>
    <n v="0"/>
    <n v="0"/>
    <n v="0"/>
    <n v="0.32114695340501798"/>
    <n v="0"/>
    <n v="566.70772475363162"/>
    <n v="1"/>
    <m/>
    <m/>
    <s v=""/>
    <s v=""/>
    <s v=""/>
    <s v=""/>
    <s v=""/>
    <m/>
    <s v="Yes"/>
    <s v="Ok"/>
  </r>
  <r>
    <s v="Host CommunitySD03146"/>
    <x v="2"/>
    <x v="2"/>
    <s v="Um Dafoug"/>
    <s v="SD03146"/>
    <n v="7079"/>
    <s v="Host Community"/>
    <n v="5289"/>
    <n v="3"/>
    <n v="3"/>
    <n v="0"/>
    <n v="0"/>
    <n v="0"/>
    <n v="0"/>
    <n v="0"/>
    <n v="0"/>
    <n v="0"/>
    <n v="0"/>
    <n v="0"/>
    <n v="0"/>
    <n v="0"/>
    <n v="0"/>
    <n v="0"/>
    <n v="0"/>
    <n v="0"/>
    <n v="0"/>
    <n v="0"/>
    <n v="0"/>
    <n v="0"/>
    <n v="0"/>
    <n v="0"/>
    <n v="1"/>
    <m/>
    <m/>
    <s v=""/>
    <s v=""/>
    <s v="No target"/>
    <s v="No target"/>
    <s v=""/>
    <m/>
    <s v=""/>
    <s v="Flagged"/>
  </r>
  <r>
    <s v="Host CommunitySD03147"/>
    <x v="2"/>
    <x v="2"/>
    <s v="Sharg Aj Jabal"/>
    <s v="SD03147"/>
    <n v="0"/>
    <s v="Host Community"/>
    <n v="0"/>
    <n v="3"/>
    <n v="4"/>
    <n v="0"/>
    <n v="0"/>
    <n v="0"/>
    <n v="0"/>
    <n v="0"/>
    <n v="0"/>
    <n v="0"/>
    <n v="0"/>
    <n v="0"/>
    <n v="0"/>
    <n v="0"/>
    <n v="0"/>
    <n v="0"/>
    <n v="0"/>
    <n v="0"/>
    <n v="0"/>
    <n v="0"/>
    <n v="0"/>
    <n v="0"/>
    <n v="0"/>
    <n v="31956.018923607564"/>
    <n v="1"/>
    <m/>
    <m/>
    <s v=""/>
    <s v=""/>
    <s v="No target"/>
    <s v="No target"/>
    <s v=""/>
    <m/>
    <s v="Yes"/>
    <s v="Ok"/>
  </r>
  <r>
    <s v="Host CommunitySD03149"/>
    <x v="2"/>
    <x v="2"/>
    <s v="Tulus"/>
    <s v="SD03149"/>
    <n v="20775"/>
    <s v="Host Community"/>
    <n v="4415"/>
    <n v="3"/>
    <n v="4"/>
    <n v="44.2"/>
    <n v="20.878135714919605"/>
    <n v="23.321864285080398"/>
    <n v="22.1"/>
    <n v="19.448"/>
    <n v="2.6520000000000001"/>
    <n v="6.63"/>
    <n v="7"/>
    <n v="1"/>
    <n v="0"/>
    <n v="0"/>
    <n v="0"/>
    <n v="1"/>
    <n v="3"/>
    <n v="0"/>
    <n v="0"/>
    <n v="0"/>
    <n v="0"/>
    <n v="1.0011325028312571E-2"/>
    <n v="0"/>
    <n v="0"/>
    <n v="1"/>
    <m/>
    <m/>
    <s v=""/>
    <s v=""/>
    <s v="Flagged"/>
    <s v=""/>
    <s v=""/>
    <m/>
    <s v=""/>
    <s v="Flagged"/>
  </r>
  <r>
    <s v="Host CommunitySD03150"/>
    <x v="2"/>
    <x v="2"/>
    <s v="Al Wihda"/>
    <s v="SD03150"/>
    <n v="3945"/>
    <s v="Host Community"/>
    <n v="2119"/>
    <n v="3"/>
    <n v="4"/>
    <n v="21.200000000000003"/>
    <n v="10.133018359650215"/>
    <n v="11.066981640349789"/>
    <n v="10.600000000000001"/>
    <n v="9.3280000000000012"/>
    <n v="1.272"/>
    <n v="3.18"/>
    <n v="3"/>
    <n v="0"/>
    <n v="0"/>
    <n v="0"/>
    <n v="0"/>
    <n v="0"/>
    <n v="1"/>
    <n v="0"/>
    <n v="0"/>
    <n v="0"/>
    <n v="0"/>
    <n v="1.0004719207173196E-2"/>
    <n v="0"/>
    <n v="3314.8903702255639"/>
    <n v="1"/>
    <m/>
    <m/>
    <s v=""/>
    <s v=""/>
    <s v="Flagged"/>
    <s v=""/>
    <s v=""/>
    <m/>
    <s v=""/>
    <s v="Flagged"/>
  </r>
  <r>
    <s v="Host CommunitySD03151"/>
    <x v="2"/>
    <x v="2"/>
    <s v="Nitega"/>
    <s v="SD03151"/>
    <n v="189"/>
    <s v="Host Community"/>
    <n v="155"/>
    <n v="3"/>
    <n v="4"/>
    <n v="24.8"/>
    <n v="11.934146511465812"/>
    <n v="12.865853488534189"/>
    <n v="12.4"/>
    <n v="10.912000000000001"/>
    <n v="1.488"/>
    <n v="3.7199999999999998"/>
    <n v="4"/>
    <n v="0"/>
    <n v="0"/>
    <n v="0"/>
    <n v="0"/>
    <n v="0"/>
    <n v="1"/>
    <n v="0"/>
    <n v="0"/>
    <n v="0"/>
    <n v="0"/>
    <n v="0.16"/>
    <n v="0"/>
    <n v="3215.5416086020878"/>
    <n v="1"/>
    <m/>
    <m/>
    <s v=""/>
    <s v=""/>
    <s v=""/>
    <s v=""/>
    <s v=""/>
    <m/>
    <s v="Yes"/>
    <s v="Ok"/>
  </r>
  <r>
    <s v="Host CommunitySD03153"/>
    <x v="2"/>
    <x v="2"/>
    <s v="Gereida"/>
    <s v="SD03153"/>
    <n v="916"/>
    <s v="Host Community"/>
    <n v="827"/>
    <n v="3"/>
    <n v="4"/>
    <n v="32.800000000000004"/>
    <n v="15.80797677826947"/>
    <n v="16.992023221730534"/>
    <n v="16.400000000000002"/>
    <n v="14.432000000000002"/>
    <n v="1.9680000000000002"/>
    <n v="4.9200000000000008"/>
    <n v="5"/>
    <n v="1"/>
    <n v="0"/>
    <n v="0"/>
    <n v="0"/>
    <n v="1"/>
    <n v="2"/>
    <n v="0"/>
    <n v="0"/>
    <n v="0"/>
    <n v="0"/>
    <n v="3.9661426844014518E-2"/>
    <n v="0"/>
    <n v="62485.473587001972"/>
    <n v="2"/>
    <m/>
    <m/>
    <s v=""/>
    <s v=""/>
    <s v="Flagged"/>
    <s v=""/>
    <s v=""/>
    <m/>
    <s v=""/>
    <s v="Flagged"/>
  </r>
  <r>
    <s v="Host CommunitySD03154"/>
    <x v="2"/>
    <x v="2"/>
    <s v="Shattaya"/>
    <s v="SD03154"/>
    <n v="0"/>
    <s v="Host Community"/>
    <n v="0"/>
    <n v="3"/>
    <n v="5"/>
    <n v="0"/>
    <n v="0"/>
    <n v="0"/>
    <n v="0"/>
    <n v="0"/>
    <n v="0"/>
    <n v="0"/>
    <n v="0"/>
    <n v="0"/>
    <n v="0"/>
    <n v="0"/>
    <n v="0"/>
    <n v="0"/>
    <n v="0"/>
    <n v="0"/>
    <n v="0"/>
    <n v="0"/>
    <n v="0"/>
    <n v="0"/>
    <n v="0"/>
    <n v="3927.0746407927586"/>
    <n v="1"/>
    <m/>
    <m/>
    <s v=""/>
    <s v=""/>
    <s v="No target"/>
    <s v="No target"/>
    <s v=""/>
    <m/>
    <s v=""/>
    <s v="Ok"/>
  </r>
  <r>
    <s v="Host CommunitySD03156"/>
    <x v="2"/>
    <x v="2"/>
    <s v="As Sunta"/>
    <s v="SD03156"/>
    <n v="87312"/>
    <s v="Host Community"/>
    <n v="30137"/>
    <n v="3"/>
    <n v="4"/>
    <n v="346.40000000000003"/>
    <n v="173.23137480553248"/>
    <n v="173.16862519446755"/>
    <n v="173.20000000000002"/>
    <n v="152.41600000000003"/>
    <n v="20.784000000000002"/>
    <n v="51.96"/>
    <n v="56"/>
    <n v="6"/>
    <n v="0"/>
    <n v="0"/>
    <n v="3"/>
    <n v="7"/>
    <n v="21"/>
    <n v="3"/>
    <n v="0"/>
    <n v="0"/>
    <n v="0"/>
    <n v="1.1494176593556095E-2"/>
    <n v="0"/>
    <n v="0"/>
    <n v="1"/>
    <m/>
    <m/>
    <s v=""/>
    <s v=""/>
    <s v=""/>
    <s v=""/>
    <s v=""/>
    <m/>
    <s v="Yes"/>
    <s v="Ok"/>
  </r>
  <r>
    <s v="Host CommunitySD03157"/>
    <x v="2"/>
    <x v="2"/>
    <s v="Kubum"/>
    <s v="SD03157"/>
    <n v="9090"/>
    <s v="Host Community"/>
    <n v="4553"/>
    <n v="3"/>
    <n v="4"/>
    <n v="45.6"/>
    <n v="23.196959822541679"/>
    <n v="22.403040177458323"/>
    <n v="22.8"/>
    <n v="20.064"/>
    <n v="2.7359999999999998"/>
    <n v="6.84"/>
    <n v="7"/>
    <n v="1"/>
    <n v="0"/>
    <n v="0"/>
    <n v="0"/>
    <n v="1"/>
    <n v="3"/>
    <n v="0"/>
    <n v="0"/>
    <n v="0"/>
    <n v="0"/>
    <n v="1.0015374478365913E-2"/>
    <n v="0"/>
    <n v="552.01530226001898"/>
    <n v="1"/>
    <m/>
    <m/>
    <s v=""/>
    <s v=""/>
    <s v="Flagged"/>
    <s v=""/>
    <s v=""/>
    <m/>
    <s v=""/>
    <s v="Flagged"/>
  </r>
  <r>
    <s v="Host CommunitySD03158"/>
    <x v="2"/>
    <x v="2"/>
    <s v="Rehaid Albirdi"/>
    <s v="SD03158"/>
    <n v="30621"/>
    <s v="Host Community"/>
    <n v="18534"/>
    <n v="4"/>
    <n v="4"/>
    <n v="2224"/>
    <n v="1126.8491087903815"/>
    <n v="1097.1508912096185"/>
    <n v="1112"/>
    <n v="978.56000000000006"/>
    <n v="133.44"/>
    <n v="333.59999999999997"/>
    <n v="360"/>
    <n v="40"/>
    <n v="0"/>
    <n v="0"/>
    <n v="22"/>
    <n v="44"/>
    <n v="133"/>
    <n v="22"/>
    <n v="11"/>
    <n v="0"/>
    <n v="0"/>
    <n v="0.1199956836085033"/>
    <n v="0"/>
    <n v="0"/>
    <n v="1"/>
    <m/>
    <m/>
    <s v=""/>
    <s v=""/>
    <s v=""/>
    <s v=""/>
    <s v=""/>
    <m/>
    <s v="Yes"/>
    <s v="Ok"/>
  </r>
  <r>
    <s v="Host CommunitySD03159"/>
    <x v="2"/>
    <x v="2"/>
    <s v="Kateila"/>
    <s v="SD03159"/>
    <n v="43133"/>
    <s v="Host Community"/>
    <n v="16791"/>
    <n v="3"/>
    <n v="3"/>
    <n v="0"/>
    <n v="0"/>
    <n v="0"/>
    <n v="0"/>
    <n v="0"/>
    <n v="0"/>
    <n v="0"/>
    <n v="0"/>
    <n v="0"/>
    <n v="0"/>
    <n v="0"/>
    <n v="0"/>
    <n v="0"/>
    <n v="0"/>
    <n v="0"/>
    <n v="0"/>
    <n v="0"/>
    <n v="0"/>
    <n v="0"/>
    <n v="0"/>
    <n v="3498.1958318125412"/>
    <n v="1"/>
    <m/>
    <m/>
    <s v=""/>
    <s v=""/>
    <s v="No target"/>
    <s v="No target"/>
    <s v=""/>
    <m/>
    <s v=""/>
    <s v="Flagged"/>
  </r>
  <r>
    <s v="Host CommunitySD03161"/>
    <x v="2"/>
    <x v="2"/>
    <s v="Buram"/>
    <s v="SD03161"/>
    <n v="55740"/>
    <s v="Host Community"/>
    <n v="33704"/>
    <n v="3"/>
    <n v="4"/>
    <n v="1177"/>
    <n v="583.00780235106595"/>
    <n v="593.99219764893405"/>
    <n v="588.5"/>
    <n v="517.88"/>
    <n v="70.61999999999999"/>
    <n v="176.54999999999998"/>
    <n v="191"/>
    <n v="21"/>
    <n v="0"/>
    <n v="0"/>
    <n v="12"/>
    <n v="24"/>
    <n v="71"/>
    <n v="12"/>
    <n v="0"/>
    <n v="0"/>
    <n v="0"/>
    <n v="3.4921671018276763E-2"/>
    <n v="0"/>
    <n v="5947.6325532476822"/>
    <n v="1"/>
    <m/>
    <m/>
    <s v=""/>
    <s v=""/>
    <s v="Flagged"/>
    <s v=""/>
    <s v=""/>
    <m/>
    <s v=""/>
    <s v="Flagged"/>
  </r>
  <r>
    <s v="Host CommunitySD03162"/>
    <x v="2"/>
    <x v="2"/>
    <s v="Beliel"/>
    <s v="SD03162"/>
    <n v="0"/>
    <s v="Host Community"/>
    <n v="0"/>
    <n v="4"/>
    <n v="4"/>
    <n v="0"/>
    <n v="0"/>
    <n v="0"/>
    <n v="0"/>
    <n v="0"/>
    <n v="0"/>
    <n v="0"/>
    <n v="0"/>
    <n v="0"/>
    <n v="0"/>
    <n v="0"/>
    <n v="0"/>
    <n v="0"/>
    <n v="0"/>
    <n v="0"/>
    <n v="0"/>
    <n v="0"/>
    <n v="0"/>
    <n v="0"/>
    <n v="2535"/>
    <n v="87990.819396747203"/>
    <n v="2"/>
    <m/>
    <m/>
    <s v=""/>
    <s v=""/>
    <s v="No target"/>
    <s v="No target"/>
    <s v="Yes"/>
    <m/>
    <s v=""/>
    <s v="Ok"/>
  </r>
  <r>
    <s v="Host CommunitySD03164"/>
    <x v="2"/>
    <x v="2"/>
    <s v="Nyala Shimal"/>
    <s v="SD03164"/>
    <n v="167630"/>
    <s v="Host Community"/>
    <n v="121625"/>
    <n v="4"/>
    <n v="5"/>
    <n v="19021.600000000002"/>
    <n v="9684.2019094148418"/>
    <n v="9337.3980905851604"/>
    <n v="9510.8000000000011"/>
    <n v="8369.5040000000008"/>
    <n v="1141.296"/>
    <n v="2853.2400000000002"/>
    <n v="3081"/>
    <n v="342"/>
    <n v="0"/>
    <n v="0"/>
    <n v="190"/>
    <n v="380"/>
    <n v="1141"/>
    <n v="190"/>
    <n v="0"/>
    <n v="0"/>
    <n v="0"/>
    <n v="0.15639547790339159"/>
    <n v="0"/>
    <n v="16573.752211961459"/>
    <n v="3"/>
    <m/>
    <m/>
    <s v=""/>
    <s v=""/>
    <s v=""/>
    <s v=""/>
    <s v="Yes"/>
    <m/>
    <s v=""/>
    <s v="Ok"/>
  </r>
  <r>
    <s v="Host CommunitySD03166"/>
    <x v="2"/>
    <x v="2"/>
    <s v="As Salam - SD"/>
    <s v="SD03166"/>
    <n v="16250"/>
    <s v="Host Community"/>
    <n v="9865"/>
    <n v="3"/>
    <n v="4"/>
    <n v="394.6"/>
    <n v="199.06020244472174"/>
    <n v="195.53979755527831"/>
    <n v="197.3"/>
    <n v="173.62400000000002"/>
    <n v="23.676000000000002"/>
    <n v="59.19"/>
    <n v="64"/>
    <n v="7"/>
    <n v="0"/>
    <n v="0"/>
    <n v="4"/>
    <n v="8"/>
    <n v="24"/>
    <n v="4"/>
    <n v="0"/>
    <n v="0"/>
    <n v="0"/>
    <n v="0.04"/>
    <n v="0"/>
    <n v="23835.307119637931"/>
    <n v="3"/>
    <m/>
    <m/>
    <s v=""/>
    <s v=""/>
    <s v="Flagged"/>
    <s v=""/>
    <s v=""/>
    <m/>
    <s v=""/>
    <s v="Flagged"/>
  </r>
  <r>
    <s v="Host CommunitySD03167"/>
    <x v="2"/>
    <x v="2"/>
    <s v="Nyala Janoub"/>
    <s v="SD03167"/>
    <n v="0"/>
    <s v="Host Community"/>
    <n v="0"/>
    <n v="3"/>
    <n v="4"/>
    <n v="0"/>
    <n v="0"/>
    <n v="0"/>
    <n v="0"/>
    <n v="0"/>
    <n v="0"/>
    <n v="0"/>
    <n v="0"/>
    <n v="0"/>
    <n v="0"/>
    <n v="0"/>
    <n v="0"/>
    <n v="0"/>
    <n v="0"/>
    <n v="0"/>
    <n v="0"/>
    <n v="0"/>
    <n v="0"/>
    <n v="0"/>
    <n v="0"/>
    <n v="10379.14703298781"/>
    <n v="4"/>
    <m/>
    <m/>
    <s v=""/>
    <s v=""/>
    <s v="No target"/>
    <s v="No target"/>
    <s v="Yes"/>
    <m/>
    <s v=""/>
    <s v="Ok"/>
  </r>
  <r>
    <s v="Host CommunitySD03172"/>
    <x v="2"/>
    <x v="2"/>
    <s v="Damso"/>
    <s v="SD03172"/>
    <n v="8997"/>
    <s v="Host Community"/>
    <n v="3425"/>
    <n v="3"/>
    <n v="3"/>
    <n v="0"/>
    <n v="0"/>
    <n v="0"/>
    <n v="0"/>
    <n v="0"/>
    <n v="0"/>
    <n v="0"/>
    <n v="0"/>
    <n v="0"/>
    <n v="0"/>
    <n v="0"/>
    <n v="0"/>
    <n v="0"/>
    <n v="0"/>
    <n v="0"/>
    <n v="0"/>
    <n v="0"/>
    <n v="0"/>
    <n v="0"/>
    <n v="0"/>
    <n v="483.4506639564932"/>
    <n v="1"/>
    <m/>
    <m/>
    <s v=""/>
    <s v=""/>
    <s v="No target"/>
    <s v="No target"/>
    <s v=""/>
    <m/>
    <s v=""/>
    <s v="Flagged"/>
  </r>
  <r>
    <s v="Host CommunitySD04111"/>
    <x v="3"/>
    <x v="3"/>
    <s v="Beida"/>
    <s v="SD04111"/>
    <n v="3105"/>
    <s v="Host Community"/>
    <n v="2423"/>
    <n v="3"/>
    <n v="4"/>
    <n v="97"/>
    <n v="49.394976818446985"/>
    <n v="47.605023181553015"/>
    <n v="48.5"/>
    <n v="42.68"/>
    <n v="5.8199999999999994"/>
    <n v="14.549999999999999"/>
    <n v="16"/>
    <n v="2"/>
    <n v="0"/>
    <n v="0"/>
    <n v="1"/>
    <n v="2"/>
    <n v="6"/>
    <n v="1"/>
    <n v="0"/>
    <n v="0"/>
    <n v="0"/>
    <n v="4.0033016921172102E-2"/>
    <n v="0"/>
    <n v="1704.32100925907"/>
    <n v="1"/>
    <m/>
    <m/>
    <s v=""/>
    <s v=""/>
    <s v="Flagged"/>
    <s v=""/>
    <s v=""/>
    <m/>
    <s v=""/>
    <s v="Flagged"/>
  </r>
  <r>
    <s v="Host CommunitySD04115"/>
    <x v="3"/>
    <x v="3"/>
    <s v="Ag Geneina"/>
    <s v="SD04115"/>
    <n v="69941"/>
    <s v="Host Community"/>
    <n v="23740"/>
    <n v="3"/>
    <n v="4"/>
    <n v="1914.2"/>
    <n v="946.87589096601903"/>
    <n v="967.32410903398102"/>
    <n v="957.1"/>
    <n v="842.24800000000005"/>
    <n v="114.852"/>
    <n v="287.13"/>
    <n v="310"/>
    <n v="34"/>
    <n v="0"/>
    <n v="0"/>
    <n v="19"/>
    <n v="38"/>
    <n v="115"/>
    <n v="19"/>
    <n v="0"/>
    <n v="0"/>
    <n v="0"/>
    <n v="8.0631844987363102E-2"/>
    <n v="6385"/>
    <n v="180128.40013252501"/>
    <n v="5"/>
    <m/>
    <m/>
    <s v=""/>
    <s v=""/>
    <s v=""/>
    <s v=""/>
    <s v=""/>
    <m/>
    <s v=""/>
    <s v="Flagged"/>
  </r>
  <r>
    <s v="Host CommunitySD04121"/>
    <x v="3"/>
    <x v="3"/>
    <s v="Foro Baranga"/>
    <s v="SD04121"/>
    <n v="9710"/>
    <s v="Host Community"/>
    <n v="4996"/>
    <n v="3"/>
    <n v="5"/>
    <n v="799.2"/>
    <n v="400.87767857142865"/>
    <n v="398.32232142857146"/>
    <n v="399.6"/>
    <n v="351.64800000000002"/>
    <n v="47.951999999999998"/>
    <n v="119.88"/>
    <n v="129"/>
    <n v="14"/>
    <n v="0"/>
    <n v="0"/>
    <n v="8"/>
    <n v="16"/>
    <n v="48"/>
    <n v="8"/>
    <n v="0"/>
    <n v="0"/>
    <n v="0"/>
    <n v="0.15996797437950361"/>
    <n v="0"/>
    <n v="39125.221461324189"/>
    <n v="3"/>
    <m/>
    <m/>
    <s v=""/>
    <s v=""/>
    <s v=""/>
    <s v=""/>
    <s v=""/>
    <m/>
    <s v=""/>
    <s v="Ok"/>
  </r>
  <r>
    <s v="Host CommunitySD04122"/>
    <x v="3"/>
    <x v="3"/>
    <s v="Habila - WD"/>
    <s v="SD04122"/>
    <n v="17721"/>
    <s v="Host Community"/>
    <n v="11297"/>
    <n v="3"/>
    <n v="4"/>
    <n v="1441.2"/>
    <n v="735.3923753665689"/>
    <n v="705.80762463343115"/>
    <n v="720.6"/>
    <n v="634.12800000000004"/>
    <n v="86.471999999999994"/>
    <n v="216.18"/>
    <n v="233"/>
    <n v="26"/>
    <n v="0"/>
    <n v="0"/>
    <n v="14"/>
    <n v="29"/>
    <n v="86"/>
    <n v="14"/>
    <n v="0"/>
    <n v="0"/>
    <n v="0"/>
    <n v="0.12757369213065417"/>
    <n v="0"/>
    <n v="20422.467266121614"/>
    <n v="2"/>
    <m/>
    <m/>
    <s v=""/>
    <s v=""/>
    <s v=""/>
    <s v=""/>
    <s v=""/>
    <m/>
    <s v="Yes"/>
    <s v="Ok"/>
  </r>
  <r>
    <s v="Host CommunitySD04123"/>
    <x v="3"/>
    <x v="3"/>
    <s v="Jebel Moon"/>
    <s v="SD04123"/>
    <n v="0"/>
    <s v="Host Community"/>
    <n v="0"/>
    <n v="3"/>
    <n v="5"/>
    <n v="0"/>
    <n v="0"/>
    <n v="0"/>
    <n v="0"/>
    <n v="0"/>
    <n v="0"/>
    <n v="0"/>
    <n v="0"/>
    <n v="0"/>
    <n v="0"/>
    <n v="0"/>
    <n v="0"/>
    <n v="0"/>
    <n v="0"/>
    <n v="0"/>
    <n v="0"/>
    <n v="0"/>
    <n v="0"/>
    <n v="0"/>
    <n v="0"/>
    <n v="47047.935381213225"/>
    <n v="2"/>
    <m/>
    <m/>
    <s v=""/>
    <s v=""/>
    <s v="No target"/>
    <s v="No target"/>
    <s v=""/>
    <m/>
    <s v=""/>
    <s v="Ok"/>
  </r>
  <r>
    <s v="Host CommunitySD04125"/>
    <x v="3"/>
    <x v="3"/>
    <s v="Kereneik"/>
    <s v="SD04125"/>
    <n v="41790"/>
    <s v="Host Community"/>
    <n v="25790"/>
    <n v="3"/>
    <n v="4"/>
    <n v="258"/>
    <n v="129.80460705236976"/>
    <n v="128.19539294763021"/>
    <n v="129"/>
    <n v="113.52"/>
    <n v="15.479999999999999"/>
    <n v="38.699999999999996"/>
    <n v="42"/>
    <n v="5"/>
    <n v="0"/>
    <n v="0"/>
    <n v="3"/>
    <n v="5"/>
    <n v="15"/>
    <n v="3"/>
    <n v="0"/>
    <n v="0"/>
    <n v="0"/>
    <n v="1.0003877471888328E-2"/>
    <n v="10200"/>
    <n v="63282.362597488871"/>
    <n v="3"/>
    <m/>
    <m/>
    <s v=""/>
    <s v=""/>
    <s v=""/>
    <s v=""/>
    <s v="Yes"/>
    <m/>
    <s v=""/>
    <s v="Ok"/>
  </r>
  <r>
    <s v="Host CommunitySD04127"/>
    <x v="3"/>
    <x v="3"/>
    <s v="Kulbus"/>
    <s v="SD04127"/>
    <n v="0"/>
    <s v="Host Community"/>
    <n v="0"/>
    <n v="3"/>
    <n v="4"/>
    <n v="0"/>
    <n v="0"/>
    <n v="0"/>
    <n v="0"/>
    <n v="0"/>
    <n v="0"/>
    <n v="0"/>
    <n v="0"/>
    <n v="0"/>
    <n v="0"/>
    <n v="0"/>
    <n v="0"/>
    <n v="0"/>
    <n v="0"/>
    <n v="0"/>
    <n v="0"/>
    <n v="0"/>
    <n v="0"/>
    <n v="0"/>
    <n v="0"/>
    <n v="173457.3406812585"/>
    <n v="2"/>
    <m/>
    <m/>
    <s v=""/>
    <s v=""/>
    <s v="No target"/>
    <s v="No target"/>
    <s v=""/>
    <m/>
    <s v="Yes"/>
    <s v="Ok"/>
  </r>
  <r>
    <s v="Host CommunitySD04134"/>
    <x v="3"/>
    <x v="3"/>
    <s v="Sirba"/>
    <s v="SD04134"/>
    <n v="26225"/>
    <s v="Host Community"/>
    <n v="11006"/>
    <n v="3"/>
    <n v="4"/>
    <n v="440.20000000000005"/>
    <n v="217.93486644391766"/>
    <n v="222.26513355608239"/>
    <n v="220.10000000000002"/>
    <n v="193.68800000000002"/>
    <n v="26.412000000000003"/>
    <n v="66.03"/>
    <n v="71"/>
    <n v="8"/>
    <n v="0"/>
    <n v="0"/>
    <n v="4"/>
    <n v="9"/>
    <n v="26"/>
    <n v="4"/>
    <n v="0"/>
    <n v="0"/>
    <n v="0"/>
    <n v="3.9996365618753409E-2"/>
    <n v="30895"/>
    <n v="22311.493015300388"/>
    <n v="5"/>
    <m/>
    <m/>
    <s v=""/>
    <s v=""/>
    <s v=""/>
    <s v=""/>
    <s v="Yes"/>
    <m/>
    <s v=""/>
    <s v="Ok"/>
  </r>
  <r>
    <s v="Host CommunitySD05139"/>
    <x v="4"/>
    <x v="4"/>
    <s v="Adila"/>
    <s v="SD05139"/>
    <n v="56553"/>
    <s v="Host Community"/>
    <n v="24140"/>
    <n v="3"/>
    <n v="3"/>
    <n v="458.8"/>
    <n v="223.917360389268"/>
    <n v="234.88263961073201"/>
    <n v="229.4"/>
    <n v="201.87200000000001"/>
    <n v="27.527999999999999"/>
    <n v="68.819999999999993"/>
    <n v="74"/>
    <n v="8"/>
    <n v="0"/>
    <n v="0"/>
    <n v="5"/>
    <n v="9"/>
    <n v="28"/>
    <n v="5"/>
    <n v="0"/>
    <n v="0"/>
    <n v="0"/>
    <n v="1.9005799502899753E-2"/>
    <n v="665"/>
    <n v="19428.979649886853"/>
    <n v="2"/>
    <m/>
    <m/>
    <s v=""/>
    <s v=""/>
    <s v=""/>
    <s v=""/>
    <s v=""/>
    <m/>
    <s v=""/>
    <s v="Flagged"/>
  </r>
  <r>
    <s v="Host CommunitySD05140"/>
    <x v="4"/>
    <x v="4"/>
    <s v="Abu Jabrah"/>
    <s v="SD05140"/>
    <n v="48571"/>
    <s v="Host Community"/>
    <n v="43540"/>
    <n v="3"/>
    <n v="3"/>
    <n v="0"/>
    <n v="0"/>
    <n v="0"/>
    <n v="0"/>
    <n v="0"/>
    <n v="0"/>
    <n v="0"/>
    <n v="0"/>
    <n v="0"/>
    <n v="0"/>
    <n v="0"/>
    <n v="0"/>
    <n v="0"/>
    <n v="0"/>
    <n v="0"/>
    <n v="0"/>
    <n v="0"/>
    <n v="0"/>
    <n v="0"/>
    <n v="0"/>
    <n v="3773.8536633593694"/>
    <n v="1"/>
    <m/>
    <m/>
    <s v=""/>
    <s v=""/>
    <s v="No target"/>
    <s v="No target"/>
    <s v=""/>
    <m/>
    <s v=""/>
    <s v="Flagged"/>
  </r>
  <r>
    <s v="Host CommunitySD05142"/>
    <x v="4"/>
    <x v="4"/>
    <s v="Ad Du'ayn"/>
    <s v="SD05142"/>
    <n v="62149"/>
    <s v="Host Community"/>
    <n v="42447"/>
    <n v="3"/>
    <n v="3"/>
    <n v="10942.6"/>
    <n v="5518.3989779703452"/>
    <n v="5424.2010220296552"/>
    <n v="5471.3"/>
    <n v="4814.7440000000006"/>
    <n v="656.55600000000004"/>
    <n v="1641.39"/>
    <n v="1773"/>
    <n v="197"/>
    <n v="0"/>
    <n v="0"/>
    <n v="109"/>
    <n v="219"/>
    <n v="657"/>
    <n v="109"/>
    <n v="0"/>
    <n v="0"/>
    <n v="0"/>
    <n v="0.2577944259900582"/>
    <n v="6555"/>
    <n v="74040.014419478801"/>
    <n v="4"/>
    <m/>
    <m/>
    <s v=""/>
    <s v=""/>
    <s v=""/>
    <s v="Flagged"/>
    <s v=""/>
    <m/>
    <s v=""/>
    <s v="Flagged"/>
  </r>
  <r>
    <s v="Host CommunitySD05148"/>
    <x v="4"/>
    <x v="4"/>
    <s v="Shia'ria"/>
    <s v="SD05148"/>
    <n v="120603"/>
    <s v="Host Community"/>
    <n v="86508"/>
    <n v="3"/>
    <n v="5"/>
    <n v="1653.36"/>
    <n v="841.83129241780273"/>
    <n v="811.52870758219717"/>
    <n v="826.68"/>
    <n v="727.47839999999997"/>
    <n v="99.201599999999985"/>
    <n v="248.00399999999996"/>
    <n v="268"/>
    <n v="30"/>
    <n v="0"/>
    <n v="0"/>
    <n v="17"/>
    <n v="33"/>
    <n v="99"/>
    <n v="17"/>
    <n v="0"/>
    <n v="0"/>
    <n v="0"/>
    <n v="1.9112220835067275E-2"/>
    <n v="0"/>
    <n v="20360.899019481716"/>
    <n v="1"/>
    <m/>
    <m/>
    <s v=""/>
    <s v=""/>
    <s v=""/>
    <s v=""/>
    <s v=""/>
    <m/>
    <s v=""/>
    <s v="Ok"/>
  </r>
  <r>
    <s v="Host CommunitySD05152"/>
    <x v="4"/>
    <x v="4"/>
    <s v="Al Firdous"/>
    <s v="SD05152"/>
    <n v="64116"/>
    <s v="Host Community"/>
    <n v="32544"/>
    <n v="3"/>
    <n v="3"/>
    <n v="606"/>
    <n v="310.2246361959418"/>
    <n v="295.7753638040582"/>
    <n v="303"/>
    <n v="266.64"/>
    <n v="36.36"/>
    <n v="90.899999999999991"/>
    <n v="98"/>
    <n v="11"/>
    <n v="0"/>
    <n v="0"/>
    <n v="6"/>
    <n v="12"/>
    <n v="36"/>
    <n v="6"/>
    <n v="0"/>
    <n v="0"/>
    <n v="0"/>
    <n v="1.8620943952802359E-2"/>
    <n v="0"/>
    <n v="10137.771520592743"/>
    <n v="2"/>
    <m/>
    <m/>
    <s v=""/>
    <s v=""/>
    <s v=""/>
    <s v=""/>
    <s v="Yes"/>
    <m/>
    <s v=""/>
    <s v="Ok"/>
  </r>
  <r>
    <s v="Host CommunitySD05155"/>
    <x v="4"/>
    <x v="4"/>
    <s v="Abu Karinka"/>
    <s v="SD05155"/>
    <n v="46868"/>
    <s v="Host Community"/>
    <n v="33943"/>
    <n v="3"/>
    <n v="3"/>
    <n v="0"/>
    <n v="0"/>
    <n v="0"/>
    <n v="0"/>
    <n v="0"/>
    <n v="0"/>
    <n v="0"/>
    <n v="0"/>
    <n v="0"/>
    <n v="0"/>
    <n v="0"/>
    <n v="0"/>
    <n v="0"/>
    <n v="0"/>
    <n v="0"/>
    <n v="0"/>
    <n v="0"/>
    <n v="0"/>
    <n v="0"/>
    <n v="0"/>
    <n v="16212.738402118403"/>
    <n v="1"/>
    <m/>
    <m/>
    <s v=""/>
    <s v=""/>
    <s v="No target"/>
    <s v="No target"/>
    <s v=""/>
    <m/>
    <s v=""/>
    <s v="Flagged"/>
  </r>
  <r>
    <s v="Host CommunitySD05160"/>
    <x v="4"/>
    <x v="4"/>
    <s v="Bahr Al Arab"/>
    <s v="SD05160"/>
    <n v="85220"/>
    <s v="Host Community"/>
    <n v="63798"/>
    <n v="3"/>
    <n v="3"/>
    <n v="0"/>
    <n v="0"/>
    <n v="0"/>
    <n v="0"/>
    <n v="0"/>
    <n v="0"/>
    <n v="0"/>
    <n v="0"/>
    <n v="0"/>
    <n v="0"/>
    <n v="0"/>
    <n v="0"/>
    <n v="0"/>
    <n v="0"/>
    <n v="0"/>
    <n v="0"/>
    <n v="0"/>
    <n v="0"/>
    <n v="0"/>
    <n v="0"/>
    <n v="1973.6820883086357"/>
    <n v="1"/>
    <m/>
    <m/>
    <s v=""/>
    <s v=""/>
    <s v="No target"/>
    <s v="No target"/>
    <s v=""/>
    <m/>
    <s v=""/>
    <s v="Flagged"/>
  </r>
  <r>
    <s v="Host CommunitySD05163"/>
    <x v="4"/>
    <x v="4"/>
    <s v="Assalaya"/>
    <s v="SD05163"/>
    <n v="30544"/>
    <s v="Host Community"/>
    <n v="24000"/>
    <n v="3"/>
    <n v="3"/>
    <n v="0"/>
    <n v="0"/>
    <n v="0"/>
    <n v="0"/>
    <n v="0"/>
    <n v="0"/>
    <n v="0"/>
    <n v="0"/>
    <n v="0"/>
    <n v="0"/>
    <n v="0"/>
    <n v="0"/>
    <n v="0"/>
    <n v="0"/>
    <n v="0"/>
    <n v="0"/>
    <n v="0"/>
    <n v="0"/>
    <n v="0"/>
    <n v="0"/>
    <n v="4615.5195804934665"/>
    <n v="1"/>
    <m/>
    <m/>
    <s v=""/>
    <s v=""/>
    <s v="No target"/>
    <s v="No target"/>
    <s v=""/>
    <m/>
    <s v=""/>
    <s v="Flagged"/>
  </r>
  <r>
    <s v="Host CommunitySD05165"/>
    <x v="4"/>
    <x v="4"/>
    <s v="Yassin"/>
    <s v="SD05165"/>
    <n v="71747"/>
    <s v="Host Community"/>
    <n v="37850"/>
    <n v="3"/>
    <n v="4"/>
    <n v="417.40000000000003"/>
    <n v="207.28807204073703"/>
    <n v="210.111927959263"/>
    <n v="208.70000000000002"/>
    <n v="183.65600000000001"/>
    <n v="25.044"/>
    <n v="62.61"/>
    <n v="68"/>
    <n v="8"/>
    <n v="0"/>
    <n v="0"/>
    <n v="4"/>
    <n v="8"/>
    <n v="25"/>
    <n v="4"/>
    <n v="0"/>
    <n v="0"/>
    <n v="0"/>
    <n v="1.102774108322325E-2"/>
    <n v="0"/>
    <n v="32871.146953209725"/>
    <n v="1"/>
    <m/>
    <m/>
    <s v=""/>
    <s v=""/>
    <s v="Flagged"/>
    <s v=""/>
    <s v=""/>
    <m/>
    <s v=""/>
    <s v="Flagged"/>
  </r>
  <r>
    <s v="Host CommunitySD06110"/>
    <x v="5"/>
    <x v="5"/>
    <s v="Azum"/>
    <s v="SD06110"/>
    <n v="0"/>
    <s v="Host Community"/>
    <n v="0"/>
    <n v="3"/>
    <n v="4"/>
    <n v="0"/>
    <n v="0"/>
    <n v="0"/>
    <n v="0"/>
    <n v="0"/>
    <n v="0"/>
    <n v="0"/>
    <n v="0"/>
    <n v="0"/>
    <n v="0"/>
    <n v="0"/>
    <n v="0"/>
    <n v="0"/>
    <n v="0"/>
    <n v="0"/>
    <n v="0"/>
    <n v="0"/>
    <n v="0"/>
    <n v="0"/>
    <n v="0"/>
    <n v="45014.783963763781"/>
    <n v="1"/>
    <m/>
    <m/>
    <s v=""/>
    <s v=""/>
    <s v="No target"/>
    <s v="No target"/>
    <s v=""/>
    <m/>
    <s v=""/>
    <s v="Flagged"/>
  </r>
  <r>
    <s v="Host CommunitySD06112"/>
    <x v="5"/>
    <x v="5"/>
    <s v="Bendasi"/>
    <s v="SD06112"/>
    <n v="28525"/>
    <s v="Host Community"/>
    <n v="17107"/>
    <n v="3"/>
    <n v="4"/>
    <n v="171"/>
    <n v="89.155949446447138"/>
    <n v="81.844050553552862"/>
    <n v="85.5"/>
    <n v="75.239999999999995"/>
    <n v="10.26"/>
    <n v="25.65"/>
    <n v="28"/>
    <n v="3"/>
    <n v="0"/>
    <n v="0"/>
    <n v="2"/>
    <n v="3"/>
    <n v="10"/>
    <n v="2"/>
    <n v="0"/>
    <n v="0"/>
    <n v="0"/>
    <n v="9.9959081077921324E-3"/>
    <n v="0"/>
    <n v="30559.539147547996"/>
    <n v="2"/>
    <m/>
    <m/>
    <s v=""/>
    <s v=""/>
    <s v="Flagged"/>
    <s v=""/>
    <s v=""/>
    <m/>
    <s v=""/>
    <s v="Flagged"/>
  </r>
  <r>
    <s v="Host CommunitySD06130"/>
    <x v="5"/>
    <x v="5"/>
    <s v="Mukjar"/>
    <s v="SD06130"/>
    <n v="15932"/>
    <s v="Host Community"/>
    <n v="3340"/>
    <n v="3"/>
    <n v="4"/>
    <n v="482.20000000000005"/>
    <n v="248.71800035803795"/>
    <n v="233.48199964196206"/>
    <n v="241.10000000000002"/>
    <n v="212.16800000000003"/>
    <n v="28.932000000000002"/>
    <n v="72.33"/>
    <n v="78"/>
    <n v="9"/>
    <n v="0"/>
    <n v="0"/>
    <n v="5"/>
    <n v="10"/>
    <n v="29"/>
    <n v="5"/>
    <n v="0"/>
    <n v="0"/>
    <n v="0"/>
    <n v="0.14437125748502996"/>
    <n v="0"/>
    <n v="8395.6699963500978"/>
    <n v="2"/>
    <m/>
    <m/>
    <s v=""/>
    <s v=""/>
    <s v=""/>
    <s v=""/>
    <s v="Yes"/>
    <m/>
    <s v="Yes"/>
    <s v="Ok"/>
  </r>
  <r>
    <s v="Host CommunitySD06131"/>
    <x v="5"/>
    <x v="5"/>
    <s v="Gharb Jabal Marrah"/>
    <s v="SD06131"/>
    <n v="32249"/>
    <s v="Host Community"/>
    <n v="12839"/>
    <n v="3"/>
    <n v="4"/>
    <n v="2631.2000000000003"/>
    <n v="1322.3922478865393"/>
    <n v="1308.807752113461"/>
    <n v="1315.6000000000001"/>
    <n v="1157.7280000000001"/>
    <n v="157.87200000000001"/>
    <n v="394.68"/>
    <n v="426"/>
    <n v="47"/>
    <n v="0"/>
    <n v="0"/>
    <n v="26"/>
    <n v="53"/>
    <n v="158"/>
    <n v="26"/>
    <n v="0"/>
    <n v="0"/>
    <n v="0"/>
    <n v="0.20493807928966432"/>
    <n v="0"/>
    <n v="26517.723683471788"/>
    <n v="2"/>
    <m/>
    <m/>
    <s v=""/>
    <s v=""/>
    <s v=""/>
    <s v=""/>
    <s v="Yes"/>
    <m/>
    <s v=""/>
    <s v="Ok"/>
  </r>
  <r>
    <s v="Host CommunitySD06132"/>
    <x v="5"/>
    <x v="5"/>
    <s v="Shamal Jabal Marrah"/>
    <s v="SD06132"/>
    <n v="0"/>
    <s v="Host Community"/>
    <n v="0"/>
    <n v="3"/>
    <n v="4"/>
    <n v="0"/>
    <n v="0"/>
    <n v="0"/>
    <n v="0"/>
    <n v="0"/>
    <n v="0"/>
    <n v="0"/>
    <n v="0"/>
    <n v="0"/>
    <n v="0"/>
    <n v="0"/>
    <n v="0"/>
    <n v="0"/>
    <n v="0"/>
    <n v="0"/>
    <n v="0"/>
    <n v="0"/>
    <n v="0"/>
    <n v="0"/>
    <n v="0"/>
    <n v="22037.234462086282"/>
    <n v="2"/>
    <m/>
    <m/>
    <s v=""/>
    <s v=""/>
    <s v="No target"/>
    <s v="No target"/>
    <s v="Yes"/>
    <m/>
    <s v="Yes"/>
    <s v="Ok"/>
  </r>
  <r>
    <s v="Host CommunitySD06135"/>
    <x v="5"/>
    <x v="5"/>
    <s v="Um Dukhun"/>
    <s v="SD06135"/>
    <n v="37755"/>
    <s v="Host Community"/>
    <n v="18444"/>
    <n v="3"/>
    <n v="4"/>
    <n v="606"/>
    <n v="318.106729468357"/>
    <n v="287.89327053164305"/>
    <n v="303"/>
    <n v="266.64"/>
    <n v="36.36"/>
    <n v="90.899999999999991"/>
    <n v="98"/>
    <n v="11"/>
    <n v="0"/>
    <n v="0"/>
    <n v="6"/>
    <n v="12"/>
    <n v="36"/>
    <n v="6"/>
    <n v="0"/>
    <n v="0"/>
    <n v="0"/>
    <n v="3.2856213402732592E-2"/>
    <n v="0"/>
    <n v="122506.81803007518"/>
    <n v="3"/>
    <m/>
    <m/>
    <s v=""/>
    <s v=""/>
    <s v=""/>
    <s v=""/>
    <s v="Yes"/>
    <m/>
    <s v=""/>
    <s v="Ok"/>
  </r>
  <r>
    <s v="Host CommunitySD06137"/>
    <x v="5"/>
    <x v="5"/>
    <s v="Wadi Salih"/>
    <s v="SD06137"/>
    <n v="0"/>
    <s v="Host Community"/>
    <n v="0"/>
    <n v="3"/>
    <n v="4"/>
    <n v="0"/>
    <n v="0"/>
    <n v="0"/>
    <n v="0"/>
    <n v="0"/>
    <n v="0"/>
    <n v="0"/>
    <n v="0"/>
    <n v="0"/>
    <n v="0"/>
    <n v="0"/>
    <n v="0"/>
    <n v="0"/>
    <n v="0"/>
    <n v="0"/>
    <n v="0"/>
    <n v="0"/>
    <n v="0"/>
    <n v="0"/>
    <n v="0"/>
    <n v="39295.233778750277"/>
    <n v="1"/>
    <m/>
    <m/>
    <s v=""/>
    <s v=""/>
    <s v="No target"/>
    <s v="No target"/>
    <s v="Yes"/>
    <m/>
    <s v="Yes"/>
    <s v="Ok"/>
  </r>
  <r>
    <s v="Host CommunitySD06138"/>
    <x v="5"/>
    <x v="5"/>
    <s v="Zalingi"/>
    <s v="SD06138"/>
    <n v="0"/>
    <s v="Host Community"/>
    <n v="0"/>
    <n v="4"/>
    <n v="4"/>
    <n v="0"/>
    <n v="0"/>
    <n v="0"/>
    <n v="0"/>
    <n v="0"/>
    <n v="0"/>
    <n v="0"/>
    <n v="0"/>
    <n v="0"/>
    <n v="0"/>
    <n v="0"/>
    <n v="0"/>
    <n v="0"/>
    <n v="0"/>
    <n v="0"/>
    <n v="0"/>
    <n v="0"/>
    <n v="0"/>
    <n v="0"/>
    <n v="0"/>
    <n v="82715.540082373904"/>
    <n v="3"/>
    <m/>
    <m/>
    <s v=""/>
    <s v=""/>
    <s v="No target"/>
    <s v="No target"/>
    <s v=""/>
    <m/>
    <s v="Yes"/>
    <s v="Ok"/>
  </r>
  <r>
    <s v="Host CommunitySD06139"/>
    <x v="5"/>
    <x v="5"/>
    <s v="Wasat Jabal Marrah"/>
    <s v="SD06139"/>
    <n v="0"/>
    <s v="Host Community"/>
    <n v="0"/>
    <n v="3"/>
    <n v="4"/>
    <n v="0"/>
    <n v="0"/>
    <n v="0"/>
    <n v="0"/>
    <n v="0"/>
    <n v="0"/>
    <n v="0"/>
    <n v="0"/>
    <n v="0"/>
    <n v="0"/>
    <n v="0"/>
    <n v="0"/>
    <n v="0"/>
    <n v="0"/>
    <n v="0"/>
    <n v="0"/>
    <n v="0"/>
    <n v="0"/>
    <n v="0"/>
    <n v="0"/>
    <n v="86660.805341492087"/>
    <n v="2"/>
    <m/>
    <m/>
    <s v=""/>
    <s v=""/>
    <s v="No target"/>
    <s v="No target"/>
    <s v="Yes"/>
    <m/>
    <s v=""/>
    <s v="Ok"/>
  </r>
  <r>
    <s v="Host CommunitySD07088"/>
    <x v="6"/>
    <x v="6"/>
    <s v="Abu Jubayhah"/>
    <s v="SD07088"/>
    <n v="67940"/>
    <s v="Host Community"/>
    <n v="32653"/>
    <n v="3"/>
    <n v="4"/>
    <n v="558.4"/>
    <n v="287.82352474629602"/>
    <n v="270.57647525370396"/>
    <n v="279.2"/>
    <n v="245.696"/>
    <n v="33.503999999999998"/>
    <n v="83.759999999999991"/>
    <n v="90"/>
    <n v="10"/>
    <n v="0"/>
    <n v="0"/>
    <n v="6"/>
    <n v="11"/>
    <n v="34"/>
    <n v="6"/>
    <n v="0"/>
    <n v="0"/>
    <n v="0"/>
    <n v="1.7101032064435119E-2"/>
    <n v="0"/>
    <n v="165218.38985817358"/>
    <n v="1"/>
    <m/>
    <m/>
    <s v=""/>
    <s v=""/>
    <s v="Flagged"/>
    <s v=""/>
    <s v=""/>
    <m/>
    <s v=""/>
    <s v="Flagged"/>
  </r>
  <r>
    <s v="Host CommunitySD07089"/>
    <x v="6"/>
    <x v="6"/>
    <s v="Talawdi"/>
    <s v="SD07089"/>
    <n v="0"/>
    <s v="Host Community"/>
    <n v="0"/>
    <n v="3"/>
    <n v="4"/>
    <n v="0"/>
    <n v="0"/>
    <n v="0"/>
    <n v="0"/>
    <n v="0"/>
    <n v="0"/>
    <n v="0"/>
    <n v="0"/>
    <n v="0"/>
    <n v="0"/>
    <n v="0"/>
    <n v="0"/>
    <n v="0"/>
    <n v="0"/>
    <n v="0"/>
    <n v="0"/>
    <n v="0"/>
    <n v="0"/>
    <n v="0"/>
    <n v="0"/>
    <n v="40264.234024162346"/>
    <n v="1"/>
    <m/>
    <m/>
    <s v=""/>
    <s v=""/>
    <s v="No target"/>
    <s v="No target"/>
    <s v=""/>
    <m/>
    <s v=""/>
    <s v="Flagged"/>
  </r>
  <r>
    <s v="Host CommunitySD07090"/>
    <x v="6"/>
    <x v="6"/>
    <s v="Abassiya"/>
    <s v="SD07090"/>
    <n v="26911"/>
    <s v="Host Community"/>
    <n v="23298"/>
    <n v="4"/>
    <n v="4"/>
    <n v="4362.8"/>
    <n v="2291.0741785499768"/>
    <n v="2071.7258214500234"/>
    <n v="2181.4"/>
    <n v="1919.6320000000001"/>
    <n v="261.76800000000003"/>
    <n v="654.41999999999996"/>
    <n v="707"/>
    <n v="79"/>
    <n v="0"/>
    <n v="0"/>
    <n v="44"/>
    <n v="87"/>
    <n v="262"/>
    <n v="44"/>
    <n v="0"/>
    <n v="0"/>
    <n v="0"/>
    <n v="0.18726070907374023"/>
    <n v="0"/>
    <n v="41444.525297815897"/>
    <n v="2"/>
    <m/>
    <m/>
    <s v=""/>
    <s v=""/>
    <s v="Flagged"/>
    <s v=""/>
    <s v=""/>
    <m/>
    <s v=""/>
    <s v="Flagged"/>
  </r>
  <r>
    <s v="Host CommunitySD07091"/>
    <x v="6"/>
    <x v="6"/>
    <s v="Um Durein"/>
    <s v="SD07091"/>
    <n v="0"/>
    <s v="Host Community"/>
    <n v="0"/>
    <n v="3"/>
    <n v="4"/>
    <n v="0"/>
    <n v="0"/>
    <n v="0"/>
    <n v="0"/>
    <n v="0"/>
    <n v="0"/>
    <n v="0"/>
    <n v="0"/>
    <n v="0"/>
    <n v="0"/>
    <n v="0"/>
    <n v="0"/>
    <n v="0"/>
    <n v="0"/>
    <n v="0"/>
    <n v="0"/>
    <n v="0"/>
    <n v="0"/>
    <n v="0"/>
    <n v="0"/>
    <n v="3498.1958318125412"/>
    <n v="1"/>
    <m/>
    <m/>
    <s v=""/>
    <s v=""/>
    <s v="No target"/>
    <s v="No target"/>
    <s v=""/>
    <m/>
    <s v=""/>
    <s v="Flagged"/>
  </r>
  <r>
    <s v="Host CommunitySD07093"/>
    <x v="6"/>
    <x v="6"/>
    <s v="Ar Rashad"/>
    <s v="SD07093"/>
    <n v="22213"/>
    <s v="Host Community"/>
    <n v="11206"/>
    <n v="3"/>
    <n v="4"/>
    <n v="222.60000000000002"/>
    <n v="115.91888822474598"/>
    <n v="106.68111177525405"/>
    <n v="111.30000000000001"/>
    <n v="97.944000000000017"/>
    <n v="13.356000000000002"/>
    <n v="33.39"/>
    <n v="36"/>
    <n v="4"/>
    <n v="0"/>
    <n v="0"/>
    <n v="2"/>
    <n v="4"/>
    <n v="13"/>
    <n v="2"/>
    <n v="0"/>
    <n v="0"/>
    <n v="0"/>
    <n v="1.9864358379439589E-2"/>
    <n v="0"/>
    <n v="37003.915508913058"/>
    <n v="1"/>
    <m/>
    <m/>
    <s v=""/>
    <s v=""/>
    <s v="Flagged"/>
    <s v=""/>
    <s v=""/>
    <m/>
    <s v=""/>
    <s v="Flagged"/>
  </r>
  <r>
    <s v="Host CommunitySD07094"/>
    <x v="6"/>
    <x v="6"/>
    <s v="Al Quoz"/>
    <s v="SD07094"/>
    <n v="8964"/>
    <s v="Host Community"/>
    <n v="4574"/>
    <n v="3"/>
    <n v="4"/>
    <n v="88.600000000000009"/>
    <n v="46.096584237908665"/>
    <n v="42.503415762091336"/>
    <n v="44.300000000000004"/>
    <n v="38.984000000000002"/>
    <n v="5.3160000000000007"/>
    <n v="13.290000000000001"/>
    <n v="14"/>
    <n v="2"/>
    <n v="0"/>
    <n v="0"/>
    <n v="1"/>
    <n v="2"/>
    <n v="5"/>
    <n v="1"/>
    <n v="0"/>
    <n v="0"/>
    <n v="0"/>
    <n v="1.9370354175776129E-2"/>
    <n v="0"/>
    <n v="0"/>
    <n v="1"/>
    <m/>
    <m/>
    <s v=""/>
    <s v=""/>
    <s v="Flagged"/>
    <s v=""/>
    <s v=""/>
    <m/>
    <s v=""/>
    <s v="Flagged"/>
  </r>
  <r>
    <s v="Host CommunitySD07095"/>
    <x v="6"/>
    <x v="6"/>
    <s v="Dilling"/>
    <s v="SD07095"/>
    <n v="44909"/>
    <s v="Host Community"/>
    <n v="16056"/>
    <n v="3"/>
    <n v="4"/>
    <n v="1267"/>
    <n v="657.57044927499305"/>
    <n v="609.42955072500695"/>
    <n v="633.5"/>
    <n v="557.48"/>
    <n v="76.02"/>
    <n v="190.04999999999998"/>
    <n v="205"/>
    <n v="23"/>
    <n v="0"/>
    <n v="0"/>
    <n v="13"/>
    <n v="25"/>
    <n v="76"/>
    <n v="13"/>
    <n v="0"/>
    <n v="0"/>
    <n v="0"/>
    <n v="7.8911310413552566E-2"/>
    <n v="0"/>
    <n v="15175.873157569165"/>
    <n v="2"/>
    <m/>
    <m/>
    <s v=""/>
    <s v=""/>
    <s v=""/>
    <s v=""/>
    <s v="Yes"/>
    <m/>
    <s v=""/>
    <s v="Ok"/>
  </r>
  <r>
    <s v="Host CommunitySD07096"/>
    <x v="6"/>
    <x v="6"/>
    <s v="Heiban"/>
    <s v="SD07096"/>
    <n v="0"/>
    <s v="Host Community"/>
    <n v="0"/>
    <n v="3"/>
    <n v="4"/>
    <n v="0"/>
    <n v="0"/>
    <n v="0"/>
    <n v="0"/>
    <n v="0"/>
    <n v="0"/>
    <n v="0"/>
    <n v="0"/>
    <n v="0"/>
    <n v="0"/>
    <n v="0"/>
    <n v="0"/>
    <n v="0"/>
    <n v="0"/>
    <n v="0"/>
    <n v="0"/>
    <n v="0"/>
    <n v="0"/>
    <n v="0"/>
    <n v="0"/>
    <n v="71057.452653275424"/>
    <n v="1"/>
    <m/>
    <m/>
    <s v=""/>
    <s v=""/>
    <s v="No target"/>
    <s v="No target"/>
    <s v=""/>
    <m/>
    <s v=""/>
    <s v="Flagged"/>
  </r>
  <r>
    <s v="Host CommunitySD07097"/>
    <x v="6"/>
    <x v="6"/>
    <s v="Ar Reif Ash Shargi"/>
    <s v="SD07097"/>
    <n v="477"/>
    <s v="Host Community"/>
    <n v="369"/>
    <n v="3"/>
    <n v="4"/>
    <n v="14.4"/>
    <n v="7.4309059154073962"/>
    <n v="6.9690940845926042"/>
    <n v="7.2"/>
    <n v="6.3360000000000003"/>
    <n v="0.86399999999999999"/>
    <n v="2.16"/>
    <n v="2"/>
    <n v="0"/>
    <n v="0"/>
    <n v="0"/>
    <n v="0"/>
    <n v="0"/>
    <n v="1"/>
    <n v="0"/>
    <n v="0"/>
    <n v="0"/>
    <n v="0"/>
    <n v="3.9024390243902439E-2"/>
    <n v="0"/>
    <n v="14817.657904391561"/>
    <n v="1"/>
    <m/>
    <m/>
    <s v=""/>
    <s v=""/>
    <s v="Flagged"/>
    <s v=""/>
    <s v=""/>
    <m/>
    <s v=""/>
    <s v="Flagged"/>
  </r>
  <r>
    <s v="Host CommunitySD07098"/>
    <x v="6"/>
    <x v="6"/>
    <s v="Kadugli"/>
    <s v="SD07098"/>
    <n v="0"/>
    <s v="Host Community"/>
    <n v="0"/>
    <n v="3"/>
    <n v="4"/>
    <n v="0"/>
    <n v="0"/>
    <n v="0"/>
    <n v="0"/>
    <n v="0"/>
    <n v="0"/>
    <n v="0"/>
    <n v="0"/>
    <n v="0"/>
    <n v="0"/>
    <n v="0"/>
    <n v="0"/>
    <n v="0"/>
    <n v="0"/>
    <n v="0"/>
    <n v="0"/>
    <n v="0"/>
    <n v="0"/>
    <n v="0"/>
    <n v="0"/>
    <n v="20923.408909237172"/>
    <n v="3"/>
    <m/>
    <m/>
    <s v=""/>
    <s v=""/>
    <s v="No target"/>
    <s v="No target"/>
    <s v="Yes"/>
    <m/>
    <s v=""/>
    <s v="Ok"/>
  </r>
  <r>
    <s v="Host CommunitySD07099"/>
    <x v="6"/>
    <x v="6"/>
    <s v="Al Buram"/>
    <s v="SD07099"/>
    <n v="0"/>
    <s v="Host Community"/>
    <n v="0"/>
    <n v="4"/>
    <n v="4"/>
    <n v="0"/>
    <n v="0"/>
    <n v="0"/>
    <n v="0"/>
    <n v="0"/>
    <n v="0"/>
    <n v="0"/>
    <n v="0"/>
    <n v="0"/>
    <n v="0"/>
    <n v="0"/>
    <n v="0"/>
    <n v="0"/>
    <n v="0"/>
    <n v="0"/>
    <n v="0"/>
    <n v="0"/>
    <n v="0"/>
    <n v="0"/>
    <n v="0"/>
    <n v="24273.281237780859"/>
    <n v="1"/>
    <m/>
    <m/>
    <s v=""/>
    <s v=""/>
    <s v="No target"/>
    <s v="No target"/>
    <s v=""/>
    <m/>
    <s v=""/>
    <s v="Flagged"/>
  </r>
  <r>
    <s v="Host CommunitySD07103"/>
    <x v="6"/>
    <x v="6"/>
    <s v="Habila - SK"/>
    <s v="SD07103"/>
    <n v="483"/>
    <s v="Host Community"/>
    <n v="411"/>
    <n v="4"/>
    <n v="4"/>
    <n v="131.20000000000002"/>
    <n v="67.850293646556324"/>
    <n v="63.349706353443679"/>
    <n v="65.600000000000009"/>
    <n v="57.728000000000009"/>
    <n v="7.8720000000000008"/>
    <n v="19.680000000000003"/>
    <n v="21"/>
    <n v="2"/>
    <n v="0"/>
    <n v="0"/>
    <n v="1"/>
    <n v="3"/>
    <n v="8"/>
    <n v="1"/>
    <n v="0"/>
    <n v="0"/>
    <n v="0"/>
    <n v="0.31922141119221414"/>
    <n v="0"/>
    <n v="3169.3654236221623"/>
    <n v="2"/>
    <m/>
    <m/>
    <s v=""/>
    <s v=""/>
    <s v=""/>
    <s v=""/>
    <s v=""/>
    <m/>
    <s v="Yes"/>
    <s v="Ok"/>
  </r>
  <r>
    <s v="Host CommunitySD07104"/>
    <x v="6"/>
    <x v="6"/>
    <s v="Abu Kershola"/>
    <s v="SD07104"/>
    <n v="22620"/>
    <s v="Host Community"/>
    <n v="13778"/>
    <n v="3"/>
    <n v="4"/>
    <n v="325.40000000000003"/>
    <n v="169.57111692313933"/>
    <n v="155.82888307686071"/>
    <n v="162.70000000000002"/>
    <n v="143.17600000000002"/>
    <n v="19.524000000000001"/>
    <n v="48.81"/>
    <n v="53"/>
    <n v="6"/>
    <n v="0"/>
    <n v="0"/>
    <n v="3"/>
    <n v="7"/>
    <n v="20"/>
    <n v="3"/>
    <n v="0"/>
    <n v="0"/>
    <n v="0"/>
    <n v="2.3617361010306287E-2"/>
    <n v="0"/>
    <n v="8525.8028812935245"/>
    <n v="1"/>
    <m/>
    <m/>
    <s v=""/>
    <s v=""/>
    <s v="Flagged"/>
    <s v=""/>
    <s v=""/>
    <m/>
    <s v=""/>
    <s v="Flagged"/>
  </r>
  <r>
    <s v="Host CommunitySD07105"/>
    <x v="6"/>
    <x v="6"/>
    <s v="Al Leri"/>
    <s v="SD07105"/>
    <n v="8373"/>
    <s v="Host Community"/>
    <n v="7151"/>
    <n v="3"/>
    <n v="4"/>
    <n v="113.4"/>
    <n v="59.351323943661974"/>
    <n v="54.048676056338032"/>
    <n v="56.7"/>
    <n v="49.896000000000001"/>
    <n v="6.8040000000000003"/>
    <n v="17.010000000000002"/>
    <n v="18"/>
    <n v="2"/>
    <n v="0"/>
    <n v="0"/>
    <n v="1"/>
    <n v="2"/>
    <n v="7"/>
    <n v="1"/>
    <n v="0"/>
    <n v="0"/>
    <n v="0"/>
    <n v="1.5857921968955392E-2"/>
    <n v="0"/>
    <n v="124798.13629991241"/>
    <n v="1"/>
    <m/>
    <m/>
    <s v=""/>
    <s v=""/>
    <s v="Flagged"/>
    <s v=""/>
    <s v=""/>
    <m/>
    <s v=""/>
    <s v="Flagged"/>
  </r>
  <r>
    <s v="Host CommunitySD07106"/>
    <x v="6"/>
    <x v="6"/>
    <s v="At Tadamon - SK"/>
    <s v="SD07106"/>
    <n v="2887"/>
    <s v="Host Community"/>
    <n v="1286"/>
    <n v="3"/>
    <n v="4"/>
    <n v="9.4"/>
    <n v="4.8106970365511899"/>
    <n v="4.5893029634488105"/>
    <n v="4.7"/>
    <n v="4.1360000000000001"/>
    <n v="0.56399999999999995"/>
    <n v="1.41"/>
    <n v="2"/>
    <n v="0"/>
    <n v="0"/>
    <n v="0"/>
    <n v="0"/>
    <n v="0"/>
    <n v="1"/>
    <n v="0"/>
    <n v="0"/>
    <n v="0"/>
    <n v="0"/>
    <n v="7.3094867807153964E-3"/>
    <n v="0"/>
    <n v="48338.070003985697"/>
    <n v="1"/>
    <m/>
    <m/>
    <s v=""/>
    <s v=""/>
    <s v="Flagged"/>
    <s v=""/>
    <s v=""/>
    <m/>
    <s v=""/>
    <s v="Flagged"/>
  </r>
  <r>
    <s v="Host CommunitySD07107"/>
    <x v="6"/>
    <x v="6"/>
    <s v="Delami"/>
    <s v="SD07107"/>
    <n v="4781"/>
    <s v="Host Community"/>
    <n v="3117"/>
    <n v="3"/>
    <n v="4"/>
    <n v="62.400000000000006"/>
    <n v="31.105254819118038"/>
    <n v="31.294745180881968"/>
    <n v="31.200000000000003"/>
    <n v="27.456000000000003"/>
    <n v="3.7440000000000002"/>
    <n v="9.3600000000000012"/>
    <n v="10"/>
    <n v="1"/>
    <n v="0"/>
    <n v="0"/>
    <n v="1"/>
    <n v="1"/>
    <n v="4"/>
    <n v="1"/>
    <n v="0"/>
    <n v="0"/>
    <n v="0"/>
    <n v="2.001924927815207E-2"/>
    <n v="0"/>
    <n v="1609.170082633769"/>
    <n v="1"/>
    <m/>
    <m/>
    <s v=""/>
    <s v=""/>
    <s v="Flagged"/>
    <s v=""/>
    <s v=""/>
    <m/>
    <s v=""/>
    <s v="Flagged"/>
  </r>
  <r>
    <s v="Host CommunitySD07108"/>
    <x v="6"/>
    <x v="6"/>
    <s v="Ghadeer"/>
    <s v="SD07108"/>
    <n v="0"/>
    <s v="Host Community"/>
    <n v="0"/>
    <n v="3"/>
    <n v="4"/>
    <n v="0"/>
    <n v="0"/>
    <n v="0"/>
    <n v="0"/>
    <n v="0"/>
    <n v="0"/>
    <n v="0"/>
    <n v="0"/>
    <n v="0"/>
    <n v="0"/>
    <n v="0"/>
    <n v="0"/>
    <n v="0"/>
    <n v="0"/>
    <n v="0"/>
    <n v="0"/>
    <n v="0"/>
    <n v="0"/>
    <n v="0"/>
    <n v="0"/>
    <n v="45861.347355062411"/>
    <n v="1"/>
    <m/>
    <m/>
    <s v=""/>
    <s v=""/>
    <s v="No target"/>
    <s v="No target"/>
    <s v=""/>
    <m/>
    <s v="Yes"/>
    <s v="Ok"/>
  </r>
  <r>
    <s v="Host CommunitySD08104"/>
    <x v="7"/>
    <x v="7"/>
    <s v="Baw"/>
    <s v="SD08104"/>
    <n v="50471"/>
    <s v="Host Community"/>
    <n v="44046"/>
    <n v="4"/>
    <n v="4"/>
    <n v="881"/>
    <n v="445.06549668002185"/>
    <n v="435.93450331997821"/>
    <n v="440.5"/>
    <n v="387.64"/>
    <n v="52.86"/>
    <n v="132.15"/>
    <n v="143"/>
    <n v="16"/>
    <n v="0"/>
    <n v="0"/>
    <n v="9"/>
    <n v="18"/>
    <n v="53"/>
    <n v="9"/>
    <n v="0"/>
    <n v="0"/>
    <n v="0"/>
    <n v="2.0001816282976887E-2"/>
    <n v="0"/>
    <n v="32230.977115988029"/>
    <n v="1"/>
    <m/>
    <m/>
    <s v=""/>
    <s v=""/>
    <s v="Flagged"/>
    <s v=""/>
    <s v=""/>
    <m/>
    <s v=""/>
    <s v="Flagged"/>
  </r>
  <r>
    <s v="Host CommunitySD08105"/>
    <x v="7"/>
    <x v="7"/>
    <s v="Ed Damazine"/>
    <s v="SD08105"/>
    <n v="129751"/>
    <s v="Host Community"/>
    <n v="77968"/>
    <n v="3"/>
    <n v="3"/>
    <n v="3032.6000000000004"/>
    <n v="1522.8642092467799"/>
    <n v="1509.7357907532203"/>
    <n v="1516.3000000000002"/>
    <n v="1334.3440000000003"/>
    <n v="181.95600000000002"/>
    <n v="454.89000000000004"/>
    <n v="491"/>
    <n v="55"/>
    <n v="0"/>
    <n v="0"/>
    <n v="30"/>
    <n v="61"/>
    <n v="182"/>
    <n v="30"/>
    <n v="0"/>
    <n v="0"/>
    <n v="0"/>
    <n v="3.889544428483481E-2"/>
    <n v="0"/>
    <n v="167142.39756567049"/>
    <n v="5"/>
    <m/>
    <m/>
    <s v=""/>
    <s v=""/>
    <s v=""/>
    <s v="Flagged"/>
    <s v=""/>
    <m/>
    <s v=""/>
    <s v="Flagged"/>
  </r>
  <r>
    <s v="Host CommunitySD08106"/>
    <x v="7"/>
    <x v="7"/>
    <s v="Al Kurmuk"/>
    <s v="SD08106"/>
    <n v="17761"/>
    <s v="Host Community"/>
    <n v="15018"/>
    <n v="3"/>
    <n v="4"/>
    <n v="1225.8"/>
    <n v="604.33679849062185"/>
    <n v="621.46320150937811"/>
    <n v="612.9"/>
    <n v="539.35199999999998"/>
    <n v="73.547999999999988"/>
    <n v="183.86999999999998"/>
    <n v="199"/>
    <n v="22"/>
    <n v="0"/>
    <n v="0"/>
    <n v="12"/>
    <n v="25"/>
    <n v="74"/>
    <n v="12"/>
    <n v="0"/>
    <n v="0"/>
    <n v="0"/>
    <n v="8.1622053535757091E-2"/>
    <n v="0"/>
    <n v="74643.103380883273"/>
    <n v="2"/>
    <m/>
    <m/>
    <s v=""/>
    <s v=""/>
    <s v="Flagged"/>
    <s v=""/>
    <s v=""/>
    <m/>
    <s v=""/>
    <s v="Flagged"/>
  </r>
  <r>
    <s v="Host CommunitySD08107"/>
    <x v="7"/>
    <x v="7"/>
    <s v="Ar Rusayris"/>
    <s v="SD08107"/>
    <n v="50975"/>
    <s v="Host Community"/>
    <n v="8913"/>
    <n v="2"/>
    <n v="3"/>
    <n v="0"/>
    <n v="0"/>
    <n v="0"/>
    <n v="0"/>
    <n v="0"/>
    <n v="0"/>
    <n v="0"/>
    <n v="0"/>
    <n v="0"/>
    <n v="0"/>
    <n v="0"/>
    <n v="0"/>
    <n v="0"/>
    <n v="0"/>
    <n v="0"/>
    <n v="0"/>
    <n v="0"/>
    <n v="0"/>
    <n v="0"/>
    <n v="0"/>
    <n v="107441.4878607913"/>
    <n v="2"/>
    <m/>
    <m/>
    <s v=""/>
    <s v=""/>
    <s v="No target"/>
    <s v="No target"/>
    <s v=""/>
    <m/>
    <s v=""/>
    <s v="Flagged"/>
  </r>
  <r>
    <s v="Host CommunitySD08108"/>
    <x v="7"/>
    <x v="7"/>
    <s v="At Tadamon - BN"/>
    <s v="SD08108"/>
    <n v="21640"/>
    <s v="Host Community"/>
    <n v="16422"/>
    <n v="3"/>
    <n v="4"/>
    <n v="328.40000000000003"/>
    <n v="164.48423124347909"/>
    <n v="163.91576875652095"/>
    <n v="164.20000000000002"/>
    <n v="144.49600000000001"/>
    <n v="19.704000000000001"/>
    <n v="49.260000000000005"/>
    <n v="53"/>
    <n v="6"/>
    <n v="0"/>
    <n v="0"/>
    <n v="3"/>
    <n v="7"/>
    <n v="20"/>
    <n v="3"/>
    <n v="0"/>
    <n v="0"/>
    <n v="0"/>
    <n v="1.9997564243088541E-2"/>
    <n v="0"/>
    <n v="46763.182240503687"/>
    <n v="1"/>
    <m/>
    <m/>
    <s v=""/>
    <s v=""/>
    <s v="Flagged"/>
    <s v=""/>
    <s v=""/>
    <m/>
    <s v=""/>
    <s v="Flagged"/>
  </r>
  <r>
    <s v="Host CommunitySD08109"/>
    <x v="7"/>
    <x v="7"/>
    <s v="Geisan"/>
    <s v="SD08109"/>
    <n v="33794"/>
    <s v="Host Community"/>
    <n v="22198"/>
    <n v="3"/>
    <n v="3"/>
    <n v="894.80000000000007"/>
    <n v="451.35918973736233"/>
    <n v="443.4408102626378"/>
    <n v="447.40000000000003"/>
    <n v="393.71200000000005"/>
    <n v="53.688000000000002"/>
    <n v="134.22"/>
    <n v="145"/>
    <n v="16"/>
    <n v="0"/>
    <n v="0"/>
    <n v="9"/>
    <n v="18"/>
    <n v="54"/>
    <n v="9"/>
    <n v="0"/>
    <n v="0"/>
    <n v="0"/>
    <n v="4.0309937832237144E-2"/>
    <n v="0"/>
    <n v="35685.095680319733"/>
    <n v="2"/>
    <m/>
    <m/>
    <s v=""/>
    <s v=""/>
    <s v=""/>
    <s v="Flagged"/>
    <s v=""/>
    <m/>
    <s v=""/>
    <s v="Flagged"/>
  </r>
  <r>
    <s v="Host CommunitySD08110"/>
    <x v="7"/>
    <x v="7"/>
    <s v="Wad Al Mahi"/>
    <s v="SD08110"/>
    <n v="21683"/>
    <s v="Host Community"/>
    <n v="9138"/>
    <n v="3"/>
    <n v="3"/>
    <n v="163"/>
    <n v="81.366849404589018"/>
    <n v="81.633150595410982"/>
    <n v="81.5"/>
    <n v="71.72"/>
    <n v="9.7799999999999994"/>
    <n v="24.45"/>
    <n v="26"/>
    <n v="3"/>
    <n v="0"/>
    <n v="0"/>
    <n v="2"/>
    <n v="3"/>
    <n v="10"/>
    <n v="2"/>
    <n v="0"/>
    <n v="0"/>
    <n v="0"/>
    <n v="1.7837601225651128E-2"/>
    <n v="0"/>
    <n v="29297.390091430032"/>
    <n v="2"/>
    <m/>
    <m/>
    <s v=""/>
    <s v=""/>
    <s v=""/>
    <s v="Flagged"/>
    <s v=""/>
    <m/>
    <s v=""/>
    <s v="Flagged"/>
  </r>
  <r>
    <s v="Host CommunitySD09044"/>
    <x v="8"/>
    <x v="8"/>
    <s v="Ad Diwaim"/>
    <s v="SD09044"/>
    <n v="85388"/>
    <s v="Host Community"/>
    <n v="52030"/>
    <n v="3"/>
    <n v="4"/>
    <n v="1038.2"/>
    <n v="548.76771916715654"/>
    <n v="489.4322808328435"/>
    <n v="519.1"/>
    <n v="456.80800000000005"/>
    <n v="62.292000000000002"/>
    <n v="155.72999999999999"/>
    <n v="168"/>
    <n v="19"/>
    <n v="0"/>
    <n v="0"/>
    <n v="10"/>
    <n v="21"/>
    <n v="62"/>
    <n v="10"/>
    <n v="0"/>
    <n v="0"/>
    <n v="0"/>
    <n v="1.9953872765712088E-2"/>
    <n v="0"/>
    <n v="69814.893493815602"/>
    <n v="2"/>
    <m/>
    <m/>
    <s v=""/>
    <s v=""/>
    <s v="Flagged"/>
    <s v=""/>
    <s v=""/>
    <m/>
    <s v=""/>
    <s v="Flagged"/>
  </r>
  <r>
    <s v="Host CommunitySD09045"/>
    <x v="8"/>
    <x v="8"/>
    <s v="Um Rimta"/>
    <s v="SD09045"/>
    <n v="12850"/>
    <s v="Host Community"/>
    <n v="5478"/>
    <n v="3"/>
    <n v="3"/>
    <n v="0"/>
    <n v="0"/>
    <n v="0"/>
    <n v="0"/>
    <n v="0"/>
    <n v="0"/>
    <n v="0"/>
    <n v="0"/>
    <n v="0"/>
    <n v="0"/>
    <n v="0"/>
    <n v="0"/>
    <n v="0"/>
    <n v="0"/>
    <n v="0"/>
    <n v="0"/>
    <n v="0"/>
    <n v="0"/>
    <n v="0"/>
    <n v="0"/>
    <n v="4514.7715405372655"/>
    <n v="1"/>
    <m/>
    <m/>
    <s v=""/>
    <s v=""/>
    <s v="No target"/>
    <s v="No target"/>
    <s v=""/>
    <m/>
    <s v=""/>
    <s v="Flagged"/>
  </r>
  <r>
    <s v="Host CommunitySD09046"/>
    <x v="8"/>
    <x v="8"/>
    <s v="Rabak"/>
    <s v="SD09046"/>
    <n v="143680"/>
    <s v="Host Community"/>
    <n v="85945"/>
    <n v="4"/>
    <n v="3"/>
    <n v="10316.6"/>
    <n v="5395.636201373617"/>
    <n v="4920.9637986263842"/>
    <n v="5158.3"/>
    <n v="4539.3040000000001"/>
    <n v="618.99599999999998"/>
    <n v="1547.49"/>
    <n v="1671"/>
    <n v="186"/>
    <n v="0"/>
    <n v="0"/>
    <n v="103"/>
    <n v="206"/>
    <n v="619"/>
    <n v="103"/>
    <n v="0"/>
    <n v="0"/>
    <n v="0"/>
    <n v="0.12003723311420095"/>
    <n v="0"/>
    <n v="58261.052300505151"/>
    <n v="4"/>
    <m/>
    <m/>
    <s v=""/>
    <s v=""/>
    <s v=""/>
    <s v="Flagged"/>
    <s v=""/>
    <m/>
    <s v=""/>
    <s v="Flagged"/>
  </r>
  <r>
    <s v="Host CommunitySD09047"/>
    <x v="8"/>
    <x v="8"/>
    <s v="Kosti"/>
    <s v="SD09047"/>
    <n v="212484"/>
    <s v="Host Community"/>
    <n v="89755"/>
    <n v="3"/>
    <n v="3"/>
    <n v="2703.2000000000003"/>
    <n v="1423.8963942829682"/>
    <n v="1279.303605717032"/>
    <n v="1351.6000000000001"/>
    <n v="1189.4080000000001"/>
    <n v="162.19200000000001"/>
    <n v="405.48"/>
    <n v="438"/>
    <n v="49"/>
    <n v="0"/>
    <n v="0"/>
    <n v="27"/>
    <n v="54"/>
    <n v="162"/>
    <n v="27"/>
    <n v="0"/>
    <n v="0"/>
    <n v="0"/>
    <n v="3.011754219820623E-2"/>
    <n v="0"/>
    <n v="48970.543810377399"/>
    <n v="6"/>
    <m/>
    <m/>
    <s v=""/>
    <s v=""/>
    <s v=""/>
    <s v="Flagged"/>
    <s v=""/>
    <m/>
    <s v=""/>
    <s v="Flagged"/>
  </r>
  <r>
    <s v="Host CommunitySD09048"/>
    <x v="8"/>
    <x v="8"/>
    <s v="Tendalti"/>
    <s v="SD09048"/>
    <n v="19380"/>
    <s v="Host Community"/>
    <n v="5926"/>
    <n v="3"/>
    <n v="3"/>
    <n v="118.60000000000001"/>
    <n v="62.707878258213412"/>
    <n v="55.892121741786589"/>
    <n v="59.300000000000004"/>
    <n v="52.184000000000005"/>
    <n v="7.1160000000000005"/>
    <n v="17.79"/>
    <n v="19"/>
    <n v="2"/>
    <n v="0"/>
    <n v="0"/>
    <n v="1"/>
    <n v="2"/>
    <n v="7"/>
    <n v="1"/>
    <n v="0"/>
    <n v="0"/>
    <n v="0"/>
    <n v="2.0013499831252109E-2"/>
    <n v="0"/>
    <n v="5177.3298310825612"/>
    <n v="3"/>
    <m/>
    <m/>
    <s v=""/>
    <s v=""/>
    <s v=""/>
    <s v="Flagged"/>
    <s v=""/>
    <m/>
    <s v=""/>
    <s v="Flagged"/>
  </r>
  <r>
    <s v="Host CommunitySD09049"/>
    <x v="8"/>
    <x v="8"/>
    <s v="As Salam / Ar Rawat"/>
    <s v="SD09049"/>
    <n v="0"/>
    <s v="Host Community"/>
    <n v="0"/>
    <n v="3"/>
    <n v="3"/>
    <n v="0"/>
    <n v="0"/>
    <n v="0"/>
    <n v="0"/>
    <n v="0"/>
    <n v="0"/>
    <n v="0"/>
    <n v="0"/>
    <n v="0"/>
    <n v="0"/>
    <n v="0"/>
    <n v="0"/>
    <n v="0"/>
    <n v="0"/>
    <n v="0"/>
    <n v="0"/>
    <n v="0"/>
    <n v="0"/>
    <n v="0"/>
    <n v="0"/>
    <n v="32897.03360236514"/>
    <n v="4"/>
    <m/>
    <m/>
    <s v=""/>
    <s v=""/>
    <s v="No target"/>
    <s v="No target"/>
    <s v=""/>
    <m/>
    <s v=""/>
    <s v="Flagged"/>
  </r>
  <r>
    <s v="Host CommunitySD09050"/>
    <x v="8"/>
    <x v="8"/>
    <s v="Al Gitaina"/>
    <s v="SD09050"/>
    <n v="16497"/>
    <s v="Host Community"/>
    <n v="9643"/>
    <n v="3"/>
    <n v="4"/>
    <n v="99.2"/>
    <n v="51.318227634660417"/>
    <n v="47.881772365339579"/>
    <n v="49.6"/>
    <n v="43.648000000000003"/>
    <n v="5.952"/>
    <n v="14.879999999999999"/>
    <n v="16"/>
    <n v="2"/>
    <n v="0"/>
    <n v="0"/>
    <n v="1"/>
    <n v="2"/>
    <n v="6"/>
    <n v="1"/>
    <n v="0"/>
    <n v="0"/>
    <n v="0"/>
    <n v="1.0287255003629576E-2"/>
    <n v="0"/>
    <n v="7048.8646011022702"/>
    <n v="1"/>
    <m/>
    <m/>
    <s v=""/>
    <s v=""/>
    <s v="Flagged"/>
    <s v=""/>
    <s v=""/>
    <m/>
    <s v=""/>
    <s v="Flagged"/>
  </r>
  <r>
    <s v="Host CommunitySD09051"/>
    <x v="8"/>
    <x v="8"/>
    <s v="Aj Jabalain"/>
    <s v="SD09051"/>
    <n v="225999"/>
    <s v="Host Community"/>
    <n v="184424"/>
    <n v="4"/>
    <n v="4"/>
    <n v="13059.400000000001"/>
    <n v="6777.0951086556315"/>
    <n v="6282.304891344369"/>
    <n v="6529.7000000000007"/>
    <n v="5746.1360000000004"/>
    <n v="783.56400000000008"/>
    <n v="1958.91"/>
    <n v="2116"/>
    <n v="235"/>
    <n v="0"/>
    <n v="0"/>
    <n v="131"/>
    <n v="261"/>
    <n v="784"/>
    <n v="131"/>
    <n v="0"/>
    <n v="0"/>
    <n v="0"/>
    <n v="7.0811824925172434E-2"/>
    <n v="0"/>
    <n v="37369.127153754293"/>
    <n v="3"/>
    <m/>
    <m/>
    <s v=""/>
    <s v=""/>
    <s v="Flagged"/>
    <s v=""/>
    <s v=""/>
    <m/>
    <s v=""/>
    <s v="Flagged"/>
  </r>
  <r>
    <s v="Host CommunitySD09052"/>
    <x v="8"/>
    <x v="8"/>
    <s v="Guli"/>
    <s v="SD09052"/>
    <n v="26540"/>
    <s v="Host Community"/>
    <n v="16883"/>
    <n v="3"/>
    <n v="4"/>
    <n v="167.8"/>
    <n v="87.013500168061853"/>
    <n v="80.786499831938158"/>
    <n v="83.9"/>
    <n v="73.832000000000008"/>
    <n v="10.068"/>
    <n v="25.17"/>
    <n v="27"/>
    <n v="3"/>
    <n v="0"/>
    <n v="0"/>
    <n v="2"/>
    <n v="3"/>
    <n v="10"/>
    <n v="2"/>
    <n v="0"/>
    <n v="0"/>
    <n v="0"/>
    <n v="9.9389918853284367E-3"/>
    <n v="0"/>
    <n v="35682.29712365428"/>
    <n v="1"/>
    <m/>
    <m/>
    <s v=""/>
    <s v=""/>
    <s v="Flagged"/>
    <s v=""/>
    <s v=""/>
    <m/>
    <s v=""/>
    <s v="Flagged"/>
  </r>
  <r>
    <s v="Host CommunitySD10063"/>
    <x v="9"/>
    <x v="9"/>
    <s v="Dordieb"/>
    <s v="SD10063"/>
    <n v="1160"/>
    <s v="Host Community"/>
    <n v="777"/>
    <n v="3"/>
    <n v="3"/>
    <n v="85.4"/>
    <n v="39.008843028505098"/>
    <n v="46.391156971494908"/>
    <n v="42.7"/>
    <n v="37.576000000000001"/>
    <n v="5.1240000000000006"/>
    <n v="12.81"/>
    <n v="14"/>
    <n v="2"/>
    <n v="0"/>
    <n v="0"/>
    <n v="1"/>
    <n v="2"/>
    <n v="5"/>
    <n v="1"/>
    <n v="0"/>
    <n v="0"/>
    <n v="0"/>
    <n v="0.10990990990990991"/>
    <n v="0"/>
    <n v="21318.005399065627"/>
    <n v="1"/>
    <m/>
    <m/>
    <s v=""/>
    <s v=""/>
    <s v=""/>
    <s v="Flagged"/>
    <s v=""/>
    <m/>
    <s v=""/>
    <s v="Flagged"/>
  </r>
  <r>
    <s v="Host CommunitySD10064"/>
    <x v="9"/>
    <x v="9"/>
    <s v="Port Sudan"/>
    <s v="SD10064"/>
    <n v="257748"/>
    <s v="Host Community"/>
    <n v="164740"/>
    <n v="3"/>
    <n v="3"/>
    <n v="12250"/>
    <n v="6146.8915823614834"/>
    <n v="6103.1084176385157"/>
    <n v="6125"/>
    <n v="5390"/>
    <n v="735"/>
    <n v="1837.5"/>
    <n v="1985"/>
    <n v="221"/>
    <n v="0"/>
    <n v="0"/>
    <n v="123"/>
    <n v="245"/>
    <n v="735"/>
    <n v="123"/>
    <n v="61"/>
    <n v="0"/>
    <n v="0"/>
    <n v="7.4359596940633724E-2"/>
    <n v="0"/>
    <n v="82942.223172275349"/>
    <n v="8"/>
    <m/>
    <m/>
    <s v=""/>
    <s v=""/>
    <s v=""/>
    <s v="Flagged"/>
    <s v=""/>
    <m/>
    <s v=""/>
    <s v="Flagged"/>
  </r>
  <r>
    <s v="Host CommunitySD10065"/>
    <x v="9"/>
    <x v="9"/>
    <s v="Tawkar"/>
    <s v="SD10065"/>
    <n v="2434"/>
    <s v="Host Community"/>
    <n v="1199"/>
    <n v="3"/>
    <n v="3"/>
    <n v="142.6"/>
    <n v="65.094958481881974"/>
    <n v="77.50504151811802"/>
    <n v="71.3"/>
    <n v="62.744"/>
    <n v="8.5559999999999992"/>
    <n v="21.389999999999997"/>
    <n v="23"/>
    <n v="3"/>
    <n v="0"/>
    <n v="0"/>
    <n v="1"/>
    <n v="3"/>
    <n v="9"/>
    <n v="1"/>
    <n v="0"/>
    <n v="0"/>
    <n v="0"/>
    <n v="0.11893244370308589"/>
    <n v="0"/>
    <n v="32064.462994393751"/>
    <n v="4"/>
    <m/>
    <m/>
    <s v=""/>
    <s v=""/>
    <s v=""/>
    <s v="Flagged"/>
    <s v=""/>
    <m/>
    <s v=""/>
    <s v="Flagged"/>
  </r>
  <r>
    <s v="Host CommunitySD10066"/>
    <x v="9"/>
    <x v="9"/>
    <s v="Hala'ib"/>
    <s v="SD10066"/>
    <n v="600"/>
    <s v="Host Community"/>
    <n v="131"/>
    <n v="3"/>
    <n v="3"/>
    <n v="0"/>
    <n v="0"/>
    <n v="0"/>
    <n v="0"/>
    <n v="0"/>
    <n v="0"/>
    <n v="0"/>
    <n v="0"/>
    <n v="0"/>
    <n v="0"/>
    <n v="0"/>
    <n v="0"/>
    <n v="0"/>
    <n v="0"/>
    <n v="0"/>
    <n v="0"/>
    <n v="0"/>
    <n v="0"/>
    <n v="0"/>
    <n v="0"/>
    <n v="2211.5594048718885"/>
    <n v="1"/>
    <m/>
    <m/>
    <s v=""/>
    <s v=""/>
    <s v="No target"/>
    <s v="No target"/>
    <s v=""/>
    <m/>
    <s v=""/>
    <s v="Flagged"/>
  </r>
  <r>
    <s v="Host CommunitySD10067"/>
    <x v="9"/>
    <x v="9"/>
    <s v="Jubayt Elma'aadin"/>
    <s v="SD10067"/>
    <n v="345"/>
    <s v="Host Community"/>
    <n v="222"/>
    <n v="4"/>
    <n v="3"/>
    <n v="28.8"/>
    <n v="13.060649176723771"/>
    <n v="15.739350823276229"/>
    <n v="14.4"/>
    <n v="12.672000000000001"/>
    <n v="1.728"/>
    <n v="4.32"/>
    <n v="5"/>
    <n v="1"/>
    <n v="0"/>
    <n v="0"/>
    <n v="0"/>
    <n v="1"/>
    <n v="2"/>
    <n v="0"/>
    <n v="0"/>
    <n v="0"/>
    <n v="0"/>
    <n v="0.12972972972972974"/>
    <n v="0"/>
    <n v="6372.313527229725"/>
    <n v="1"/>
    <m/>
    <m/>
    <s v=""/>
    <s v=""/>
    <s v=""/>
    <s v="Flagged"/>
    <s v=""/>
    <m/>
    <s v=""/>
    <s v="Flagged"/>
  </r>
  <r>
    <s v="Host CommunitySD10068"/>
    <x v="9"/>
    <x v="9"/>
    <s v="Sawakin"/>
    <s v="SD10068"/>
    <n v="7897"/>
    <s v="Host Community"/>
    <n v="1798"/>
    <n v="3"/>
    <n v="3"/>
    <n v="191"/>
    <n v="90.757551084047222"/>
    <n v="100.24244891595278"/>
    <n v="95.5"/>
    <n v="84.04"/>
    <n v="11.459999999999999"/>
    <n v="28.65"/>
    <n v="31"/>
    <n v="3"/>
    <n v="0"/>
    <n v="0"/>
    <n v="2"/>
    <n v="4"/>
    <n v="11"/>
    <n v="2"/>
    <n v="0"/>
    <n v="0"/>
    <n v="0"/>
    <n v="0.10622914349276974"/>
    <n v="0"/>
    <n v="14291.529251286955"/>
    <n v="2"/>
    <m/>
    <m/>
    <s v=""/>
    <s v=""/>
    <s v=""/>
    <s v="Flagged"/>
    <s v=""/>
    <m/>
    <s v=""/>
    <s v="Flagged"/>
  </r>
  <r>
    <s v="Host CommunitySD10069"/>
    <x v="9"/>
    <x v="9"/>
    <s v="Al Ganab"/>
    <s v="SD10069"/>
    <n v="240"/>
    <s v="Host Community"/>
    <n v="196"/>
    <n v="3"/>
    <n v="3"/>
    <n v="25.400000000000002"/>
    <n v="11.753697416200202"/>
    <n v="13.646302583799798"/>
    <n v="12.700000000000001"/>
    <n v="11.176"/>
    <n v="1.524"/>
    <n v="3.81"/>
    <n v="4"/>
    <n v="0"/>
    <n v="0"/>
    <n v="0"/>
    <n v="0"/>
    <n v="1"/>
    <n v="2"/>
    <n v="0"/>
    <n v="0"/>
    <n v="0"/>
    <n v="0"/>
    <n v="0.12959183673469388"/>
    <n v="3335"/>
    <n v="55000.733785255856"/>
    <n v="4"/>
    <m/>
    <m/>
    <s v=""/>
    <s v=""/>
    <s v=""/>
    <s v=""/>
    <s v=""/>
    <m/>
    <s v=""/>
    <s v="Flagged"/>
  </r>
  <r>
    <s v="Host CommunitySD10070"/>
    <x v="9"/>
    <x v="9"/>
    <s v="Haya"/>
    <s v="SD10070"/>
    <n v="2130"/>
    <s v="Host Community"/>
    <n v="1487"/>
    <n v="3"/>
    <n v="3"/>
    <n v="0"/>
    <n v="0"/>
    <n v="0"/>
    <n v="0"/>
    <n v="0"/>
    <n v="0"/>
    <n v="0"/>
    <n v="0"/>
    <n v="0"/>
    <n v="0"/>
    <n v="0"/>
    <n v="0"/>
    <n v="0"/>
    <n v="0"/>
    <n v="0"/>
    <n v="0"/>
    <n v="0"/>
    <n v="0"/>
    <n v="0"/>
    <n v="0"/>
    <n v="27768.678512927952"/>
    <n v="1"/>
    <m/>
    <m/>
    <s v=""/>
    <s v=""/>
    <s v="No target"/>
    <s v="No target"/>
    <s v=""/>
    <m/>
    <s v=""/>
    <s v="Flagged"/>
  </r>
  <r>
    <s v="Host CommunitySD10071"/>
    <x v="9"/>
    <x v="9"/>
    <s v="Sinkat"/>
    <s v="SD10071"/>
    <n v="7993"/>
    <s v="Host Community"/>
    <n v="2911"/>
    <n v="3"/>
    <n v="3"/>
    <n v="317.60000000000002"/>
    <n v="150.16401003522466"/>
    <n v="167.43598996477536"/>
    <n v="158.80000000000001"/>
    <n v="139.744"/>
    <n v="19.056000000000001"/>
    <n v="47.64"/>
    <n v="51"/>
    <n v="6"/>
    <n v="0"/>
    <n v="0"/>
    <n v="3"/>
    <n v="6"/>
    <n v="19"/>
    <n v="3"/>
    <n v="0"/>
    <n v="0"/>
    <n v="0"/>
    <n v="0.10910340089316387"/>
    <n v="0"/>
    <n v="22345.775334452152"/>
    <n v="2"/>
    <m/>
    <m/>
    <s v=""/>
    <s v=""/>
    <s v=""/>
    <s v="Flagged"/>
    <s v=""/>
    <m/>
    <s v=""/>
    <s v="Flagged"/>
  </r>
  <r>
    <s v="Host CommunitySD10072"/>
    <x v="9"/>
    <x v="9"/>
    <s v="Agig"/>
    <s v="SD10072"/>
    <n v="250"/>
    <s v="Host Community"/>
    <n v="208"/>
    <n v="4"/>
    <n v="4"/>
    <n v="4.6000000000000005"/>
    <n v="2.2028049702444417"/>
    <n v="2.3971950297555589"/>
    <n v="2.3000000000000003"/>
    <n v="2.0240000000000005"/>
    <n v="0.27600000000000002"/>
    <n v="0.69000000000000006"/>
    <n v="1"/>
    <n v="0"/>
    <n v="0"/>
    <n v="0"/>
    <n v="0"/>
    <n v="0"/>
    <n v="0"/>
    <n v="0"/>
    <n v="0"/>
    <n v="0"/>
    <n v="0"/>
    <n v="2.2115384615384617E-2"/>
    <n v="0"/>
    <n v="25612.390602198702"/>
    <n v="1"/>
    <m/>
    <m/>
    <s v=""/>
    <s v=""/>
    <s v="Flagged"/>
    <s v=""/>
    <s v=""/>
    <m/>
    <s v=""/>
    <s v="Flagged"/>
  </r>
  <r>
    <s v="Host CommunitySD11052"/>
    <x v="10"/>
    <x v="10"/>
    <s v="Halfa Aj Jadeedah"/>
    <s v="SD11052"/>
    <n v="61559"/>
    <s v="Host Community"/>
    <n v="14353"/>
    <n v="3"/>
    <n v="3"/>
    <n v="1125.2"/>
    <n v="586.80394528896727"/>
    <n v="538.39605471103278"/>
    <n v="562.6"/>
    <n v="495.08800000000002"/>
    <n v="67.512"/>
    <n v="168.78"/>
    <n v="182"/>
    <n v="20"/>
    <n v="0"/>
    <n v="0"/>
    <n v="11"/>
    <n v="23"/>
    <n v="68"/>
    <n v="11"/>
    <n v="0"/>
    <n v="0"/>
    <n v="0"/>
    <n v="7.8394760677210337E-2"/>
    <n v="0"/>
    <n v="68420.512635255131"/>
    <n v="3"/>
    <m/>
    <m/>
    <s v=""/>
    <s v=""/>
    <s v=""/>
    <s v="Flagged"/>
    <s v=""/>
    <m/>
    <s v=""/>
    <s v="Flagged"/>
  </r>
  <r>
    <s v="Host CommunitySD11053"/>
    <x v="10"/>
    <x v="10"/>
    <s v="Madeinat Kassala"/>
    <s v="SD11053"/>
    <n v="170470"/>
    <s v="Host Community"/>
    <n v="55683"/>
    <n v="3"/>
    <n v="3"/>
    <n v="6037"/>
    <n v="3124.047497886786"/>
    <n v="2912.952502113214"/>
    <n v="3018.5"/>
    <n v="2656.28"/>
    <n v="362.21999999999997"/>
    <n v="905.55"/>
    <n v="978"/>
    <n v="109"/>
    <n v="0"/>
    <n v="0"/>
    <n v="60"/>
    <n v="121"/>
    <n v="362"/>
    <n v="60"/>
    <n v="30"/>
    <n v="0"/>
    <n v="0"/>
    <n v="0.10841729073505378"/>
    <n v="0"/>
    <n v="90848.145752171695"/>
    <n v="7"/>
    <m/>
    <m/>
    <s v=""/>
    <s v=""/>
    <s v=""/>
    <s v="Flagged"/>
    <s v=""/>
    <m/>
    <s v=""/>
    <s v="Flagged"/>
  </r>
  <r>
    <s v="Host CommunitySD11054"/>
    <x v="10"/>
    <x v="10"/>
    <s v="Reifi Gharb Kassala"/>
    <s v="SD11054"/>
    <n v="20"/>
    <s v="Host Community"/>
    <n v="18"/>
    <n v="3"/>
    <n v="3"/>
    <n v="0"/>
    <n v="0"/>
    <n v="0"/>
    <n v="0"/>
    <n v="0"/>
    <n v="0"/>
    <n v="0"/>
    <n v="0"/>
    <n v="0"/>
    <n v="0"/>
    <n v="0"/>
    <n v="0"/>
    <n v="0"/>
    <n v="0"/>
    <n v="0"/>
    <n v="0"/>
    <n v="0"/>
    <n v="0"/>
    <n v="0"/>
    <n v="0"/>
    <n v="13808.078587330463"/>
    <n v="1"/>
    <m/>
    <m/>
    <s v=""/>
    <s v=""/>
    <s v="No target"/>
    <s v="No target"/>
    <s v=""/>
    <m/>
    <s v=""/>
    <s v="Flagged"/>
  </r>
  <r>
    <s v="Host CommunitySD11055"/>
    <x v="10"/>
    <x v="10"/>
    <s v="Reifi Aroma"/>
    <s v="SD11055"/>
    <n v="1655"/>
    <s v="Host Community"/>
    <n v="727"/>
    <n v="3"/>
    <n v="3"/>
    <n v="86.800000000000011"/>
    <n v="40.961572815398277"/>
    <n v="45.838427184601734"/>
    <n v="43.400000000000006"/>
    <n v="38.192000000000007"/>
    <n v="5.2080000000000002"/>
    <n v="13.020000000000001"/>
    <n v="14"/>
    <n v="2"/>
    <n v="0"/>
    <n v="0"/>
    <n v="1"/>
    <n v="2"/>
    <n v="5"/>
    <n v="1"/>
    <n v="0"/>
    <n v="0"/>
    <n v="0"/>
    <n v="0.11939477303988998"/>
    <n v="0"/>
    <n v="8286.5262863975477"/>
    <n v="1"/>
    <m/>
    <m/>
    <s v=""/>
    <s v=""/>
    <s v=""/>
    <s v="Flagged"/>
    <s v=""/>
    <m/>
    <s v=""/>
    <s v="Flagged"/>
  </r>
  <r>
    <s v="Host CommunitySD11056"/>
    <x v="10"/>
    <x v="10"/>
    <s v="Reifi Kassla"/>
    <s v="SD11056"/>
    <n v="7610"/>
    <s v="Host Community"/>
    <n v="6248"/>
    <n v="3"/>
    <n v="3"/>
    <n v="409.40000000000003"/>
    <n v="195.85553683021485"/>
    <n v="213.54446316978519"/>
    <n v="204.70000000000002"/>
    <n v="180.13600000000002"/>
    <n v="24.564"/>
    <n v="61.410000000000004"/>
    <n v="66"/>
    <n v="7"/>
    <n v="0"/>
    <n v="0"/>
    <n v="4"/>
    <n v="8"/>
    <n v="25"/>
    <n v="4"/>
    <n v="0"/>
    <n v="0"/>
    <n v="0"/>
    <n v="6.5524967989756724E-2"/>
    <n v="0"/>
    <n v="13466.654674145559"/>
    <n v="2"/>
    <m/>
    <m/>
    <s v=""/>
    <s v=""/>
    <s v=""/>
    <s v="Flagged"/>
    <s v=""/>
    <m/>
    <s v=""/>
    <s v="Flagged"/>
  </r>
  <r>
    <s v="Host CommunitySD11057"/>
    <x v="10"/>
    <x v="10"/>
    <s v="Reifi Shamal Ad Delta"/>
    <s v="SD11057"/>
    <n v="5790"/>
    <s v="Host Community"/>
    <n v="871"/>
    <n v="2"/>
    <n v="3"/>
    <n v="0"/>
    <n v="0"/>
    <n v="0"/>
    <n v="0"/>
    <n v="0"/>
    <n v="0"/>
    <n v="0"/>
    <n v="0"/>
    <n v="0"/>
    <n v="0"/>
    <n v="0"/>
    <n v="0"/>
    <n v="0"/>
    <n v="0"/>
    <n v="0"/>
    <n v="0"/>
    <n v="0"/>
    <n v="0"/>
    <n v="0"/>
    <n v="0"/>
    <n v="60872.10566937003"/>
    <n v="1"/>
    <m/>
    <m/>
    <s v=""/>
    <s v=""/>
    <s v="No target"/>
    <s v="No target"/>
    <s v=""/>
    <m/>
    <s v=""/>
    <s v="Flagged"/>
  </r>
  <r>
    <s v="Host CommunitySD11058"/>
    <x v="10"/>
    <x v="10"/>
    <s v="Reifi Hamashkureib"/>
    <s v="SD11058"/>
    <n v="735"/>
    <s v="Host Community"/>
    <n v="374"/>
    <n v="3"/>
    <n v="4"/>
    <n v="3.8000000000000003"/>
    <n v="1.5623204900318419"/>
    <n v="2.2376795099681583"/>
    <n v="1.9000000000000001"/>
    <n v="1.6720000000000002"/>
    <n v="0.22800000000000001"/>
    <n v="0.57000000000000006"/>
    <n v="1"/>
    <n v="0"/>
    <n v="0"/>
    <n v="0"/>
    <n v="0"/>
    <n v="0"/>
    <n v="0"/>
    <n v="0"/>
    <n v="0"/>
    <n v="0"/>
    <n v="0"/>
    <n v="1.0160427807486631E-2"/>
    <n v="0"/>
    <n v="106311.57060711585"/>
    <n v="1"/>
    <m/>
    <m/>
    <s v=""/>
    <s v=""/>
    <s v="Flagged"/>
    <s v=""/>
    <s v=""/>
    <m/>
    <s v=""/>
    <s v="Flagged"/>
  </r>
  <r>
    <s v="Host CommunitySD11059"/>
    <x v="10"/>
    <x v="10"/>
    <s v="Reifi Telkok"/>
    <s v="SD11059"/>
    <n v="3585"/>
    <s v="Host Community"/>
    <n v="2167"/>
    <n v="3"/>
    <n v="3"/>
    <n v="0"/>
    <n v="0"/>
    <n v="0"/>
    <n v="0"/>
    <n v="0"/>
    <n v="0"/>
    <n v="0"/>
    <n v="0"/>
    <n v="0"/>
    <n v="0"/>
    <n v="0"/>
    <n v="0"/>
    <n v="0"/>
    <n v="0"/>
    <n v="0"/>
    <n v="0"/>
    <n v="0"/>
    <n v="0"/>
    <n v="0"/>
    <n v="0"/>
    <n v="50257.879876484418"/>
    <n v="1"/>
    <m/>
    <m/>
    <s v=""/>
    <s v=""/>
    <s v="No target"/>
    <s v="No target"/>
    <s v=""/>
    <m/>
    <s v=""/>
    <s v="Flagged"/>
  </r>
  <r>
    <s v="Host CommunitySD11060"/>
    <x v="10"/>
    <x v="10"/>
    <s v="Reifi Khashm Elgirba"/>
    <s v="SD11060"/>
    <n v="27095"/>
    <s v="Host Community"/>
    <n v="3781"/>
    <n v="2"/>
    <n v="3"/>
    <n v="0"/>
    <n v="0"/>
    <n v="0"/>
    <n v="0"/>
    <n v="0"/>
    <n v="0"/>
    <n v="0"/>
    <n v="0"/>
    <n v="0"/>
    <n v="0"/>
    <n v="0"/>
    <n v="0"/>
    <n v="0"/>
    <n v="0"/>
    <n v="0"/>
    <n v="0"/>
    <n v="0"/>
    <n v="0"/>
    <n v="0"/>
    <n v="0"/>
    <n v="17779.230495604061"/>
    <n v="5"/>
    <m/>
    <m/>
    <s v=""/>
    <s v=""/>
    <s v="No target"/>
    <s v="No target"/>
    <s v=""/>
    <m/>
    <s v=""/>
    <s v="Flagged"/>
  </r>
  <r>
    <s v="Host CommunitySD11061"/>
    <x v="10"/>
    <x v="10"/>
    <s v="Reifi Wad Elhilaiw"/>
    <s v="SD11061"/>
    <n v="35641"/>
    <s v="Host Community"/>
    <n v="8555"/>
    <n v="3"/>
    <n v="3"/>
    <n v="0"/>
    <n v="0"/>
    <n v="0"/>
    <n v="0"/>
    <n v="0"/>
    <n v="0"/>
    <n v="0"/>
    <n v="0"/>
    <n v="0"/>
    <n v="0"/>
    <n v="0"/>
    <n v="0"/>
    <n v="0"/>
    <n v="0"/>
    <n v="0"/>
    <n v="0"/>
    <n v="0"/>
    <n v="0"/>
    <n v="0"/>
    <n v="0"/>
    <n v="57893.04209899847"/>
    <n v="4"/>
    <m/>
    <m/>
    <s v=""/>
    <s v=""/>
    <s v="No target"/>
    <s v="No target"/>
    <s v=""/>
    <m/>
    <s v=""/>
    <s v="Flagged"/>
  </r>
  <r>
    <s v="Host CommunitySD11062"/>
    <x v="10"/>
    <x v="10"/>
    <s v="Reifi Nahr Atbara"/>
    <s v="SD11062"/>
    <n v="4067"/>
    <s v="Host Community"/>
    <n v="3506"/>
    <n v="4"/>
    <n v="3"/>
    <n v="280.40000000000003"/>
    <n v="146.04913563926027"/>
    <n v="134.35086436073976"/>
    <n v="140.20000000000002"/>
    <n v="123.37600000000002"/>
    <n v="16.824000000000002"/>
    <n v="42.06"/>
    <n v="45"/>
    <n v="5"/>
    <n v="0"/>
    <n v="0"/>
    <n v="3"/>
    <n v="6"/>
    <n v="17"/>
    <n v="3"/>
    <n v="0"/>
    <n v="0"/>
    <n v="0"/>
    <n v="7.9977181973759276E-2"/>
    <n v="0"/>
    <n v="46680.624818872908"/>
    <n v="1"/>
    <m/>
    <m/>
    <s v=""/>
    <s v=""/>
    <s v=""/>
    <s v="Flagged"/>
    <s v=""/>
    <m/>
    <s v=""/>
    <s v="Flagged"/>
  </r>
  <r>
    <s v="Host CommunitySD12073"/>
    <x v="11"/>
    <x v="11"/>
    <s v="Al Butanah"/>
    <s v="SD12073"/>
    <n v="18466"/>
    <s v="Host Community"/>
    <n v="5045"/>
    <n v="3"/>
    <n v="3"/>
    <n v="55"/>
    <n v="27.140221283599168"/>
    <n v="27.859778716400829"/>
    <n v="27.5"/>
    <n v="24.2"/>
    <n v="3.3"/>
    <n v="8.25"/>
    <n v="9"/>
    <n v="1"/>
    <n v="0"/>
    <n v="0"/>
    <n v="1"/>
    <n v="1"/>
    <n v="3"/>
    <n v="1"/>
    <n v="0"/>
    <n v="0"/>
    <n v="0"/>
    <n v="1.0901883052527254E-2"/>
    <n v="0"/>
    <n v="38990.191102216224"/>
    <n v="2"/>
    <m/>
    <m/>
    <s v=""/>
    <s v=""/>
    <s v=""/>
    <s v="Flagged"/>
    <s v=""/>
    <m/>
    <s v=""/>
    <s v="Flagged"/>
  </r>
  <r>
    <s v="Host CommunitySD12074"/>
    <x v="11"/>
    <x v="11"/>
    <s v="Al Fao"/>
    <s v="SD12074"/>
    <n v="79708"/>
    <s v="Host Community"/>
    <n v="18146"/>
    <n v="3"/>
    <n v="3"/>
    <n v="1451.6000000000001"/>
    <n v="751.12660532552627"/>
    <n v="700.47339467447375"/>
    <n v="725.80000000000007"/>
    <n v="638.70400000000006"/>
    <n v="87.096000000000004"/>
    <n v="217.74"/>
    <n v="235"/>
    <n v="26"/>
    <n v="0"/>
    <n v="0"/>
    <n v="15"/>
    <n v="29"/>
    <n v="87"/>
    <n v="15"/>
    <n v="0"/>
    <n v="0"/>
    <n v="0"/>
    <n v="7.9995591314890341E-2"/>
    <n v="0"/>
    <n v="137097.79284456529"/>
    <n v="2"/>
    <m/>
    <m/>
    <s v=""/>
    <s v=""/>
    <s v=""/>
    <s v="Flagged"/>
    <s v=""/>
    <m/>
    <s v=""/>
    <s v="Flagged"/>
  </r>
  <r>
    <s v="Host CommunitySD12075"/>
    <x v="11"/>
    <x v="11"/>
    <s v="Al Fashaga"/>
    <s v="SD12075"/>
    <n v="10923"/>
    <s v="Host Community"/>
    <n v="4397"/>
    <n v="3"/>
    <n v="4"/>
    <n v="1407.2"/>
    <n v="746.74511948755867"/>
    <n v="660.45488051244149"/>
    <n v="703.6"/>
    <n v="619.16800000000001"/>
    <n v="84.432000000000002"/>
    <n v="211.08"/>
    <n v="228"/>
    <n v="25"/>
    <n v="0"/>
    <n v="0"/>
    <n v="14"/>
    <n v="28"/>
    <n v="84"/>
    <n v="14"/>
    <n v="0"/>
    <n v="0"/>
    <n v="0"/>
    <n v="0.32003638844666821"/>
    <n v="0"/>
    <n v="51528.42460259873"/>
    <n v="3"/>
    <m/>
    <m/>
    <s v=""/>
    <s v=""/>
    <s v="Flagged"/>
    <s v=""/>
    <s v=""/>
    <m/>
    <s v=""/>
    <s v="Flagged"/>
  </r>
  <r>
    <s v="Host CommunitySD12076"/>
    <x v="11"/>
    <x v="11"/>
    <s v="Al Qureisha"/>
    <s v="SD12076"/>
    <n v="57710"/>
    <s v="Host Community"/>
    <n v="2069"/>
    <n v="3"/>
    <n v="3"/>
    <n v="248.20000000000002"/>
    <n v="130.16325293631695"/>
    <n v="118.03674706368307"/>
    <n v="124.10000000000001"/>
    <n v="109.20800000000001"/>
    <n v="14.892000000000001"/>
    <n v="37.230000000000004"/>
    <n v="40"/>
    <n v="4"/>
    <n v="0"/>
    <n v="0"/>
    <n v="2"/>
    <n v="5"/>
    <n v="15"/>
    <n v="2"/>
    <n v="0"/>
    <n v="0"/>
    <n v="0"/>
    <n v="0.11996133397776705"/>
    <n v="0"/>
    <n v="32830.567881560695"/>
    <n v="2"/>
    <m/>
    <m/>
    <s v=""/>
    <s v=""/>
    <s v=""/>
    <s v="Flagged"/>
    <s v=""/>
    <m/>
    <s v=""/>
    <s v="Flagged"/>
  </r>
  <r>
    <s v="Host CommunitySD12077"/>
    <x v="11"/>
    <x v="11"/>
    <s v="Basundah"/>
    <s v="SD12077"/>
    <n v="50846"/>
    <s v="Host Community"/>
    <n v="35445"/>
    <n v="3"/>
    <n v="3"/>
    <n v="4300.4000000000005"/>
    <n v="2241.7375097287695"/>
    <n v="2058.662490271231"/>
    <n v="2150.2000000000003"/>
    <n v="1892.1760000000002"/>
    <n v="258.024"/>
    <n v="645.06000000000006"/>
    <n v="697"/>
    <n v="77"/>
    <n v="0"/>
    <n v="0"/>
    <n v="43"/>
    <n v="86"/>
    <n v="258"/>
    <n v="43"/>
    <n v="0"/>
    <n v="0"/>
    <n v="0"/>
    <n v="0.12132599802510934"/>
    <n v="0"/>
    <n v="46805.8602296518"/>
    <n v="2"/>
    <m/>
    <m/>
    <s v=""/>
    <s v=""/>
    <s v=""/>
    <s v="Flagged"/>
    <s v=""/>
    <m/>
    <s v=""/>
    <s v="Flagged"/>
  </r>
  <r>
    <s v="Host CommunitySD12078"/>
    <x v="11"/>
    <x v="11"/>
    <s v="Al Galabat Al Gharbyah - Kassab"/>
    <s v="SD12078"/>
    <n v="18265"/>
    <s v="Host Community"/>
    <n v="4088"/>
    <n v="3"/>
    <n v="4"/>
    <n v="332.8"/>
    <n v="172.34972932592433"/>
    <n v="160.45027067407568"/>
    <n v="166.4"/>
    <n v="146.43200000000002"/>
    <n v="19.968"/>
    <n v="49.92"/>
    <n v="54"/>
    <n v="6"/>
    <n v="0"/>
    <n v="0"/>
    <n v="3"/>
    <n v="7"/>
    <n v="20"/>
    <n v="3"/>
    <n v="0"/>
    <n v="0"/>
    <n v="0"/>
    <n v="8.1409001956947169E-2"/>
    <n v="0"/>
    <n v="68630.404385163885"/>
    <n v="7"/>
    <m/>
    <m/>
    <s v=""/>
    <s v=""/>
    <s v="Flagged"/>
    <s v=""/>
    <s v=""/>
    <m/>
    <s v=""/>
    <s v="Flagged"/>
  </r>
  <r>
    <s v="Host CommunitySD12079"/>
    <x v="11"/>
    <x v="11"/>
    <s v="Gala'a Al Nahal"/>
    <s v="SD12079"/>
    <n v="12202"/>
    <s v="Host Community"/>
    <n v="3815"/>
    <n v="3"/>
    <n v="3"/>
    <n v="457.8"/>
    <n v="239.77385070728434"/>
    <n v="218.02614929271564"/>
    <n v="228.9"/>
    <n v="201.43200000000002"/>
    <n v="27.468"/>
    <n v="68.67"/>
    <n v="74"/>
    <n v="8"/>
    <n v="0"/>
    <n v="0"/>
    <n v="5"/>
    <n v="9"/>
    <n v="27"/>
    <n v="5"/>
    <n v="0"/>
    <n v="0"/>
    <n v="0"/>
    <n v="0.12000000000000001"/>
    <n v="0"/>
    <n v="36046.109490162788"/>
    <n v="2"/>
    <m/>
    <m/>
    <s v=""/>
    <s v=""/>
    <s v=""/>
    <s v="Flagged"/>
    <s v=""/>
    <m/>
    <s v=""/>
    <s v="Flagged"/>
  </r>
  <r>
    <s v="Host CommunitySD12080"/>
    <x v="11"/>
    <x v="11"/>
    <s v="Madeinat Al Gedaref"/>
    <s v="SD12080"/>
    <n v="133966"/>
    <s v="Host Community"/>
    <n v="31255"/>
    <n v="3"/>
    <n v="3"/>
    <n v="3750.4"/>
    <n v="1922.4682059577494"/>
    <n v="1827.9317940422509"/>
    <n v="1875.2"/>
    <n v="1650.1760000000002"/>
    <n v="225.024"/>
    <n v="562.55999999999995"/>
    <n v="608"/>
    <n v="68"/>
    <n v="0"/>
    <n v="0"/>
    <n v="38"/>
    <n v="75"/>
    <n v="225"/>
    <n v="38"/>
    <n v="0"/>
    <n v="0"/>
    <n v="0"/>
    <n v="0.11999360102383619"/>
    <n v="5"/>
    <n v="77183.493193945542"/>
    <n v="10"/>
    <m/>
    <m/>
    <s v=""/>
    <s v=""/>
    <s v=""/>
    <s v="Flagged"/>
    <s v=""/>
    <m/>
    <s v=""/>
    <s v="Flagged"/>
  </r>
  <r>
    <s v="Host CommunitySD12081"/>
    <x v="11"/>
    <x v="11"/>
    <s v="Wasat Al Gedaref"/>
    <s v="SD12081"/>
    <n v="32365"/>
    <s v="Host Community"/>
    <n v="6169"/>
    <n v="3"/>
    <n v="3"/>
    <n v="391"/>
    <n v="199.4841622420584"/>
    <n v="191.5158377579416"/>
    <n v="195.5"/>
    <n v="172.04"/>
    <n v="23.46"/>
    <n v="58.65"/>
    <n v="63"/>
    <n v="7"/>
    <n v="0"/>
    <n v="0"/>
    <n v="4"/>
    <n v="8"/>
    <n v="23"/>
    <n v="4"/>
    <n v="0"/>
    <n v="0"/>
    <n v="0"/>
    <n v="6.3381423245258556E-2"/>
    <n v="0"/>
    <n v="82987.699718088916"/>
    <n v="5"/>
    <m/>
    <m/>
    <s v=""/>
    <s v=""/>
    <s v=""/>
    <s v="Flagged"/>
    <s v=""/>
    <m/>
    <s v=""/>
    <s v="Flagged"/>
  </r>
  <r>
    <s v="Host CommunitySD12082"/>
    <x v="11"/>
    <x v="11"/>
    <s v="Al Mafaza"/>
    <s v="SD12082"/>
    <n v="92865"/>
    <s v="Host Community"/>
    <n v="39139"/>
    <n v="3"/>
    <n v="3"/>
    <n v="4947.2000000000007"/>
    <n v="2594.1176402409678"/>
    <n v="2353.0823597590329"/>
    <n v="2473.6000000000004"/>
    <n v="2176.7680000000005"/>
    <n v="296.83200000000005"/>
    <n v="742.08"/>
    <n v="801"/>
    <n v="89"/>
    <n v="0"/>
    <n v="0"/>
    <n v="49"/>
    <n v="99"/>
    <n v="297"/>
    <n v="49"/>
    <n v="0"/>
    <n v="0"/>
    <n v="0"/>
    <n v="0.12640077671887379"/>
    <n v="2235"/>
    <n v="11510.463564995986"/>
    <n v="6"/>
    <m/>
    <m/>
    <s v=""/>
    <s v=""/>
    <s v=""/>
    <s v="Flagged"/>
    <s v=""/>
    <m/>
    <s v=""/>
    <s v="Flagged"/>
  </r>
  <r>
    <s v="Host CommunitySD12083"/>
    <x v="11"/>
    <x v="11"/>
    <s v="Galabat Ash-Shargiah"/>
    <s v="SD12083"/>
    <n v="70923"/>
    <s v="Host Community"/>
    <n v="3340"/>
    <n v="3"/>
    <n v="3"/>
    <n v="101"/>
    <n v="52.354572765009031"/>
    <n v="48.645427234990969"/>
    <n v="50.5"/>
    <n v="44.44"/>
    <n v="6.06"/>
    <n v="15.149999999999999"/>
    <n v="16"/>
    <n v="2"/>
    <n v="0"/>
    <n v="0"/>
    <n v="1"/>
    <n v="2"/>
    <n v="6"/>
    <n v="1"/>
    <n v="0"/>
    <n v="0"/>
    <n v="0"/>
    <n v="3.0239520958083833E-2"/>
    <n v="0"/>
    <n v="60012.948773076867"/>
    <n v="2"/>
    <m/>
    <m/>
    <s v=""/>
    <s v=""/>
    <s v=""/>
    <s v="Flagged"/>
    <s v=""/>
    <m/>
    <s v=""/>
    <s v="Flagged"/>
  </r>
  <r>
    <s v="Host CommunitySD12084"/>
    <x v="11"/>
    <x v="11"/>
    <s v="Ar Rahad"/>
    <s v="SD12084"/>
    <n v="64220"/>
    <s v="Host Community"/>
    <n v="37841"/>
    <n v="3"/>
    <n v="3"/>
    <n v="3027.2000000000003"/>
    <n v="1568.2092337011095"/>
    <n v="1458.9907662988908"/>
    <n v="1513.6000000000001"/>
    <n v="1331.9680000000001"/>
    <n v="181.63200000000001"/>
    <n v="454.08000000000004"/>
    <n v="490"/>
    <n v="54"/>
    <n v="0"/>
    <n v="0"/>
    <n v="30"/>
    <n v="61"/>
    <n v="182"/>
    <n v="30"/>
    <n v="0"/>
    <n v="0"/>
    <n v="0"/>
    <n v="7.9997885890964834E-2"/>
    <n v="0"/>
    <n v="19603.88944147748"/>
    <n v="2"/>
    <m/>
    <m/>
    <s v=""/>
    <s v=""/>
    <s v=""/>
    <s v="Flagged"/>
    <s v=""/>
    <m/>
    <s v=""/>
    <s v="Flagged"/>
  </r>
  <r>
    <s v="Host CommunitySD13023"/>
    <x v="12"/>
    <x v="12"/>
    <s v="Um Rawaba"/>
    <s v="SD13023"/>
    <n v="42517"/>
    <s v="Host Community"/>
    <n v="22586"/>
    <n v="3"/>
    <n v="4"/>
    <n v="220.8"/>
    <n v="117.16210376350469"/>
    <n v="103.63789623649531"/>
    <n v="110.4"/>
    <n v="97.152000000000001"/>
    <n v="13.247999999999999"/>
    <n v="33.119999999999997"/>
    <n v="36"/>
    <n v="4"/>
    <n v="0"/>
    <n v="0"/>
    <n v="2"/>
    <n v="4"/>
    <n v="13"/>
    <n v="2"/>
    <n v="0"/>
    <n v="0"/>
    <n v="0"/>
    <n v="9.775967413441956E-3"/>
    <n v="0"/>
    <n v="787.79370132418421"/>
    <n v="1"/>
    <m/>
    <m/>
    <s v=""/>
    <s v=""/>
    <s v=""/>
    <s v=""/>
    <s v=""/>
    <m/>
    <s v="Yes"/>
    <s v="Ok"/>
  </r>
  <r>
    <s v="Host CommunitySD13024"/>
    <x v="12"/>
    <x v="12"/>
    <s v="Sheikan"/>
    <s v="SD13024"/>
    <n v="56621"/>
    <s v="Host Community"/>
    <n v="25947"/>
    <n v="3"/>
    <n v="4"/>
    <n v="1670.4"/>
    <n v="860.25351003641174"/>
    <n v="810.14648996358824"/>
    <n v="835.2"/>
    <n v="734.976"/>
    <n v="100.224"/>
    <n v="250.56"/>
    <n v="271"/>
    <n v="30"/>
    <n v="0"/>
    <n v="0"/>
    <n v="17"/>
    <n v="33"/>
    <n v="100"/>
    <n v="17"/>
    <n v="0"/>
    <n v="0"/>
    <n v="0"/>
    <n v="6.4377384668747831E-2"/>
    <n v="0"/>
    <n v="31668.467226232573"/>
    <n v="2"/>
    <m/>
    <m/>
    <s v=""/>
    <s v=""/>
    <s v=""/>
    <s v=""/>
    <s v="Yes"/>
    <m/>
    <s v=""/>
    <s v="Ok"/>
  </r>
  <r>
    <s v="Host CommunitySD13025"/>
    <x v="12"/>
    <x v="12"/>
    <s v="Soudari"/>
    <s v="SD13025"/>
    <n v="3968"/>
    <s v="Host Community"/>
    <n v="1615"/>
    <n v="3"/>
    <n v="3"/>
    <n v="0"/>
    <n v="0"/>
    <n v="0"/>
    <n v="0"/>
    <n v="0"/>
    <n v="0"/>
    <n v="0"/>
    <n v="0"/>
    <n v="0"/>
    <n v="0"/>
    <n v="0"/>
    <n v="0"/>
    <n v="0"/>
    <n v="0"/>
    <n v="0"/>
    <n v="0"/>
    <n v="0"/>
    <n v="0"/>
    <n v="0"/>
    <n v="0"/>
    <n v="962.00385374844882"/>
    <n v="1"/>
    <m/>
    <m/>
    <s v=""/>
    <s v=""/>
    <s v="No target"/>
    <s v="No target"/>
    <s v=""/>
    <m/>
    <s v=""/>
    <s v="Flagged"/>
  </r>
  <r>
    <s v="Host CommunitySD13026"/>
    <x v="12"/>
    <x v="12"/>
    <s v="Bara"/>
    <s v="SD13026"/>
    <n v="33815"/>
    <s v="Host Community"/>
    <n v="15506"/>
    <n v="3"/>
    <n v="4"/>
    <n v="151"/>
    <n v="80.582980109891736"/>
    <n v="70.417019890108264"/>
    <n v="75.5"/>
    <n v="66.44"/>
    <n v="9.06"/>
    <n v="22.65"/>
    <n v="24"/>
    <n v="3"/>
    <n v="0"/>
    <n v="0"/>
    <n v="2"/>
    <n v="3"/>
    <n v="9"/>
    <n v="2"/>
    <n v="0"/>
    <n v="0"/>
    <n v="0"/>
    <n v="9.738165871275635E-3"/>
    <n v="0"/>
    <n v="13992.783327250165"/>
    <n v="1"/>
    <m/>
    <m/>
    <s v=""/>
    <s v=""/>
    <s v="Flagged"/>
    <s v=""/>
    <s v=""/>
    <m/>
    <s v=""/>
    <s v="Flagged"/>
  </r>
  <r>
    <s v="Host CommunitySD13027"/>
    <x v="12"/>
    <x v="12"/>
    <s v="Gebrat Al Sheikh"/>
    <s v="SD13027"/>
    <n v="7373"/>
    <s v="Host Community"/>
    <n v="4540"/>
    <n v="3"/>
    <n v="3"/>
    <n v="0"/>
    <n v="0"/>
    <n v="0"/>
    <n v="0"/>
    <n v="0"/>
    <n v="0"/>
    <n v="0"/>
    <n v="0"/>
    <n v="0"/>
    <n v="0"/>
    <n v="0"/>
    <n v="0"/>
    <n v="0"/>
    <n v="0"/>
    <n v="0"/>
    <n v="0"/>
    <n v="0"/>
    <n v="0"/>
    <n v="0"/>
    <n v="0"/>
    <n v="0"/>
    <n v="1"/>
    <m/>
    <m/>
    <s v=""/>
    <s v=""/>
    <s v="No target"/>
    <s v="No target"/>
    <s v=""/>
    <m/>
    <s v=""/>
    <s v="Flagged"/>
  </r>
  <r>
    <s v="Host CommunitySD13028"/>
    <x v="12"/>
    <x v="12"/>
    <s v="Um Dam Haj Ahmed"/>
    <s v="SD13028"/>
    <n v="15156"/>
    <s v="Host Community"/>
    <n v="4374"/>
    <n v="3"/>
    <n v="4"/>
    <n v="43.800000000000004"/>
    <n v="23.715845651340683"/>
    <n v="20.084154348659325"/>
    <n v="21.900000000000002"/>
    <n v="19.272000000000002"/>
    <n v="2.6280000000000001"/>
    <n v="6.57"/>
    <n v="7"/>
    <n v="1"/>
    <n v="0"/>
    <n v="0"/>
    <n v="0"/>
    <n v="1"/>
    <n v="3"/>
    <n v="0"/>
    <n v="0"/>
    <n v="0"/>
    <n v="0"/>
    <n v="1.001371742112483E-2"/>
    <n v="0"/>
    <n v="16322.581751237316"/>
    <n v="1"/>
    <m/>
    <m/>
    <s v=""/>
    <s v=""/>
    <s v="Flagged"/>
    <s v=""/>
    <s v=""/>
    <m/>
    <s v=""/>
    <s v="Flagged"/>
  </r>
  <r>
    <s v="Host CommunitySD13029"/>
    <x v="12"/>
    <x v="12"/>
    <s v="Gharb Bara"/>
    <s v="SD13029"/>
    <n v="8036"/>
    <s v="Host Community"/>
    <n v="2489"/>
    <n v="3"/>
    <n v="4"/>
    <n v="25"/>
    <n v="13.362327382957226"/>
    <n v="11.637672617042776"/>
    <n v="12.5"/>
    <n v="11"/>
    <n v="1.5"/>
    <n v="3.75"/>
    <n v="4"/>
    <n v="0"/>
    <n v="0"/>
    <n v="0"/>
    <n v="0"/>
    <n v="1"/>
    <n v="2"/>
    <n v="0"/>
    <n v="0"/>
    <n v="0"/>
    <n v="0"/>
    <n v="1.0044194455604661E-2"/>
    <n v="0"/>
    <n v="860.55617462588509"/>
    <n v="1"/>
    <m/>
    <m/>
    <s v=""/>
    <s v=""/>
    <s v="Flagged"/>
    <s v=""/>
    <s v=""/>
    <m/>
    <s v=""/>
    <s v="Flagged"/>
  </r>
  <r>
    <s v="Host CommunitySD13030"/>
    <x v="12"/>
    <x v="12"/>
    <s v="Ar Rahad"/>
    <s v="SD13030"/>
    <n v="43198"/>
    <s v="Host Community"/>
    <n v="18156"/>
    <n v="3"/>
    <n v="5"/>
    <n v="211.92"/>
    <n v="112.39341627764516"/>
    <n v="99.526583722354829"/>
    <n v="105.96"/>
    <n v="93.244799999999998"/>
    <n v="12.715199999999999"/>
    <n v="31.787999999999997"/>
    <n v="34"/>
    <n v="4"/>
    <n v="0"/>
    <n v="0"/>
    <n v="2"/>
    <n v="4"/>
    <n v="13"/>
    <n v="2"/>
    <n v="0"/>
    <n v="0"/>
    <n v="0"/>
    <n v="1.1672174487772637E-2"/>
    <n v="0"/>
    <n v="25816.685238776554"/>
    <n v="0"/>
    <m/>
    <m/>
    <s v=""/>
    <s v=""/>
    <s v=""/>
    <s v=""/>
    <s v=""/>
    <m/>
    <s v=""/>
    <s v="Ok"/>
  </r>
  <r>
    <s v="Host CommunitySD14037"/>
    <x v="13"/>
    <x v="13"/>
    <s v="Abu Hujar"/>
    <s v="SD14037"/>
    <n v="55928"/>
    <s v="Host Community"/>
    <n v="2546"/>
    <n v="3"/>
    <n v="3"/>
    <n v="22.8"/>
    <n v="11.686310639022654"/>
    <n v="11.113689360977347"/>
    <n v="11.4"/>
    <n v="10.032"/>
    <n v="1.3679999999999999"/>
    <n v="3.42"/>
    <n v="4"/>
    <n v="0"/>
    <n v="0"/>
    <n v="0"/>
    <n v="0"/>
    <n v="0"/>
    <n v="1"/>
    <n v="0"/>
    <n v="0"/>
    <n v="0"/>
    <n v="0"/>
    <n v="8.9552238805970154E-3"/>
    <n v="0"/>
    <n v="69264.277469888315"/>
    <n v="3"/>
    <m/>
    <m/>
    <s v=""/>
    <s v=""/>
    <s v=""/>
    <s v="Flagged"/>
    <s v=""/>
    <m/>
    <s v=""/>
    <s v="Flagged"/>
  </r>
  <r>
    <s v="Host CommunitySD14038"/>
    <x v="13"/>
    <x v="13"/>
    <s v="Sennar"/>
    <s v="SD14038"/>
    <n v="144677"/>
    <s v="Host Community"/>
    <n v="26350"/>
    <n v="4"/>
    <n v="4"/>
    <n v="534.20000000000005"/>
    <n v="281.06830613668308"/>
    <n v="253.13169386331694"/>
    <n v="267.10000000000002"/>
    <n v="235.04800000000003"/>
    <n v="32.052"/>
    <n v="80.13000000000001"/>
    <n v="87"/>
    <n v="10"/>
    <n v="0"/>
    <n v="0"/>
    <n v="5"/>
    <n v="11"/>
    <n v="32"/>
    <n v="5"/>
    <n v="0"/>
    <n v="0"/>
    <n v="0"/>
    <n v="2.0273244781783682E-2"/>
    <n v="0"/>
    <n v="135597.06683271771"/>
    <n v="4"/>
    <m/>
    <m/>
    <s v=""/>
    <s v=""/>
    <s v="Flagged"/>
    <s v=""/>
    <s v=""/>
    <m/>
    <s v=""/>
    <s v="Flagged"/>
  </r>
  <r>
    <s v="Host CommunitySD14039"/>
    <x v="13"/>
    <x v="13"/>
    <s v="Ad Dali"/>
    <s v="SD14039"/>
    <n v="64062"/>
    <s v="Host Community"/>
    <n v="5834"/>
    <n v="3"/>
    <n v="4"/>
    <n v="58.400000000000006"/>
    <n v="30.146505180876204"/>
    <n v="28.253494819123798"/>
    <n v="29.200000000000003"/>
    <n v="25.696000000000002"/>
    <n v="3.504"/>
    <n v="8.76"/>
    <n v="9"/>
    <n v="1"/>
    <n v="0"/>
    <n v="0"/>
    <n v="1"/>
    <n v="1"/>
    <n v="4"/>
    <n v="1"/>
    <n v="0"/>
    <n v="0"/>
    <n v="0"/>
    <n v="1.001028453890984E-2"/>
    <n v="0"/>
    <n v="52472.937477188119"/>
    <n v="2"/>
    <m/>
    <m/>
    <s v=""/>
    <s v=""/>
    <s v="Flagged"/>
    <s v=""/>
    <s v=""/>
    <m/>
    <s v=""/>
    <s v="Flagged"/>
  </r>
  <r>
    <s v="Host CommunitySD14040"/>
    <x v="13"/>
    <x v="13"/>
    <s v="Ad Dinder"/>
    <s v="SD14040"/>
    <n v="68132"/>
    <s v="Host Community"/>
    <n v="6204"/>
    <n v="3"/>
    <n v="3"/>
    <n v="59.400000000000006"/>
    <n v="30.943282298485393"/>
    <n v="28.456717701514616"/>
    <n v="29.700000000000003"/>
    <n v="26.136000000000003"/>
    <n v="3.5640000000000001"/>
    <n v="8.91"/>
    <n v="10"/>
    <n v="1"/>
    <n v="0"/>
    <n v="0"/>
    <n v="1"/>
    <n v="1"/>
    <n v="4"/>
    <n v="1"/>
    <n v="0"/>
    <n v="0"/>
    <n v="0"/>
    <n v="9.5744680851063847E-3"/>
    <n v="0"/>
    <n v="52472.937477188119"/>
    <n v="2"/>
    <m/>
    <m/>
    <s v=""/>
    <s v=""/>
    <s v=""/>
    <s v="Flagged"/>
    <s v=""/>
    <m/>
    <s v=""/>
    <s v="Flagged"/>
  </r>
  <r>
    <s v="Host CommunitySD14041"/>
    <x v="13"/>
    <x v="13"/>
    <s v="As Suki"/>
    <s v="SD14041"/>
    <n v="102333"/>
    <s v="Host Community"/>
    <n v="9319"/>
    <n v="3"/>
    <n v="3"/>
    <n v="69.400000000000006"/>
    <n v="36.650748377919925"/>
    <n v="32.749251622080088"/>
    <n v="34.700000000000003"/>
    <n v="30.536000000000001"/>
    <n v="4.1640000000000006"/>
    <n v="10.41"/>
    <n v="11"/>
    <n v="1"/>
    <n v="0"/>
    <n v="0"/>
    <n v="1"/>
    <n v="1"/>
    <n v="4"/>
    <n v="1"/>
    <n v="0"/>
    <n v="0"/>
    <n v="0"/>
    <n v="7.4471509818650073E-3"/>
    <n v="0"/>
    <n v="22623.532083498067"/>
    <n v="3"/>
    <m/>
    <m/>
    <s v=""/>
    <s v=""/>
    <s v=""/>
    <s v="Flagged"/>
    <s v=""/>
    <m/>
    <s v=""/>
    <s v="Flagged"/>
  </r>
  <r>
    <s v="Host CommunitySD14042"/>
    <x v="13"/>
    <x v="13"/>
    <s v="Sharg Sennar"/>
    <s v="SD14042"/>
    <n v="56261"/>
    <s v="Host Community"/>
    <n v="5123"/>
    <n v="3"/>
    <n v="3"/>
    <n v="0"/>
    <n v="0"/>
    <n v="0"/>
    <n v="0"/>
    <n v="0"/>
    <n v="0"/>
    <n v="0"/>
    <n v="0"/>
    <n v="0"/>
    <n v="0"/>
    <n v="0"/>
    <n v="0"/>
    <n v="0"/>
    <n v="0"/>
    <n v="0"/>
    <n v="0"/>
    <n v="0"/>
    <n v="0"/>
    <n v="0"/>
    <n v="0"/>
    <n v="140051.66940494781"/>
    <n v="1"/>
    <m/>
    <m/>
    <s v=""/>
    <s v=""/>
    <s v="No target"/>
    <s v="No target"/>
    <s v=""/>
    <m/>
    <s v=""/>
    <s v="Flagged"/>
  </r>
  <r>
    <s v="Host CommunitySD14043"/>
    <x v="13"/>
    <x v="13"/>
    <s v="Sinja"/>
    <s v="SD14043"/>
    <n v="76117"/>
    <s v="Host Community"/>
    <n v="6932"/>
    <n v="3"/>
    <n v="3"/>
    <n v="69.400000000000006"/>
    <n v="35.795222734882209"/>
    <n v="33.604777265117804"/>
    <n v="34.700000000000003"/>
    <n v="30.536000000000001"/>
    <n v="4.1640000000000006"/>
    <n v="10.41"/>
    <n v="11"/>
    <n v="1"/>
    <n v="0"/>
    <n v="0"/>
    <n v="1"/>
    <n v="1"/>
    <n v="4"/>
    <n v="1"/>
    <n v="0"/>
    <n v="0"/>
    <n v="0"/>
    <n v="1.0011540680900174E-2"/>
    <n v="0"/>
    <n v="23577.839906416528"/>
    <n v="3"/>
    <m/>
    <m/>
    <s v=""/>
    <s v=""/>
    <s v=""/>
    <s v="Flagged"/>
    <s v=""/>
    <m/>
    <s v=""/>
    <s v="Flagged"/>
  </r>
  <r>
    <s v="Host CommunitySD15030"/>
    <x v="14"/>
    <x v="14"/>
    <s v="Medani Al Kubra"/>
    <s v="SD15030"/>
    <n v="22270"/>
    <s v="Host Community"/>
    <n v="6084"/>
    <n v="4"/>
    <n v="4"/>
    <n v="109.4"/>
    <n v="55.445755404633154"/>
    <n v="53.954244595366845"/>
    <n v="54.7"/>
    <n v="48.136000000000003"/>
    <n v="6.5640000000000001"/>
    <n v="16.41"/>
    <n v="18"/>
    <n v="2"/>
    <n v="0"/>
    <n v="0"/>
    <n v="1"/>
    <n v="2"/>
    <n v="7"/>
    <n v="1"/>
    <n v="0"/>
    <n v="0"/>
    <n v="0"/>
    <n v="1.7981591058514136E-2"/>
    <n v="0"/>
    <n v="1698.0242567618075"/>
    <n v="1"/>
    <m/>
    <m/>
    <s v=""/>
    <s v=""/>
    <s v=""/>
    <s v=""/>
    <s v="Yes"/>
    <m/>
    <s v=""/>
    <s v="Ok"/>
  </r>
  <r>
    <s v="Host CommunitySD15031"/>
    <x v="14"/>
    <x v="14"/>
    <s v="Janub Aj Jazirah"/>
    <s v="SD15031"/>
    <n v="23698"/>
    <s v="Host Community"/>
    <n v="5396"/>
    <n v="4"/>
    <n v="4"/>
    <n v="116.2"/>
    <n v="60.434136092288234"/>
    <n v="55.765863907711768"/>
    <n v="58.1"/>
    <n v="51.128"/>
    <n v="6.9719999999999995"/>
    <n v="17.43"/>
    <n v="19"/>
    <n v="2"/>
    <n v="0"/>
    <n v="0"/>
    <n v="1"/>
    <n v="2"/>
    <n v="7"/>
    <n v="1"/>
    <n v="0"/>
    <n v="0"/>
    <n v="0"/>
    <n v="2.1534469977761306E-2"/>
    <n v="0"/>
    <n v="7734.5109841375288"/>
    <n v="1"/>
    <m/>
    <m/>
    <s v=""/>
    <s v=""/>
    <s v="Flagged"/>
    <s v=""/>
    <s v=""/>
    <m/>
    <s v=""/>
    <s v="Flagged"/>
  </r>
  <r>
    <s v="Host CommunitySD15032"/>
    <x v="14"/>
    <x v="14"/>
    <s v="Um Algura"/>
    <s v="SD15032"/>
    <n v="35143"/>
    <s v="Host Community"/>
    <n v="8001"/>
    <n v="4"/>
    <n v="4"/>
    <n v="154.60000000000002"/>
    <n v="80.519305729567918"/>
    <n v="74.080694270432105"/>
    <n v="77.300000000000011"/>
    <n v="68.024000000000015"/>
    <n v="9.2760000000000016"/>
    <n v="23.19"/>
    <n v="25"/>
    <n v="3"/>
    <n v="0"/>
    <n v="0"/>
    <n v="2"/>
    <n v="3"/>
    <n v="9"/>
    <n v="2"/>
    <n v="0"/>
    <n v="0"/>
    <n v="0"/>
    <n v="1.9322584676915389E-2"/>
    <n v="0"/>
    <n v="2704.8050171574569"/>
    <n v="1"/>
    <m/>
    <m/>
    <s v=""/>
    <s v=""/>
    <s v="Flagged"/>
    <s v=""/>
    <s v=""/>
    <m/>
    <s v=""/>
    <s v="Flagged"/>
  </r>
  <r>
    <s v="Host CommunitySD15033"/>
    <x v="14"/>
    <x v="14"/>
    <s v="Sharg Aj Jazirah"/>
    <s v="SD15033"/>
    <n v="31901"/>
    <s v="Host Community"/>
    <n v="7262"/>
    <n v="4"/>
    <n v="4"/>
    <n v="149.20000000000002"/>
    <n v="78.206652354699926"/>
    <n v="70.993347645300091"/>
    <n v="74.600000000000009"/>
    <n v="65.64800000000001"/>
    <n v="8.952"/>
    <n v="22.380000000000003"/>
    <n v="24"/>
    <n v="3"/>
    <n v="0"/>
    <n v="0"/>
    <n v="1"/>
    <n v="3"/>
    <n v="9"/>
    <n v="1"/>
    <n v="0"/>
    <n v="0"/>
    <n v="0"/>
    <n v="2.0545304323877724E-2"/>
    <n v="0"/>
    <n v="11411.114803372509"/>
    <n v="1"/>
    <m/>
    <m/>
    <s v=""/>
    <s v=""/>
    <s v="Flagged"/>
    <s v=""/>
    <s v=""/>
    <m/>
    <s v=""/>
    <s v="Flagged"/>
  </r>
  <r>
    <s v="Host CommunitySD15034"/>
    <x v="14"/>
    <x v="14"/>
    <s v="Al Hasahisa"/>
    <s v="SD15034"/>
    <n v="62155"/>
    <s v="Host Community"/>
    <n v="14151"/>
    <n v="4"/>
    <n v="4"/>
    <n v="180.20000000000002"/>
    <n v="93.444814483384988"/>
    <n v="86.755185516615029"/>
    <n v="90.100000000000009"/>
    <n v="79.288000000000011"/>
    <n v="10.812000000000001"/>
    <n v="27.03"/>
    <n v="29"/>
    <n v="3"/>
    <n v="0"/>
    <n v="0"/>
    <n v="2"/>
    <n v="4"/>
    <n v="11"/>
    <n v="2"/>
    <n v="0"/>
    <n v="0"/>
    <n v="0"/>
    <n v="1.2734082397003747E-2"/>
    <n v="0"/>
    <n v="132.23180244251407"/>
    <n v="1"/>
    <m/>
    <m/>
    <s v=""/>
    <s v=""/>
    <s v="Flagged"/>
    <s v=""/>
    <s v=""/>
    <m/>
    <s v=""/>
    <s v="Flagged"/>
  </r>
  <r>
    <s v="Host CommunitySD15035"/>
    <x v="14"/>
    <x v="14"/>
    <s v="Al Kamlin"/>
    <s v="SD15035"/>
    <n v="67437"/>
    <s v="Host Community"/>
    <n v="15353"/>
    <n v="4"/>
    <n v="4"/>
    <n v="307"/>
    <n v="156.38126471297107"/>
    <n v="150.61873528702893"/>
    <n v="153.5"/>
    <n v="135.08000000000001"/>
    <n v="18.419999999999998"/>
    <n v="46.05"/>
    <n v="50"/>
    <n v="6"/>
    <n v="0"/>
    <n v="0"/>
    <n v="3"/>
    <n v="6"/>
    <n v="18"/>
    <n v="3"/>
    <n v="0"/>
    <n v="0"/>
    <n v="0"/>
    <n v="1.9996091968996287E-2"/>
    <n v="0"/>
    <n v="2039.4481699467115"/>
    <n v="1"/>
    <m/>
    <m/>
    <s v=""/>
    <s v=""/>
    <s v=""/>
    <s v=""/>
    <s v=""/>
    <m/>
    <s v="Yes"/>
    <s v="Ok"/>
  </r>
  <r>
    <s v="Host CommunitySD15036"/>
    <x v="14"/>
    <x v="14"/>
    <s v="Al Manaqil"/>
    <s v="SD15036"/>
    <n v="81831"/>
    <s v="Host Community"/>
    <n v="36662"/>
    <n v="3"/>
    <n v="4"/>
    <n v="700"/>
    <n v="365.2952979071818"/>
    <n v="334.7047020928182"/>
    <n v="350"/>
    <n v="308"/>
    <n v="42"/>
    <n v="105"/>
    <n v="113"/>
    <n v="13"/>
    <n v="0"/>
    <n v="0"/>
    <n v="7"/>
    <n v="14"/>
    <n v="42"/>
    <n v="7"/>
    <n v="0"/>
    <n v="0"/>
    <n v="0"/>
    <n v="1.909333915225574E-2"/>
    <n v="0"/>
    <n v="116342.99697442149"/>
    <n v="5"/>
    <m/>
    <m/>
    <s v=""/>
    <s v=""/>
    <s v="Flagged"/>
    <s v=""/>
    <s v=""/>
    <m/>
    <s v=""/>
    <s v="Flagged"/>
  </r>
  <r>
    <s v="Host CommunitySD15037"/>
    <x v="14"/>
    <x v="14"/>
    <s v="Al Qurashi"/>
    <s v="SD15037"/>
    <n v="84484"/>
    <s v="Host Community"/>
    <n v="34680"/>
    <n v="3"/>
    <n v="4"/>
    <n v="345.40000000000003"/>
    <n v="180.49281536550927"/>
    <n v="164.90718463449073"/>
    <n v="172.70000000000002"/>
    <n v="151.97600000000003"/>
    <n v="20.724"/>
    <n v="51.81"/>
    <n v="56"/>
    <n v="6"/>
    <n v="0"/>
    <n v="0"/>
    <n v="3"/>
    <n v="7"/>
    <n v="21"/>
    <n v="3"/>
    <n v="0"/>
    <n v="0"/>
    <n v="0"/>
    <n v="9.9596309111880058E-3"/>
    <n v="0"/>
    <n v="105998.83189975181"/>
    <n v="2"/>
    <m/>
    <m/>
    <s v=""/>
    <s v=""/>
    <s v="Flagged"/>
    <s v=""/>
    <s v=""/>
    <m/>
    <s v=""/>
    <s v="Flagged"/>
  </r>
  <r>
    <s v="Host CommunitySD16008"/>
    <x v="15"/>
    <x v="15"/>
    <s v="Abu Hamad"/>
    <s v="SD16008"/>
    <n v="48025"/>
    <s v="Host Community"/>
    <n v="5719"/>
    <n v="2"/>
    <n v="3"/>
    <n v="0"/>
    <n v="0"/>
    <n v="0"/>
    <n v="0"/>
    <n v="0"/>
    <n v="0"/>
    <n v="0"/>
    <n v="0"/>
    <n v="0"/>
    <n v="0"/>
    <n v="0"/>
    <n v="0"/>
    <n v="0"/>
    <n v="0"/>
    <n v="0"/>
    <n v="0"/>
    <n v="0"/>
    <n v="0"/>
    <n v="0"/>
    <n v="0"/>
    <n v="43651.187228523253"/>
    <n v="3"/>
    <m/>
    <m/>
    <s v=""/>
    <s v=""/>
    <s v="No target"/>
    <s v="No target"/>
    <s v=""/>
    <m/>
    <s v=""/>
    <s v="Flagged"/>
  </r>
  <r>
    <s v="Host CommunitySD16009"/>
    <x v="15"/>
    <x v="15"/>
    <s v="Al Matama"/>
    <s v="SD16009"/>
    <n v="107824"/>
    <s v="Host Community"/>
    <n v="32508"/>
    <n v="3"/>
    <n v="3"/>
    <n v="0"/>
    <n v="0"/>
    <n v="0"/>
    <n v="0"/>
    <n v="0"/>
    <n v="0"/>
    <n v="0"/>
    <n v="0"/>
    <n v="0"/>
    <n v="0"/>
    <n v="0"/>
    <n v="0"/>
    <n v="0"/>
    <n v="0"/>
    <n v="0"/>
    <n v="0"/>
    <n v="0"/>
    <n v="0"/>
    <n v="0"/>
    <n v="0"/>
    <n v="65803.862153059352"/>
    <n v="1"/>
    <m/>
    <m/>
    <s v=""/>
    <s v=""/>
    <s v="No target"/>
    <s v="No target"/>
    <s v=""/>
    <m/>
    <s v=""/>
    <s v="Flagged"/>
  </r>
  <r>
    <s v="Host CommunitySD16010"/>
    <x v="15"/>
    <x v="15"/>
    <s v="Shendi"/>
    <s v="SD16010"/>
    <n v="223515"/>
    <s v="Host Community"/>
    <n v="101197"/>
    <n v="3"/>
    <n v="3"/>
    <n v="9654.4"/>
    <n v="4896.4395751236516"/>
    <n v="4757.960424876348"/>
    <n v="4827.2"/>
    <n v="4247.9359999999997"/>
    <n v="579.26400000000001"/>
    <n v="1448.1599999999999"/>
    <n v="1564"/>
    <n v="174"/>
    <n v="0"/>
    <n v="0"/>
    <n v="97"/>
    <n v="193"/>
    <n v="579"/>
    <n v="97"/>
    <n v="0"/>
    <n v="0"/>
    <n v="0"/>
    <n v="9.5402037609810558E-2"/>
    <n v="0"/>
    <n v="76419.487224277691"/>
    <n v="4"/>
    <m/>
    <m/>
    <s v=""/>
    <s v=""/>
    <s v=""/>
    <s v="Flagged"/>
    <s v=""/>
    <m/>
    <s v=""/>
    <s v="Flagged"/>
  </r>
  <r>
    <s v="Host CommunitySD16011"/>
    <x v="15"/>
    <x v="15"/>
    <s v="Ad Damar"/>
    <s v="SD16011"/>
    <n v="145177"/>
    <s v="Host Community"/>
    <n v="65598"/>
    <n v="3"/>
    <n v="3"/>
    <n v="5199.2000000000007"/>
    <n v="2605.6610506333013"/>
    <n v="2593.5389493666994"/>
    <n v="2599.6000000000004"/>
    <n v="2287.6480000000001"/>
    <n v="311.95200000000006"/>
    <n v="779.88000000000011"/>
    <n v="842"/>
    <n v="94"/>
    <n v="0"/>
    <n v="0"/>
    <n v="52"/>
    <n v="104"/>
    <n v="312"/>
    <n v="52"/>
    <n v="0"/>
    <n v="0"/>
    <n v="0"/>
    <n v="7.9258513979084733E-2"/>
    <n v="0"/>
    <n v="91542.187805203299"/>
    <n v="3"/>
    <m/>
    <m/>
    <s v=""/>
    <s v=""/>
    <s v=""/>
    <s v="Flagged"/>
    <s v=""/>
    <m/>
    <s v=""/>
    <s v="Flagged"/>
  </r>
  <r>
    <s v="Host CommunitySD16012"/>
    <x v="15"/>
    <x v="15"/>
    <s v="Atbara"/>
    <s v="SD16012"/>
    <n v="99538"/>
    <s v="Host Community"/>
    <n v="35796"/>
    <n v="3"/>
    <n v="3"/>
    <n v="4490"/>
    <n v="2276.4933921699189"/>
    <n v="2213.5066078300811"/>
    <n v="2245"/>
    <n v="1975.6"/>
    <n v="269.39999999999998"/>
    <n v="673.5"/>
    <n v="727"/>
    <n v="81"/>
    <n v="0"/>
    <n v="0"/>
    <n v="45"/>
    <n v="90"/>
    <n v="269"/>
    <n v="45"/>
    <n v="0"/>
    <n v="0"/>
    <n v="0"/>
    <n v="0.12543300927477929"/>
    <n v="0"/>
    <n v="68269.390575320824"/>
    <n v="3"/>
    <m/>
    <m/>
    <s v=""/>
    <s v=""/>
    <s v=""/>
    <s v="Flagged"/>
    <s v=""/>
    <m/>
    <s v=""/>
    <s v="Flagged"/>
  </r>
  <r>
    <s v="Host CommunitySD16013"/>
    <x v="15"/>
    <x v="15"/>
    <s v="Barbar"/>
    <s v="SD16013"/>
    <n v="26356"/>
    <s v="Host Community"/>
    <n v="10584"/>
    <n v="3"/>
    <n v="3"/>
    <n v="1525"/>
    <n v="778.18344543284877"/>
    <n v="746.81655456715123"/>
    <n v="762.5"/>
    <n v="671"/>
    <n v="91.5"/>
    <n v="228.75"/>
    <n v="247"/>
    <n v="27"/>
    <n v="0"/>
    <n v="0"/>
    <n v="15"/>
    <n v="31"/>
    <n v="92"/>
    <n v="15"/>
    <n v="0"/>
    <n v="0"/>
    <n v="0"/>
    <n v="0.14408541194255481"/>
    <n v="0"/>
    <n v="77622.866590421196"/>
    <n v="2"/>
    <m/>
    <m/>
    <s v=""/>
    <s v=""/>
    <s v=""/>
    <s v="Flagged"/>
    <s v=""/>
    <m/>
    <s v=""/>
    <s v="Flagged"/>
  </r>
  <r>
    <s v="Host CommunitySD16014"/>
    <x v="15"/>
    <x v="15"/>
    <s v="Al Buhaira"/>
    <s v="SD16014"/>
    <n v="19265"/>
    <s v="Host Community"/>
    <n v="9616"/>
    <n v="3"/>
    <n v="3"/>
    <n v="344.6"/>
    <n v="170.04759383226778"/>
    <n v="174.55240616773224"/>
    <n v="172.3"/>
    <n v="151.62400000000002"/>
    <n v="20.676000000000002"/>
    <n v="51.690000000000005"/>
    <n v="56"/>
    <n v="6"/>
    <n v="0"/>
    <n v="0"/>
    <n v="3"/>
    <n v="7"/>
    <n v="21"/>
    <n v="3"/>
    <n v="0"/>
    <n v="0"/>
    <n v="0"/>
    <n v="3.5836106489184692E-2"/>
    <n v="0"/>
    <n v="37100.465713871083"/>
    <n v="2"/>
    <m/>
    <m/>
    <s v=""/>
    <s v=""/>
    <s v=""/>
    <s v="Flagged"/>
    <s v=""/>
    <m/>
    <s v=""/>
    <s v="Flagged"/>
  </r>
  <r>
    <s v="Host CommunitySD17014"/>
    <x v="16"/>
    <x v="16"/>
    <s v="Halfa"/>
    <s v="SD17014"/>
    <n v="36548"/>
    <s v="Host Community"/>
    <n v="12026"/>
    <n v="3"/>
    <n v="3"/>
    <n v="476.6"/>
    <n v="238.89310072307347"/>
    <n v="237.70689927692655"/>
    <n v="238.3"/>
    <n v="209.70400000000001"/>
    <n v="28.596"/>
    <n v="71.489999999999995"/>
    <n v="77"/>
    <n v="9"/>
    <n v="0"/>
    <n v="0"/>
    <n v="5"/>
    <n v="10"/>
    <n v="29"/>
    <n v="5"/>
    <n v="2"/>
    <n v="0"/>
    <n v="0"/>
    <n v="3.963079993347747E-2"/>
    <n v="80"/>
    <n v="67596.337697280091"/>
    <n v="5"/>
    <m/>
    <m/>
    <s v=""/>
    <s v=""/>
    <s v=""/>
    <s v="Flagged"/>
    <s v=""/>
    <m/>
    <s v=""/>
    <s v="Flagged"/>
  </r>
  <r>
    <s v="Host CommunitySD17015"/>
    <x v="16"/>
    <x v="16"/>
    <s v="Delgo"/>
    <s v="SD17015"/>
    <n v="40452"/>
    <s v="Host Community"/>
    <n v="17498"/>
    <n v="3"/>
    <n v="3"/>
    <n v="698.6"/>
    <n v="369.29294990190914"/>
    <n v="329.30705009809083"/>
    <n v="349.3"/>
    <n v="307.38400000000001"/>
    <n v="41.915999999999997"/>
    <n v="104.79"/>
    <n v="113"/>
    <n v="13"/>
    <n v="0"/>
    <n v="0"/>
    <n v="7"/>
    <n v="14"/>
    <n v="42"/>
    <n v="7"/>
    <n v="0"/>
    <n v="0"/>
    <n v="0"/>
    <n v="3.9924562807177967E-2"/>
    <n v="0"/>
    <n v="16229.529742111103"/>
    <n v="3"/>
    <m/>
    <m/>
    <s v=""/>
    <s v=""/>
    <s v=""/>
    <s v="Flagged"/>
    <s v=""/>
    <m/>
    <s v=""/>
    <s v="Flagged"/>
  </r>
  <r>
    <s v="Host CommunitySD17016"/>
    <x v="16"/>
    <x v="16"/>
    <s v="Al Burgaig"/>
    <s v="SD17016"/>
    <n v="60564"/>
    <s v="Host Community"/>
    <n v="14739"/>
    <n v="3"/>
    <n v="3"/>
    <n v="581.80000000000007"/>
    <n v="299.82516900676029"/>
    <n v="281.97483099323978"/>
    <n v="290.90000000000003"/>
    <n v="255.99200000000002"/>
    <n v="34.908000000000001"/>
    <n v="87.27000000000001"/>
    <n v="94"/>
    <n v="10"/>
    <n v="0"/>
    <n v="0"/>
    <n v="6"/>
    <n v="12"/>
    <n v="35"/>
    <n v="6"/>
    <n v="0"/>
    <n v="0"/>
    <n v="0"/>
    <n v="3.9473505665241881E-2"/>
    <n v="135"/>
    <n v="30070.491370260603"/>
    <n v="3"/>
    <m/>
    <m/>
    <s v=""/>
    <s v=""/>
    <s v=""/>
    <s v="Flagged"/>
    <s v=""/>
    <m/>
    <s v=""/>
    <s v="Flagged"/>
  </r>
  <r>
    <s v="Host CommunitySD17017"/>
    <x v="16"/>
    <x v="16"/>
    <s v="Dongola"/>
    <s v="SD17017"/>
    <n v="63604"/>
    <s v="Host Community"/>
    <n v="31128"/>
    <n v="3"/>
    <n v="3"/>
    <n v="1103"/>
    <n v="566.56890009082008"/>
    <n v="536.43109990917981"/>
    <n v="551.5"/>
    <n v="485.32"/>
    <n v="66.179999999999993"/>
    <n v="165.45"/>
    <n v="179"/>
    <n v="20"/>
    <n v="0"/>
    <n v="0"/>
    <n v="11"/>
    <n v="22"/>
    <n v="66"/>
    <n v="11"/>
    <n v="6"/>
    <n v="0"/>
    <n v="0"/>
    <n v="3.5434335646363405E-2"/>
    <n v="165"/>
    <n v="84626.254645709909"/>
    <n v="6"/>
    <m/>
    <m/>
    <s v=""/>
    <s v=""/>
    <s v=""/>
    <s v="Flagged"/>
    <s v=""/>
    <m/>
    <s v=""/>
    <s v="Flagged"/>
  </r>
  <r>
    <s v="Host CommunitySD17018"/>
    <x v="16"/>
    <x v="16"/>
    <s v="Al Golid"/>
    <s v="SD17018"/>
    <n v="61040"/>
    <s v="Host Community"/>
    <n v="14741"/>
    <n v="3"/>
    <n v="3"/>
    <n v="1167.8"/>
    <n v="611.90550181312244"/>
    <n v="555.89449818687763"/>
    <n v="583.9"/>
    <n v="513.83199999999999"/>
    <n v="70.067999999999998"/>
    <n v="175.17"/>
    <n v="189"/>
    <n v="21"/>
    <n v="0"/>
    <n v="0"/>
    <n v="12"/>
    <n v="23"/>
    <n v="70"/>
    <n v="12"/>
    <n v="0"/>
    <n v="0"/>
    <n v="0"/>
    <n v="7.9221219727291223E-2"/>
    <n v="0"/>
    <n v="30034.809772776116"/>
    <n v="3"/>
    <m/>
    <m/>
    <s v=""/>
    <s v=""/>
    <s v=""/>
    <s v="Flagged"/>
    <s v=""/>
    <m/>
    <s v=""/>
    <s v="Flagged"/>
  </r>
  <r>
    <s v="Host CommunitySD17019"/>
    <x v="16"/>
    <x v="16"/>
    <s v="Ad Dabbah"/>
    <s v="SD17019"/>
    <n v="67094"/>
    <s v="Host Community"/>
    <n v="17937"/>
    <n v="3"/>
    <n v="3"/>
    <n v="354.6"/>
    <n v="181.0850305644077"/>
    <n v="173.51496943559235"/>
    <n v="177.3"/>
    <n v="156.024"/>
    <n v="21.276"/>
    <n v="53.190000000000005"/>
    <n v="57"/>
    <n v="6"/>
    <n v="0"/>
    <n v="0"/>
    <n v="4"/>
    <n v="7"/>
    <n v="21"/>
    <n v="4"/>
    <n v="0"/>
    <n v="0"/>
    <n v="0"/>
    <n v="1.9769192172604116E-2"/>
    <n v="0"/>
    <n v="56931.03824525002"/>
    <n v="4"/>
    <m/>
    <m/>
    <s v=""/>
    <s v=""/>
    <s v=""/>
    <s v="Flagged"/>
    <s v=""/>
    <m/>
    <s v=""/>
    <s v="Flagged"/>
  </r>
  <r>
    <s v="Host CommunitySD17020"/>
    <x v="16"/>
    <x v="16"/>
    <s v="Merwoe"/>
    <s v="SD17020"/>
    <n v="79787"/>
    <s v="Host Community"/>
    <n v="21214"/>
    <n v="3"/>
    <n v="3"/>
    <n v="1688.6000000000001"/>
    <n v="858.26394532003872"/>
    <n v="830.33605467996142"/>
    <n v="844.30000000000007"/>
    <n v="742.98400000000004"/>
    <n v="101.316"/>
    <n v="253.29000000000002"/>
    <n v="274"/>
    <n v="30"/>
    <n v="0"/>
    <n v="0"/>
    <n v="17"/>
    <n v="34"/>
    <n v="101"/>
    <n v="17"/>
    <n v="8"/>
    <n v="0"/>
    <n v="0"/>
    <n v="7.9598378429339117E-2"/>
    <n v="0"/>
    <n v="56386.718973819989"/>
    <n v="6"/>
    <m/>
    <m/>
    <s v=""/>
    <s v=""/>
    <s v=""/>
    <s v="Flagged"/>
    <s v=""/>
    <m/>
    <s v=""/>
    <s v="Flagged"/>
  </r>
  <r>
    <s v="Host CommunitySD18021"/>
    <x v="17"/>
    <x v="17"/>
    <s v="Ghubaish"/>
    <s v="SD18021"/>
    <n v="19604"/>
    <s v="Host Community"/>
    <n v="10740"/>
    <n v="3"/>
    <n v="3"/>
    <n v="0"/>
    <n v="0"/>
    <n v="0"/>
    <n v="0"/>
    <n v="0"/>
    <n v="0"/>
    <n v="0"/>
    <n v="0"/>
    <n v="0"/>
    <n v="0"/>
    <n v="0"/>
    <n v="0"/>
    <n v="0"/>
    <n v="0"/>
    <n v="0"/>
    <n v="0"/>
    <n v="0"/>
    <n v="0"/>
    <n v="0"/>
    <n v="0"/>
    <n v="1399.2783327250165"/>
    <n v="1"/>
    <m/>
    <m/>
    <s v=""/>
    <s v=""/>
    <s v="No target"/>
    <s v="No target"/>
    <s v=""/>
    <m/>
    <s v=""/>
    <s v="Flagged"/>
  </r>
  <r>
    <s v="Host CommunitySD18022"/>
    <x v="17"/>
    <x v="17"/>
    <s v="An Nuhud"/>
    <s v="SD18022"/>
    <n v="45809"/>
    <s v="Host Community"/>
    <n v="18807"/>
    <n v="3"/>
    <n v="5"/>
    <n v="227.51999999999998"/>
    <n v="116.58746797932073"/>
    <n v="110.93253202067925"/>
    <n v="113.75999999999999"/>
    <n v="100.10879999999999"/>
    <n v="13.651199999999998"/>
    <n v="34.127999999999993"/>
    <n v="37"/>
    <n v="4"/>
    <n v="0"/>
    <n v="0"/>
    <n v="2"/>
    <n v="5"/>
    <n v="14"/>
    <n v="2"/>
    <n v="0"/>
    <n v="0"/>
    <n v="0"/>
    <n v="1.2097623225394798E-2"/>
    <n v="0"/>
    <n v="142.72638993795167"/>
    <n v="1"/>
    <m/>
    <m/>
    <s v=""/>
    <s v=""/>
    <s v=""/>
    <s v=""/>
    <s v=""/>
    <m/>
    <s v=""/>
    <s v="Ok"/>
  </r>
  <r>
    <s v="Host CommunitySD18028"/>
    <x v="17"/>
    <x v="17"/>
    <s v="Abu Zabad"/>
    <s v="SD18028"/>
    <n v="26620"/>
    <s v="Host Community"/>
    <n v="12022"/>
    <n v="3"/>
    <n v="4"/>
    <n v="118.60000000000001"/>
    <n v="61.844487643890886"/>
    <n v="56.755512356109115"/>
    <n v="59.300000000000004"/>
    <n v="52.184000000000005"/>
    <n v="7.1160000000000005"/>
    <n v="17.79"/>
    <n v="19"/>
    <n v="2"/>
    <n v="0"/>
    <n v="0"/>
    <n v="1"/>
    <n v="2"/>
    <n v="7"/>
    <n v="1"/>
    <n v="0"/>
    <n v="0"/>
    <n v="0"/>
    <n v="9.8652470470803541E-3"/>
    <n v="0"/>
    <n v="24837.190405869042"/>
    <n v="1"/>
    <m/>
    <m/>
    <s v=""/>
    <s v=""/>
    <s v=""/>
    <s v=""/>
    <s v=""/>
    <m/>
    <s v="Yes"/>
    <s v="Ok"/>
  </r>
  <r>
    <s v="Host CommunitySD18029"/>
    <x v="17"/>
    <x v="17"/>
    <s v="Wad Bandah"/>
    <s v="SD18029"/>
    <n v="6303"/>
    <s v="Host Community"/>
    <n v="3670"/>
    <n v="3"/>
    <n v="3"/>
    <n v="0"/>
    <n v="0"/>
    <n v="0"/>
    <n v="0"/>
    <n v="0"/>
    <n v="0"/>
    <n v="0"/>
    <n v="0"/>
    <n v="0"/>
    <n v="0"/>
    <n v="0"/>
    <n v="0"/>
    <n v="0"/>
    <n v="0"/>
    <n v="0"/>
    <n v="0"/>
    <n v="0"/>
    <n v="0"/>
    <n v="0"/>
    <n v="0"/>
    <n v="0"/>
    <n v="1"/>
    <m/>
    <m/>
    <s v=""/>
    <s v=""/>
    <s v="No target"/>
    <s v="No target"/>
    <s v=""/>
    <m/>
    <s v=""/>
    <s v="Flagged"/>
  </r>
  <r>
    <s v="Host CommunitySD18085"/>
    <x v="17"/>
    <x v="17"/>
    <s v="Keilak"/>
    <s v="SD18085"/>
    <n v="20112"/>
    <s v="Host Community"/>
    <n v="16026"/>
    <n v="3"/>
    <n v="3"/>
    <n v="0"/>
    <n v="0"/>
    <n v="0"/>
    <n v="0"/>
    <n v="0"/>
    <n v="0"/>
    <n v="0"/>
    <n v="0"/>
    <n v="0"/>
    <n v="0"/>
    <n v="0"/>
    <n v="0"/>
    <n v="0"/>
    <n v="0"/>
    <n v="0"/>
    <n v="0"/>
    <n v="0"/>
    <n v="0"/>
    <n v="0"/>
    <n v="0"/>
    <n v="0"/>
    <n v="1"/>
    <m/>
    <m/>
    <s v=""/>
    <s v=""/>
    <s v="No target"/>
    <s v="No target"/>
    <s v=""/>
    <m/>
    <s v=""/>
    <s v="Flagged"/>
  </r>
  <r>
    <s v="Host CommunitySD18086"/>
    <x v="17"/>
    <x v="17"/>
    <s v="As Salam - WK"/>
    <s v="SD18086"/>
    <n v="29010"/>
    <s v="Host Community"/>
    <n v="19013"/>
    <n v="3"/>
    <n v="4"/>
    <n v="1647.2"/>
    <n v="840.27621391646471"/>
    <n v="806.92378608353545"/>
    <n v="823.6"/>
    <n v="724.76800000000003"/>
    <n v="98.831999999999994"/>
    <n v="247.07999999999998"/>
    <n v="267"/>
    <n v="30"/>
    <n v="0"/>
    <n v="0"/>
    <n v="16"/>
    <n v="33"/>
    <n v="99"/>
    <n v="16"/>
    <n v="0"/>
    <n v="0"/>
    <n v="0"/>
    <n v="8.6635459948456325E-2"/>
    <n v="0"/>
    <n v="5247.2937477188116"/>
    <n v="2"/>
    <m/>
    <m/>
    <s v=""/>
    <s v=""/>
    <s v="Flagged"/>
    <s v=""/>
    <s v=""/>
    <m/>
    <s v=""/>
    <s v="Flagged"/>
  </r>
  <r>
    <s v="Host CommunitySD18087"/>
    <x v="17"/>
    <x v="17"/>
    <s v="Abyei"/>
    <s v="SD18087"/>
    <n v="0"/>
    <s v="Host Community"/>
    <n v="0"/>
    <n v="3"/>
    <n v="4"/>
    <n v="0"/>
    <n v="0"/>
    <n v="0"/>
    <n v="0"/>
    <n v="0"/>
    <n v="0"/>
    <n v="0"/>
    <n v="0"/>
    <n v="0"/>
    <n v="0"/>
    <n v="0"/>
    <n v="0"/>
    <n v="0"/>
    <n v="0"/>
    <n v="0"/>
    <n v="0"/>
    <n v="0"/>
    <n v="0"/>
    <n v="0"/>
    <n v="0"/>
    <n v="403621.83507453097"/>
    <n v="1"/>
    <m/>
    <m/>
    <s v=""/>
    <s v=""/>
    <s v="No target"/>
    <s v="No target"/>
    <s v=""/>
    <m/>
    <s v=""/>
    <s v="Flagged"/>
  </r>
  <r>
    <s v="Host CommunitySD18092"/>
    <x v="17"/>
    <x v="17"/>
    <s v="As Sunut"/>
    <s v="SD18092"/>
    <n v="8359"/>
    <s v="Host Community"/>
    <n v="4314"/>
    <n v="3"/>
    <n v="3"/>
    <n v="0"/>
    <n v="0"/>
    <n v="0"/>
    <n v="0"/>
    <n v="0"/>
    <n v="0"/>
    <n v="0"/>
    <n v="0"/>
    <n v="0"/>
    <n v="0"/>
    <n v="0"/>
    <n v="0"/>
    <n v="0"/>
    <n v="0"/>
    <n v="0"/>
    <n v="0"/>
    <n v="0"/>
    <n v="0"/>
    <n v="0"/>
    <n v="0"/>
    <n v="0"/>
    <n v="1"/>
    <m/>
    <m/>
    <s v=""/>
    <s v=""/>
    <s v="No target"/>
    <s v="No target"/>
    <s v=""/>
    <m/>
    <s v=""/>
    <s v="Flagged"/>
  </r>
  <r>
    <s v="Host CommunitySD18100"/>
    <x v="17"/>
    <x v="17"/>
    <s v="Babanusa"/>
    <s v="SD18100"/>
    <n v="38841"/>
    <s v="Host Community"/>
    <n v="31126"/>
    <n v="3"/>
    <n v="4"/>
    <n v="275.8"/>
    <n v="138.97961930057548"/>
    <n v="136.82038069942453"/>
    <n v="137.9"/>
    <n v="121.352"/>
    <n v="16.548000000000002"/>
    <n v="41.37"/>
    <n v="45"/>
    <n v="5"/>
    <n v="0"/>
    <n v="0"/>
    <n v="3"/>
    <n v="6"/>
    <n v="17"/>
    <n v="3"/>
    <n v="0"/>
    <n v="0"/>
    <n v="0"/>
    <n v="8.8607594936708865E-3"/>
    <n v="0"/>
    <n v="503.74019978100591"/>
    <n v="1"/>
    <m/>
    <m/>
    <s v=""/>
    <s v=""/>
    <s v="Flagged"/>
    <s v=""/>
    <s v=""/>
    <m/>
    <s v=""/>
    <s v="Flagged"/>
  </r>
  <r>
    <s v="Host CommunitySD18102"/>
    <x v="17"/>
    <x v="17"/>
    <s v="Al Lagowa"/>
    <s v="SD18102"/>
    <n v="19274"/>
    <s v="Host Community"/>
    <n v="15338"/>
    <n v="3"/>
    <n v="4"/>
    <n v="317.8"/>
    <n v="161.95144094573982"/>
    <n v="155.84855905426019"/>
    <n v="158.9"/>
    <n v="139.83199999999999"/>
    <n v="19.068000000000001"/>
    <n v="47.67"/>
    <n v="51"/>
    <n v="6"/>
    <n v="0"/>
    <n v="0"/>
    <n v="3"/>
    <n v="6"/>
    <n v="19"/>
    <n v="3"/>
    <n v="0"/>
    <n v="0"/>
    <n v="0"/>
    <n v="2.0719780936236797E-2"/>
    <n v="0"/>
    <n v="6609.4912046266154"/>
    <n v="1"/>
    <m/>
    <m/>
    <s v=""/>
    <s v=""/>
    <s v=""/>
    <s v=""/>
    <s v=""/>
    <m/>
    <s v="Yes"/>
    <s v="Ok"/>
  </r>
  <r>
    <s v="Host CommunitySD18103"/>
    <x v="17"/>
    <x v="17"/>
    <s v="Al Dibab"/>
    <s v="SD18103"/>
    <n v="21146"/>
    <s v="Host Community"/>
    <n v="15597"/>
    <n v="3"/>
    <n v="4"/>
    <n v="156"/>
    <n v="77.39067286962441"/>
    <n v="78.609327130375576"/>
    <n v="78"/>
    <n v="68.64"/>
    <n v="9.36"/>
    <n v="23.4"/>
    <n v="25"/>
    <n v="3"/>
    <n v="0"/>
    <n v="0"/>
    <n v="2"/>
    <n v="3"/>
    <n v="9"/>
    <n v="2"/>
    <n v="0"/>
    <n v="0"/>
    <n v="0"/>
    <n v="1.0001923446816696E-2"/>
    <n v="0"/>
    <n v="46092.228279962044"/>
    <n v="1"/>
    <m/>
    <m/>
    <s v=""/>
    <s v=""/>
    <s v="Flagged"/>
    <s v=""/>
    <s v=""/>
    <m/>
    <s v=""/>
    <s v="Flagged"/>
  </r>
  <r>
    <s v="Host CommunitySD18104"/>
    <x v="17"/>
    <x v="17"/>
    <s v="Al Idia"/>
    <s v="SD18104"/>
    <n v="59785"/>
    <s v="Host Community"/>
    <n v="24533"/>
    <n v="3"/>
    <n v="4"/>
    <n v="793.6"/>
    <n v="410.31110371994885"/>
    <n v="383.28889628005112"/>
    <n v="396.8"/>
    <n v="349.18400000000003"/>
    <n v="47.616"/>
    <n v="119.03999999999999"/>
    <n v="129"/>
    <n v="14"/>
    <n v="0"/>
    <n v="0"/>
    <n v="8"/>
    <n v="16"/>
    <n v="48"/>
    <n v="8"/>
    <n v="0"/>
    <n v="0"/>
    <n v="0"/>
    <n v="3.2348265601434806E-2"/>
    <n v="0"/>
    <n v="153.92061659975181"/>
    <n v="1"/>
    <m/>
    <m/>
    <s v=""/>
    <s v=""/>
    <s v=""/>
    <s v=""/>
    <s v=""/>
    <m/>
    <s v="Yes"/>
    <s v="Ok"/>
  </r>
  <r>
    <s v="Host CommunitySD18105"/>
    <x v="17"/>
    <x v="17"/>
    <s v="Al Khiwai"/>
    <s v="SD18105"/>
    <n v="9038"/>
    <s v="Host Community"/>
    <n v="1754"/>
    <n v="3"/>
    <n v="3"/>
    <n v="0"/>
    <n v="0"/>
    <n v="0"/>
    <n v="0"/>
    <n v="0"/>
    <n v="0"/>
    <n v="0"/>
    <n v="0"/>
    <n v="0"/>
    <n v="0"/>
    <n v="0"/>
    <n v="0"/>
    <n v="0"/>
    <n v="0"/>
    <n v="0"/>
    <n v="0"/>
    <n v="0"/>
    <n v="0"/>
    <n v="0"/>
    <n v="0"/>
    <n v="0"/>
    <n v="1"/>
    <m/>
    <m/>
    <s v=""/>
    <s v=""/>
    <s v="No target"/>
    <s v="No target"/>
    <s v=""/>
    <m/>
    <s v=""/>
    <s v="Flagged"/>
  </r>
  <r>
    <s v="Host CommunitySD18106"/>
    <x v="17"/>
    <x v="17"/>
    <s v="Al Meiram"/>
    <s v="SD18106"/>
    <n v="16580"/>
    <s v="Host Community"/>
    <n v="12228"/>
    <n v="3"/>
    <n v="4"/>
    <n v="118.4"/>
    <n v="58.842928917710758"/>
    <n v="59.557071082289248"/>
    <n v="59.2"/>
    <n v="52.096000000000004"/>
    <n v="7.1040000000000001"/>
    <n v="17.760000000000002"/>
    <n v="19"/>
    <n v="2"/>
    <n v="0"/>
    <n v="0"/>
    <n v="1"/>
    <n v="2"/>
    <n v="7"/>
    <n v="1"/>
    <n v="0"/>
    <n v="0"/>
    <n v="0"/>
    <n v="9.6826954530585541E-3"/>
    <n v="0"/>
    <n v="10.494587495437623"/>
    <n v="1"/>
    <m/>
    <m/>
    <s v=""/>
    <s v=""/>
    <s v=""/>
    <s v=""/>
    <s v=""/>
    <m/>
    <s v="Yes"/>
    <s v="Ok"/>
  </r>
  <r>
    <s v="IDPsSD01001"/>
    <x v="0"/>
    <x v="0"/>
    <s v="Jebel Awlia"/>
    <s v="SD01001"/>
    <n v="10542"/>
    <s v="IDPs"/>
    <n v="960"/>
    <n v="3"/>
    <n v="4"/>
    <n v="384"/>
    <n v="177.8147984555568"/>
    <n v="206.1852015444432"/>
    <n v="211.20000000000002"/>
    <n v="149.76"/>
    <n v="23.04"/>
    <n v="57.599999999999994"/>
    <n v="62"/>
    <n v="7"/>
    <n v="3"/>
    <n v="3"/>
    <n v="4"/>
    <n v="8"/>
    <n v="12"/>
    <n v="8"/>
    <n v="0"/>
    <n v="0"/>
    <n v="1"/>
    <n v="0.4"/>
    <n v="0"/>
    <n v="17116.228992617747"/>
    <n v="2"/>
    <m/>
    <m/>
    <s v=""/>
    <s v=""/>
    <s v=""/>
    <s v=""/>
    <s v="Yes"/>
    <m/>
    <s v="Yes"/>
    <s v="Ok"/>
  </r>
  <r>
    <s v="IDPsSD01002"/>
    <x v="0"/>
    <x v="0"/>
    <s v="Um Bada"/>
    <s v="SD01002"/>
    <n v="10043"/>
    <s v="IDPs"/>
    <n v="2287"/>
    <n v="4"/>
    <n v="4"/>
    <n v="229"/>
    <n v="105.86712875977351"/>
    <n v="123.13287124022649"/>
    <n v="125.95000000000002"/>
    <n v="89.31"/>
    <n v="13.74"/>
    <n v="34.35"/>
    <n v="37"/>
    <n v="4"/>
    <n v="2"/>
    <n v="2"/>
    <n v="2"/>
    <n v="5"/>
    <n v="7"/>
    <n v="5"/>
    <n v="0"/>
    <n v="0"/>
    <n v="1"/>
    <n v="0.10013117621337997"/>
    <n v="0"/>
    <n v="811.32015939789574"/>
    <n v="1"/>
    <m/>
    <m/>
    <s v=""/>
    <s v=""/>
    <s v="Flagged"/>
    <s v=""/>
    <s v=""/>
    <m/>
    <s v=""/>
    <s v="Flagged"/>
  </r>
  <r>
    <s v="IDPsSD01003"/>
    <x v="0"/>
    <x v="0"/>
    <s v="Bahri"/>
    <s v="SD01003"/>
    <n v="33400"/>
    <s v="IDPs"/>
    <n v="6083"/>
    <n v="4"/>
    <n v="4"/>
    <n v="3650"/>
    <n v="1722.8556821564628"/>
    <n v="1927.1443178435375"/>
    <n v="2007.5000000000002"/>
    <n v="1423.5"/>
    <n v="219"/>
    <n v="547.5"/>
    <n v="591"/>
    <n v="66"/>
    <n v="25"/>
    <n v="33"/>
    <n v="37"/>
    <n v="73"/>
    <n v="110"/>
    <n v="73"/>
    <n v="0"/>
    <n v="5"/>
    <n v="11"/>
    <n v="0.6000328785138912"/>
    <n v="0"/>
    <n v="9991.6275787918185"/>
    <n v="1"/>
    <m/>
    <m/>
    <s v=""/>
    <s v=""/>
    <s v=""/>
    <s v=""/>
    <s v=""/>
    <m/>
    <s v="Yes"/>
    <s v="Ok"/>
  </r>
  <r>
    <s v="IDPsSD01004"/>
    <x v="0"/>
    <x v="0"/>
    <s v="Sharg An Neel"/>
    <s v="SD01004"/>
    <n v="25215"/>
    <s v="IDPs"/>
    <n v="4592"/>
    <n v="4"/>
    <n v="4"/>
    <n v="1837"/>
    <n v="858.25377717121546"/>
    <n v="978.74622282878454"/>
    <n v="1010.3500000000001"/>
    <n v="716.43000000000006"/>
    <n v="110.22"/>
    <n v="275.55"/>
    <n v="298"/>
    <n v="33"/>
    <n v="12"/>
    <n v="17"/>
    <n v="18"/>
    <n v="37"/>
    <n v="55"/>
    <n v="37"/>
    <n v="0"/>
    <n v="2"/>
    <n v="6"/>
    <n v="0.40004355400696862"/>
    <n v="0"/>
    <n v="5709.5014735953255"/>
    <n v="1"/>
    <m/>
    <m/>
    <s v=""/>
    <s v=""/>
    <s v="Flagged"/>
    <s v=""/>
    <s v=""/>
    <m/>
    <s v=""/>
    <s v="Flagged"/>
  </r>
  <r>
    <s v="IDPsSD01005"/>
    <x v="0"/>
    <x v="0"/>
    <s v="Karrari"/>
    <s v="SD01005"/>
    <n v="18823"/>
    <s v="IDPs"/>
    <n v="1714"/>
    <n v="3"/>
    <n v="3"/>
    <n v="1028"/>
    <n v="488.81948804920972"/>
    <n v="539.18051195079033"/>
    <n v="565.40000000000009"/>
    <n v="400.92"/>
    <n v="61.68"/>
    <n v="154.19999999999999"/>
    <n v="167"/>
    <n v="19"/>
    <n v="7"/>
    <n v="9"/>
    <n v="10"/>
    <n v="21"/>
    <n v="31"/>
    <n v="21"/>
    <n v="0"/>
    <n v="1"/>
    <n v="3"/>
    <n v="0.59976662777129519"/>
    <n v="33295"/>
    <n v="24298.496371326986"/>
    <n v="5"/>
    <m/>
    <m/>
    <s v=""/>
    <s v=""/>
    <s v=""/>
    <s v=""/>
    <s v=""/>
    <m/>
    <s v=""/>
    <s v="Flagged"/>
  </r>
  <r>
    <s v="IDPsSD01006"/>
    <x v="0"/>
    <x v="0"/>
    <s v="Um Durman"/>
    <s v="SD01006"/>
    <n v="12871"/>
    <s v="IDPs"/>
    <n v="2930"/>
    <n v="4"/>
    <n v="4"/>
    <n v="1758"/>
    <n v="829.19110193038489"/>
    <n v="928.80889806961511"/>
    <n v="966.90000000000009"/>
    <n v="685.62"/>
    <n v="105.47999999999999"/>
    <n v="263.7"/>
    <n v="285"/>
    <n v="32"/>
    <n v="12"/>
    <n v="16"/>
    <n v="18"/>
    <n v="35"/>
    <n v="53"/>
    <n v="35"/>
    <n v="0"/>
    <n v="2"/>
    <n v="5"/>
    <n v="0.6"/>
    <n v="60000"/>
    <n v="22201.396480075422"/>
    <n v="6"/>
    <m/>
    <m/>
    <s v=""/>
    <s v=""/>
    <s v=""/>
    <s v=""/>
    <s v=""/>
    <m/>
    <s v="Yes"/>
    <s v="Ok"/>
  </r>
  <r>
    <s v="IDPsSD01007"/>
    <x v="0"/>
    <x v="0"/>
    <s v="Khartoum"/>
    <s v="SD01007"/>
    <n v="6805"/>
    <s v="IDPs"/>
    <n v="1549"/>
    <n v="4"/>
    <n v="4"/>
    <n v="620"/>
    <n v="290.3254281828024"/>
    <n v="329.67457181719766"/>
    <n v="341"/>
    <n v="241.8"/>
    <n v="37.199999999999996"/>
    <n v="93"/>
    <n v="100"/>
    <n v="11"/>
    <n v="4"/>
    <n v="6"/>
    <n v="6"/>
    <n v="12"/>
    <n v="19"/>
    <n v="12"/>
    <n v="0"/>
    <n v="1"/>
    <n v="2"/>
    <n v="0.40025823111684961"/>
    <n v="0"/>
    <n v="28502.116831261545"/>
    <n v="1"/>
    <m/>
    <m/>
    <s v=""/>
    <s v=""/>
    <s v=""/>
    <s v=""/>
    <s v="Yes"/>
    <m/>
    <s v="Yes"/>
    <s v="Ok"/>
  </r>
  <r>
    <s v="IDPsSD02113"/>
    <x v="1"/>
    <x v="1"/>
    <s v="Dar As Salam"/>
    <s v="SD02113"/>
    <n v="124035"/>
    <s v="IDPs"/>
    <n v="81577"/>
    <n v="3"/>
    <n v="4"/>
    <n v="32631"/>
    <n v="15378.96519744133"/>
    <n v="17252.034802558668"/>
    <n v="17947.050000000003"/>
    <n v="12726.09"/>
    <n v="1957.86"/>
    <n v="4894.6499999999996"/>
    <n v="5286"/>
    <n v="587"/>
    <n v="220"/>
    <n v="294"/>
    <n v="326"/>
    <n v="653"/>
    <n v="979"/>
    <n v="653"/>
    <n v="0"/>
    <n v="41"/>
    <n v="98"/>
    <n v="0.40000245167142701"/>
    <n v="3750"/>
    <n v="1270.3640778749598"/>
    <n v="1"/>
    <m/>
    <m/>
    <s v=""/>
    <s v=""/>
    <s v="Flagged"/>
    <s v=""/>
    <s v=""/>
    <m/>
    <s v=""/>
    <s v="Flagged"/>
  </r>
  <r>
    <s v="IDPsSD02114"/>
    <x v="1"/>
    <x v="1"/>
    <s v="Al Fasher"/>
    <s v="SD02114"/>
    <n v="702481"/>
    <s v="IDPs"/>
    <n v="324560"/>
    <n v="4"/>
    <n v="5"/>
    <n v="285612.80000000005"/>
    <n v="144011.40148947365"/>
    <n v="141601.3985105264"/>
    <n v="157087.04000000004"/>
    <n v="111388.99200000003"/>
    <n v="17136.768000000004"/>
    <n v="42841.920000000006"/>
    <n v="46269"/>
    <n v="5141"/>
    <n v="1928"/>
    <n v="2571"/>
    <n v="2856"/>
    <n v="5712"/>
    <n v="8568"/>
    <n v="5712"/>
    <n v="0"/>
    <n v="357"/>
    <n v="857"/>
    <n v="0.88000000000000012"/>
    <n v="14665"/>
    <n v="45061.669430203743"/>
    <n v="5"/>
    <m/>
    <m/>
    <s v=""/>
    <s v=""/>
    <s v=""/>
    <s v=""/>
    <s v="Yes"/>
    <m/>
    <s v=""/>
    <s v="Ok"/>
  </r>
  <r>
    <s v="IDPsSD02116"/>
    <x v="1"/>
    <x v="1"/>
    <s v="Al Koma"/>
    <s v="SD02116"/>
    <n v="10045"/>
    <s v="IDPs"/>
    <n v="9077"/>
    <n v="3"/>
    <n v="4"/>
    <n v="1815"/>
    <n v="901.64031802201339"/>
    <n v="913.35968197798661"/>
    <n v="998.25000000000011"/>
    <n v="707.85"/>
    <n v="108.89999999999999"/>
    <n v="272.25"/>
    <n v="294"/>
    <n v="33"/>
    <n v="12"/>
    <n v="16"/>
    <n v="18"/>
    <n v="36"/>
    <n v="54"/>
    <n v="36"/>
    <n v="0"/>
    <n v="2"/>
    <n v="5"/>
    <n v="0.19995593257684258"/>
    <n v="0"/>
    <n v="547.82666639147146"/>
    <n v="1"/>
    <m/>
    <m/>
    <s v=""/>
    <s v=""/>
    <s v=""/>
    <s v=""/>
    <s v=""/>
    <m/>
    <s v="Yes"/>
    <s v="Ok"/>
  </r>
  <r>
    <s v="IDPsSD02117"/>
    <x v="1"/>
    <x v="1"/>
    <s v="Al Malha"/>
    <s v="SD02117"/>
    <n v="6255"/>
    <s v="IDPs"/>
    <n v="1246"/>
    <n v="3"/>
    <n v="4"/>
    <n v="125"/>
    <n v="60.414174641148321"/>
    <n v="64.585825358851665"/>
    <n v="68.75"/>
    <n v="48.75"/>
    <n v="7.5"/>
    <n v="18.75"/>
    <n v="20"/>
    <n v="2"/>
    <n v="1"/>
    <n v="1"/>
    <n v="1"/>
    <n v="3"/>
    <n v="4"/>
    <n v="3"/>
    <n v="0"/>
    <n v="0"/>
    <n v="0"/>
    <n v="0.10032102728731943"/>
    <n v="0"/>
    <n v="5798.8551716570919"/>
    <n v="2"/>
    <m/>
    <m/>
    <s v=""/>
    <s v=""/>
    <s v="Flagged"/>
    <s v=""/>
    <s v=""/>
    <m/>
    <s v=""/>
    <s v="Flagged"/>
  </r>
  <r>
    <s v="IDPsSD02118"/>
    <x v="1"/>
    <x v="1"/>
    <s v="As Serief"/>
    <s v="SD02118"/>
    <n v="13075"/>
    <s v="IDPs"/>
    <n v="9042"/>
    <n v="3"/>
    <n v="4"/>
    <n v="3617"/>
    <n v="1778.2886147519919"/>
    <n v="1838.7113852480084"/>
    <n v="1989.3500000000001"/>
    <n v="1410.63"/>
    <n v="217.01999999999998"/>
    <n v="542.54999999999995"/>
    <n v="586"/>
    <n v="65"/>
    <n v="24"/>
    <n v="33"/>
    <n v="36"/>
    <n v="72"/>
    <n v="109"/>
    <n v="72"/>
    <n v="0"/>
    <n v="5"/>
    <n v="11"/>
    <n v="0.40002211900022117"/>
    <n v="0"/>
    <n v="441.91541405627817"/>
    <n v="1"/>
    <m/>
    <m/>
    <s v=""/>
    <s v=""/>
    <s v="Flagged"/>
    <s v=""/>
    <s v=""/>
    <m/>
    <s v=""/>
    <s v="Flagged"/>
  </r>
  <r>
    <s v="IDPsSD02119"/>
    <x v="1"/>
    <x v="1"/>
    <s v="At Tawisha"/>
    <s v="SD02119"/>
    <n v="1945"/>
    <s v="IDPs"/>
    <n v="700"/>
    <n v="3"/>
    <n v="3"/>
    <n v="0"/>
    <n v="0"/>
    <n v="0"/>
    <n v="0"/>
    <n v="0"/>
    <n v="0"/>
    <n v="0"/>
    <n v="0"/>
    <n v="0"/>
    <n v="0"/>
    <n v="0"/>
    <n v="0"/>
    <n v="0"/>
    <n v="0"/>
    <n v="0"/>
    <n v="0"/>
    <n v="0"/>
    <n v="0"/>
    <n v="0"/>
    <n v="0"/>
    <n v="776.77767548264399"/>
    <n v="1"/>
    <m/>
    <m/>
    <s v=""/>
    <s v=""/>
    <s v="No target"/>
    <s v="No target"/>
    <s v=""/>
    <s v="Yes"/>
    <s v=""/>
    <s v="Ok"/>
  </r>
  <r>
    <s v="IDPsSD02120"/>
    <x v="1"/>
    <x v="1"/>
    <s v="Um Baru"/>
    <s v="SD02120"/>
    <n v="1360"/>
    <s v="IDPs"/>
    <n v="231"/>
    <n v="3"/>
    <n v="4"/>
    <n v="139"/>
    <n v="70.823757077814818"/>
    <n v="68.176242922185182"/>
    <n v="76.45"/>
    <n v="54.21"/>
    <n v="8.34"/>
    <n v="20.849999999999998"/>
    <n v="23"/>
    <n v="3"/>
    <n v="1"/>
    <n v="1"/>
    <n v="1"/>
    <n v="3"/>
    <n v="4"/>
    <n v="3"/>
    <n v="0"/>
    <n v="0"/>
    <n v="0"/>
    <n v="0.60173160173160178"/>
    <n v="7500"/>
    <n v="999.16275787918198"/>
    <n v="2"/>
    <m/>
    <m/>
    <s v=""/>
    <s v=""/>
    <s v=""/>
    <s v=""/>
    <s v=""/>
    <m/>
    <s v=""/>
    <s v="Flagged"/>
  </r>
  <r>
    <s v="IDPsSD02124"/>
    <x v="1"/>
    <x v="1"/>
    <s v="Kebkabiya"/>
    <s v="SD02124"/>
    <n v="82555"/>
    <s v="IDPs"/>
    <n v="61047"/>
    <n v="4"/>
    <n v="4"/>
    <n v="24419"/>
    <n v="12218.210938296266"/>
    <n v="12200.789061703734"/>
    <n v="13430.45"/>
    <n v="9523.41"/>
    <n v="1465.1399999999999"/>
    <n v="3662.85"/>
    <n v="3956"/>
    <n v="440"/>
    <n v="165"/>
    <n v="220"/>
    <n v="244"/>
    <n v="488"/>
    <n v="733"/>
    <n v="488"/>
    <n v="0"/>
    <n v="31"/>
    <n v="73"/>
    <n v="0.4000032761642669"/>
    <n v="0"/>
    <n v="4396.0306595947204"/>
    <n v="1"/>
    <m/>
    <m/>
    <s v=""/>
    <s v=""/>
    <s v="Flagged"/>
    <s v=""/>
    <s v=""/>
    <m/>
    <s v=""/>
    <s v="Flagged"/>
  </r>
  <r>
    <s v="IDPsSD02126"/>
    <x v="1"/>
    <x v="1"/>
    <s v="Kelemando"/>
    <s v="SD02126"/>
    <n v="13232"/>
    <s v="IDPs"/>
    <n v="3734"/>
    <n v="3"/>
    <n v="4"/>
    <n v="187"/>
    <n v="95.566181859180347"/>
    <n v="91.433818140819668"/>
    <n v="102.85000000000001"/>
    <n v="72.930000000000007"/>
    <n v="11.219999999999999"/>
    <n v="28.05"/>
    <n v="30"/>
    <n v="3"/>
    <n v="1"/>
    <n v="2"/>
    <n v="2"/>
    <n v="4"/>
    <n v="6"/>
    <n v="4"/>
    <n v="0"/>
    <n v="0"/>
    <n v="1"/>
    <n v="5.0080342795929302E-2"/>
    <n v="0"/>
    <n v="1084.2343298357523"/>
    <n v="1"/>
    <m/>
    <m/>
    <s v=""/>
    <s v=""/>
    <s v="Flagged"/>
    <s v=""/>
    <s v=""/>
    <m/>
    <s v=""/>
    <s v="Flagged"/>
  </r>
  <r>
    <s v="IDPsSD02128"/>
    <x v="1"/>
    <x v="1"/>
    <s v="Kutum"/>
    <s v="SD02128"/>
    <n v="155003"/>
    <s v="IDPs"/>
    <n v="137738"/>
    <n v="3"/>
    <n v="4"/>
    <n v="6887"/>
    <n v="3488.8706862113518"/>
    <n v="3398.1293137886482"/>
    <n v="3787.8500000000004"/>
    <n v="2685.9300000000003"/>
    <n v="413.21999999999997"/>
    <n v="1033.05"/>
    <n v="1116"/>
    <n v="124"/>
    <n v="46"/>
    <n v="62"/>
    <n v="69"/>
    <n v="138"/>
    <n v="207"/>
    <n v="138"/>
    <n v="0"/>
    <n v="9"/>
    <n v="21"/>
    <n v="5.0000726016059475E-2"/>
    <n v="0"/>
    <n v="5126.2758980675626"/>
    <n v="1"/>
    <m/>
    <m/>
    <s v=""/>
    <s v=""/>
    <s v=""/>
    <s v=""/>
    <s v=""/>
    <m/>
    <s v="Yes"/>
    <s v="Ok"/>
  </r>
  <r>
    <s v="IDPsSD02129"/>
    <x v="1"/>
    <x v="1"/>
    <s v="Melit"/>
    <s v="SD02129"/>
    <n v="46779"/>
    <s v="IDPs"/>
    <n v="23827"/>
    <n v="3"/>
    <n v="4"/>
    <n v="1191"/>
    <n v="601.23455165651171"/>
    <n v="589.76544834348829"/>
    <n v="655.05000000000007"/>
    <n v="464.49"/>
    <n v="71.459999999999994"/>
    <n v="178.65"/>
    <n v="193"/>
    <n v="21"/>
    <n v="8"/>
    <n v="11"/>
    <n v="12"/>
    <n v="24"/>
    <n v="36"/>
    <n v="24"/>
    <n v="0"/>
    <n v="1"/>
    <n v="4"/>
    <n v="4.9985310781886096E-2"/>
    <n v="0"/>
    <n v="24222.274526654488"/>
    <n v="1"/>
    <m/>
    <m/>
    <s v=""/>
    <s v=""/>
    <s v="Flagged"/>
    <s v=""/>
    <s v=""/>
    <m/>
    <s v=""/>
    <s v="Flagged"/>
  </r>
  <r>
    <s v="IDPsSD02133"/>
    <x v="1"/>
    <x v="1"/>
    <s v="Saraf Omra"/>
    <s v="SD02133"/>
    <n v="65012"/>
    <s v="IDPs"/>
    <n v="52519"/>
    <n v="3"/>
    <n v="4"/>
    <n v="21008"/>
    <n v="10601.383150133708"/>
    <n v="10406.61684986629"/>
    <n v="11554.400000000001"/>
    <n v="8193.1200000000008"/>
    <n v="1260.48"/>
    <n v="3151.2"/>
    <n v="3403"/>
    <n v="378"/>
    <n v="142"/>
    <n v="189"/>
    <n v="210"/>
    <n v="420"/>
    <n v="630"/>
    <n v="420"/>
    <n v="0"/>
    <n v="26"/>
    <n v="63"/>
    <n v="0.40000761629124698"/>
    <n v="0"/>
    <n v="2740.5607073257561"/>
    <n v="1"/>
    <m/>
    <m/>
    <s v=""/>
    <s v=""/>
    <s v="Flagged"/>
    <s v=""/>
    <s v=""/>
    <m/>
    <s v=""/>
    <s v="Flagged"/>
  </r>
  <r>
    <s v="IDPsSD02136"/>
    <x v="1"/>
    <x v="1"/>
    <s v="Um Kadadah"/>
    <s v="SD02136"/>
    <n v="38640"/>
    <s v="IDPs"/>
    <n v="19288"/>
    <n v="3"/>
    <n v="4"/>
    <n v="7715"/>
    <n v="3981.2963238103325"/>
    <n v="3733.7036761896675"/>
    <n v="4243.25"/>
    <n v="3008.85"/>
    <n v="462.9"/>
    <n v="1157.25"/>
    <n v="1250"/>
    <n v="139"/>
    <n v="52"/>
    <n v="69"/>
    <n v="77"/>
    <n v="154"/>
    <n v="231"/>
    <n v="154"/>
    <n v="0"/>
    <n v="10"/>
    <n v="23"/>
    <n v="0.39998963085856493"/>
    <n v="0"/>
    <n v="793.90617990343003"/>
    <n v="1"/>
    <m/>
    <m/>
    <s v=""/>
    <s v=""/>
    <s v=""/>
    <s v=""/>
    <s v=""/>
    <s v="Yes"/>
    <s v="Yes"/>
    <s v="Ok"/>
  </r>
  <r>
    <s v="IDPsSD02168"/>
    <x v="1"/>
    <x v="1"/>
    <s v="Kernoi"/>
    <s v="SD02168"/>
    <n v="1605"/>
    <s v="IDPs"/>
    <n v="436"/>
    <n v="3"/>
    <n v="4"/>
    <n v="174"/>
    <n v="88.668788755684162"/>
    <n v="85.331211244315824"/>
    <n v="95.7"/>
    <n v="67.86"/>
    <n v="10.44"/>
    <n v="26.099999999999998"/>
    <n v="28"/>
    <n v="3"/>
    <n v="1"/>
    <n v="2"/>
    <n v="2"/>
    <n v="3"/>
    <n v="5"/>
    <n v="3"/>
    <n v="0"/>
    <n v="0"/>
    <n v="1"/>
    <n v="0.39908256880733944"/>
    <n v="8285"/>
    <n v="678.00329998944494"/>
    <n v="2"/>
    <m/>
    <m/>
    <s v=""/>
    <s v=""/>
    <s v=""/>
    <s v=""/>
    <s v=""/>
    <m/>
    <s v=""/>
    <s v="Flagged"/>
  </r>
  <r>
    <s v="IDPsSD02169"/>
    <x v="1"/>
    <x v="1"/>
    <s v="Al Lait"/>
    <s v="SD02169"/>
    <n v="13663"/>
    <s v="IDPs"/>
    <n v="8544"/>
    <n v="3"/>
    <n v="4"/>
    <n v="3418"/>
    <n v="1744.0135345454933"/>
    <n v="1673.9864654545067"/>
    <n v="1879.9"/>
    <n v="1333.02"/>
    <n v="205.07999999999998"/>
    <n v="512.69999999999993"/>
    <n v="554"/>
    <n v="62"/>
    <n v="23"/>
    <n v="31"/>
    <n v="34"/>
    <n v="68"/>
    <n v="103"/>
    <n v="68"/>
    <n v="0"/>
    <n v="4"/>
    <n v="10"/>
    <n v="0.40004681647940077"/>
    <n v="13525"/>
    <n v="1211.8416877706079"/>
    <n v="3"/>
    <m/>
    <m/>
    <s v=""/>
    <s v=""/>
    <s v=""/>
    <s v=""/>
    <s v=""/>
    <s v="Yes"/>
    <s v=""/>
    <s v="Ok"/>
  </r>
  <r>
    <s v="IDPsSD02170"/>
    <x v="1"/>
    <x v="1"/>
    <s v="Tawila"/>
    <s v="SD02170"/>
    <n v="215994"/>
    <s v="IDPs"/>
    <n v="160932"/>
    <n v="4"/>
    <n v="5"/>
    <n v="96559.5"/>
    <n v="49109.589162872056"/>
    <n v="47449.910837127944"/>
    <n v="53107.725000000006"/>
    <n v="37658.205000000002"/>
    <n v="5793.57"/>
    <n v="14483.924999999999"/>
    <n v="15643"/>
    <n v="1738"/>
    <n v="652"/>
    <n v="869"/>
    <n v="966"/>
    <n v="1931"/>
    <n v="2897"/>
    <n v="1931"/>
    <n v="966"/>
    <n v="121"/>
    <n v="290"/>
    <n v="0.60000186414137646"/>
    <n v="0"/>
    <n v="3944.9800431806902"/>
    <n v="1"/>
    <m/>
    <m/>
    <s v=""/>
    <s v=""/>
    <s v=""/>
    <s v=""/>
    <s v=""/>
    <m/>
    <s v=""/>
    <s v="Ok"/>
  </r>
  <r>
    <s v="IDPsSD02171"/>
    <x v="1"/>
    <x v="1"/>
    <s v="At Tina"/>
    <s v="SD02171"/>
    <n v="5385"/>
    <s v="IDPs"/>
    <n v="4559"/>
    <n v="3"/>
    <n v="4"/>
    <n v="1824"/>
    <n v="925.11614546429462"/>
    <n v="898.88385453570538"/>
    <n v="1003.2"/>
    <n v="711.36"/>
    <n v="109.44"/>
    <n v="273.59999999999997"/>
    <n v="295"/>
    <n v="33"/>
    <n v="12"/>
    <n v="16"/>
    <n v="18"/>
    <n v="36"/>
    <n v="55"/>
    <n v="36"/>
    <n v="0"/>
    <n v="2"/>
    <n v="5"/>
    <n v="0.4000877385391533"/>
    <n v="915"/>
    <n v="515.28250799197815"/>
    <n v="3"/>
    <m/>
    <m/>
    <s v=""/>
    <s v=""/>
    <s v="Flagged"/>
    <s v=""/>
    <s v=""/>
    <m/>
    <s v=""/>
    <s v="Flagged"/>
  </r>
  <r>
    <s v="IDPsSD03141"/>
    <x v="2"/>
    <x v="2"/>
    <s v="Al Radoum"/>
    <s v="SD03141"/>
    <n v="37790"/>
    <s v="IDPs"/>
    <n v="9559"/>
    <n v="3"/>
    <n v="3"/>
    <n v="0"/>
    <n v="0"/>
    <n v="0"/>
    <n v="0"/>
    <n v="0"/>
    <n v="0"/>
    <n v="0"/>
    <n v="0"/>
    <n v="0"/>
    <n v="0"/>
    <n v="0"/>
    <n v="0"/>
    <n v="0"/>
    <n v="0"/>
    <n v="0"/>
    <n v="0"/>
    <n v="0"/>
    <n v="0"/>
    <n v="0"/>
    <n v="0"/>
    <n v="8.5642522103929881"/>
    <n v="1"/>
    <m/>
    <m/>
    <s v=""/>
    <s v=""/>
    <s v="No target"/>
    <s v="No target"/>
    <s v=""/>
    <m/>
    <s v=""/>
    <s v="Flagged"/>
  </r>
  <r>
    <s v="IDPsSD03143"/>
    <x v="2"/>
    <x v="2"/>
    <s v="Ed Al Fursan"/>
    <s v="SD03143"/>
    <n v="33541"/>
    <s v="IDPs"/>
    <n v="18038"/>
    <n v="3"/>
    <n v="4"/>
    <n v="902"/>
    <n v="447.52417472804609"/>
    <n v="454.47582527195397"/>
    <n v="496.1"/>
    <n v="351.78000000000003"/>
    <n v="54.12"/>
    <n v="135.29999999999998"/>
    <n v="146"/>
    <n v="16"/>
    <n v="6"/>
    <n v="8"/>
    <n v="9"/>
    <n v="18"/>
    <n v="27"/>
    <n v="18"/>
    <n v="0"/>
    <n v="1"/>
    <n v="3"/>
    <n v="5.0005543851868277E-2"/>
    <n v="0"/>
    <n v="0"/>
    <n v="1"/>
    <m/>
    <m/>
    <s v=""/>
    <s v=""/>
    <s v="Flagged"/>
    <s v=""/>
    <s v=""/>
    <m/>
    <s v=""/>
    <s v="Flagged"/>
  </r>
  <r>
    <s v="IDPsSD03144"/>
    <x v="2"/>
    <x v="2"/>
    <s v="Kas"/>
    <s v="SD03144"/>
    <n v="153958"/>
    <s v="IDPs"/>
    <n v="102181"/>
    <n v="4"/>
    <n v="4"/>
    <n v="40872"/>
    <n v="20410.179280578192"/>
    <n v="20461.820719421808"/>
    <n v="22479.600000000002"/>
    <n v="15940.08"/>
    <n v="2452.3199999999997"/>
    <n v="6130.8"/>
    <n v="6621"/>
    <n v="736"/>
    <n v="276"/>
    <n v="368"/>
    <n v="409"/>
    <n v="817"/>
    <n v="1226"/>
    <n v="817"/>
    <n v="0"/>
    <n v="51"/>
    <n v="123"/>
    <n v="0.39999608537790782"/>
    <n v="0"/>
    <n v="16348.301044419175"/>
    <n v="2"/>
    <m/>
    <m/>
    <s v=""/>
    <s v=""/>
    <s v="Flagged"/>
    <s v=""/>
    <s v=""/>
    <m/>
    <s v=""/>
    <s v="Flagged"/>
  </r>
  <r>
    <s v="IDPsSD03145"/>
    <x v="2"/>
    <x v="2"/>
    <s v="Mershing"/>
    <s v="SD03145"/>
    <n v="80145"/>
    <s v="IDPs"/>
    <n v="42474"/>
    <n v="4"/>
    <n v="4"/>
    <n v="16990"/>
    <n v="8056.5076236519153"/>
    <n v="8933.4923763480838"/>
    <n v="9344.5"/>
    <n v="6626.1"/>
    <n v="1019.4"/>
    <n v="2548.5"/>
    <n v="2752"/>
    <n v="306"/>
    <n v="115"/>
    <n v="153"/>
    <n v="170"/>
    <n v="340"/>
    <n v="510"/>
    <n v="340"/>
    <n v="0"/>
    <n v="21"/>
    <n v="51"/>
    <n v="0.40000941752601593"/>
    <n v="0"/>
    <n v="231.23480968061068"/>
    <n v="1"/>
    <m/>
    <m/>
    <s v=""/>
    <s v=""/>
    <s v=""/>
    <s v=""/>
    <s v=""/>
    <m/>
    <s v="Yes"/>
    <s v="Ok"/>
  </r>
  <r>
    <s v="IDPsSD03146"/>
    <x v="2"/>
    <x v="2"/>
    <s v="Um Dafoug"/>
    <s v="SD03146"/>
    <n v="3835"/>
    <s v="IDPs"/>
    <n v="2866"/>
    <n v="3"/>
    <n v="3"/>
    <n v="0"/>
    <n v="0"/>
    <n v="0"/>
    <n v="0"/>
    <n v="0"/>
    <n v="0"/>
    <n v="0"/>
    <n v="0"/>
    <n v="0"/>
    <n v="0"/>
    <n v="0"/>
    <n v="0"/>
    <n v="0"/>
    <n v="0"/>
    <n v="0"/>
    <n v="0"/>
    <n v="0"/>
    <n v="0"/>
    <n v="0"/>
    <n v="0"/>
    <n v="0"/>
    <n v="1"/>
    <m/>
    <m/>
    <s v=""/>
    <s v=""/>
    <s v="No target"/>
    <s v="No target"/>
    <s v=""/>
    <m/>
    <s v=""/>
    <s v="Flagged"/>
  </r>
  <r>
    <s v="IDPsSD03147"/>
    <x v="2"/>
    <x v="2"/>
    <s v="Sharg Aj Jabal"/>
    <s v="SD03147"/>
    <n v="42045"/>
    <s v="IDPs"/>
    <n v="19635"/>
    <n v="3"/>
    <n v="4"/>
    <n v="982"/>
    <n v="491.93455344070276"/>
    <n v="490.06544655929724"/>
    <n v="540.1"/>
    <n v="382.98"/>
    <n v="58.919999999999995"/>
    <n v="147.29999999999998"/>
    <n v="159"/>
    <n v="18"/>
    <n v="7"/>
    <n v="9"/>
    <n v="10"/>
    <n v="20"/>
    <n v="29"/>
    <n v="20"/>
    <n v="0"/>
    <n v="1"/>
    <n v="3"/>
    <n v="5.0012732365673544E-2"/>
    <n v="0"/>
    <n v="13039.073990323324"/>
    <n v="1"/>
    <m/>
    <m/>
    <s v=""/>
    <s v=""/>
    <s v=""/>
    <s v=""/>
    <s v=""/>
    <m/>
    <s v="Yes"/>
    <s v="Ok"/>
  </r>
  <r>
    <s v="IDPsSD03149"/>
    <x v="2"/>
    <x v="2"/>
    <s v="Tulus"/>
    <s v="SD03149"/>
    <n v="20775"/>
    <s v="IDPs"/>
    <n v="4415"/>
    <n v="3"/>
    <n v="4"/>
    <n v="221"/>
    <n v="104.39067857459803"/>
    <n v="116.60932142540197"/>
    <n v="121.55000000000001"/>
    <n v="86.19"/>
    <n v="13.26"/>
    <n v="33.15"/>
    <n v="36"/>
    <n v="4"/>
    <n v="1"/>
    <n v="2"/>
    <n v="2"/>
    <n v="4"/>
    <n v="7"/>
    <n v="4"/>
    <n v="0"/>
    <n v="0"/>
    <n v="1"/>
    <n v="5.0056625141562852E-2"/>
    <n v="0"/>
    <n v="0"/>
    <n v="1"/>
    <m/>
    <m/>
    <s v=""/>
    <s v=""/>
    <s v="Flagged"/>
    <s v=""/>
    <s v=""/>
    <m/>
    <s v=""/>
    <s v="Flagged"/>
  </r>
  <r>
    <s v="IDPsSD03150"/>
    <x v="2"/>
    <x v="2"/>
    <s v="Al Wihda"/>
    <s v="SD03150"/>
    <n v="3945"/>
    <s v="IDPs"/>
    <n v="2119"/>
    <n v="3"/>
    <n v="4"/>
    <n v="106"/>
    <n v="50.665091798251069"/>
    <n v="55.334908201748938"/>
    <n v="58.300000000000004"/>
    <n v="41.34"/>
    <n v="6.3599999999999994"/>
    <n v="15.899999999999999"/>
    <n v="17"/>
    <n v="2"/>
    <n v="1"/>
    <n v="1"/>
    <n v="1"/>
    <n v="2"/>
    <n v="3"/>
    <n v="2"/>
    <n v="0"/>
    <n v="0"/>
    <n v="0"/>
    <n v="5.0023596035865973E-2"/>
    <n v="0"/>
    <n v="1352.5808990947326"/>
    <n v="1"/>
    <m/>
    <m/>
    <s v=""/>
    <s v=""/>
    <s v="Flagged"/>
    <s v=""/>
    <s v=""/>
    <m/>
    <s v=""/>
    <s v="Flagged"/>
  </r>
  <r>
    <s v="IDPsSD03151"/>
    <x v="2"/>
    <x v="2"/>
    <s v="Nitega"/>
    <s v="SD03151"/>
    <n v="28505"/>
    <s v="IDPs"/>
    <n v="23295"/>
    <n v="3"/>
    <n v="4"/>
    <n v="4659"/>
    <n v="2241.9834111660975"/>
    <n v="2417.0165888339025"/>
    <n v="2562.4500000000003"/>
    <n v="1817.01"/>
    <n v="279.53999999999996"/>
    <n v="698.85"/>
    <n v="755"/>
    <n v="84"/>
    <n v="31"/>
    <n v="42"/>
    <n v="47"/>
    <n v="93"/>
    <n v="140"/>
    <n v="93"/>
    <n v="0"/>
    <n v="6"/>
    <n v="14"/>
    <n v="0.2"/>
    <n v="0"/>
    <n v="1312.0434386322058"/>
    <n v="1"/>
    <m/>
    <m/>
    <s v=""/>
    <s v=""/>
    <s v=""/>
    <s v=""/>
    <s v=""/>
    <m/>
    <s v="Yes"/>
    <s v="Ok"/>
  </r>
  <r>
    <s v="IDPsSD03153"/>
    <x v="2"/>
    <x v="2"/>
    <s v="Gereida"/>
    <s v="SD03153"/>
    <n v="139642"/>
    <s v="IDPs"/>
    <n v="126105"/>
    <n v="3"/>
    <n v="4"/>
    <n v="6305"/>
    <n v="3038.6979752130792"/>
    <n v="3266.3020247869208"/>
    <n v="3467.7500000000005"/>
    <n v="2458.9500000000003"/>
    <n v="378.3"/>
    <n v="945.75"/>
    <n v="1021"/>
    <n v="113"/>
    <n v="43"/>
    <n v="57"/>
    <n v="63"/>
    <n v="126"/>
    <n v="189"/>
    <n v="126"/>
    <n v="0"/>
    <n v="8"/>
    <n v="19"/>
    <n v="4.9998017525078306E-2"/>
    <n v="0"/>
    <n v="25496.064305413605"/>
    <n v="2"/>
    <m/>
    <m/>
    <s v=""/>
    <s v=""/>
    <s v="Flagged"/>
    <s v=""/>
    <s v=""/>
    <m/>
    <s v=""/>
    <s v="Flagged"/>
  </r>
  <r>
    <s v="IDPsSD03154"/>
    <x v="2"/>
    <x v="2"/>
    <s v="Shattaya"/>
    <s v="SD03154"/>
    <n v="0"/>
    <s v="IDPs"/>
    <n v="0"/>
    <n v="3"/>
    <n v="5"/>
    <n v="0"/>
    <n v="0"/>
    <n v="0"/>
    <n v="0"/>
    <n v="0"/>
    <n v="0"/>
    <n v="0"/>
    <n v="0"/>
    <n v="0"/>
    <n v="0"/>
    <n v="0"/>
    <n v="0"/>
    <n v="0"/>
    <n v="0"/>
    <n v="0"/>
    <n v="0"/>
    <n v="0"/>
    <n v="0"/>
    <n v="0"/>
    <n v="0"/>
    <n v="1602.3715885645281"/>
    <n v="1"/>
    <m/>
    <m/>
    <s v=""/>
    <s v=""/>
    <s v="No target"/>
    <s v="No target"/>
    <s v=""/>
    <m/>
    <s v=""/>
    <s v="Ok"/>
  </r>
  <r>
    <s v="IDPsSD03156"/>
    <x v="2"/>
    <x v="2"/>
    <s v="As Sunta"/>
    <s v="SD03156"/>
    <n v="100380"/>
    <s v="IDPs"/>
    <n v="34647"/>
    <n v="3"/>
    <n v="4"/>
    <n v="1732"/>
    <n v="866.1568740276623"/>
    <n v="865.84312597233759"/>
    <n v="952.6"/>
    <n v="675.48"/>
    <n v="103.92"/>
    <n v="259.8"/>
    <n v="281"/>
    <n v="31"/>
    <n v="12"/>
    <n v="16"/>
    <n v="17"/>
    <n v="35"/>
    <n v="52"/>
    <n v="35"/>
    <n v="0"/>
    <n v="2"/>
    <n v="5"/>
    <n v="4.9989898115276939E-2"/>
    <n v="0"/>
    <n v="0"/>
    <n v="1"/>
    <m/>
    <m/>
    <s v=""/>
    <s v=""/>
    <s v=""/>
    <s v=""/>
    <s v=""/>
    <m/>
    <s v="Yes"/>
    <s v="Ok"/>
  </r>
  <r>
    <s v="IDPsSD03157"/>
    <x v="2"/>
    <x v="2"/>
    <s v="Kubum"/>
    <s v="SD03157"/>
    <n v="9090"/>
    <s v="IDPs"/>
    <n v="4553"/>
    <n v="3"/>
    <n v="4"/>
    <n v="228"/>
    <n v="115.98479911270839"/>
    <n v="112.01520088729161"/>
    <n v="125.4"/>
    <n v="88.92"/>
    <n v="13.68"/>
    <n v="34.199999999999996"/>
    <n v="37"/>
    <n v="4"/>
    <n v="2"/>
    <n v="2"/>
    <n v="2"/>
    <n v="5"/>
    <n v="7"/>
    <n v="5"/>
    <n v="0"/>
    <n v="0"/>
    <n v="1"/>
    <n v="5.0076872391829563E-2"/>
    <n v="0"/>
    <n v="225.23983313333559"/>
    <n v="1"/>
    <m/>
    <m/>
    <s v=""/>
    <s v=""/>
    <s v="Flagged"/>
    <s v=""/>
    <s v=""/>
    <m/>
    <s v=""/>
    <s v="Flagged"/>
  </r>
  <r>
    <s v="IDPsSD03158"/>
    <x v="2"/>
    <x v="2"/>
    <s v="Rehaid Albirdi"/>
    <s v="SD03158"/>
    <n v="30621"/>
    <s v="IDPs"/>
    <n v="18534"/>
    <n v="4"/>
    <n v="4"/>
    <n v="11120"/>
    <n v="5634.2455439519072"/>
    <n v="5485.7544560480928"/>
    <n v="6116.0000000000009"/>
    <n v="4336.8"/>
    <n v="667.19999999999993"/>
    <n v="1668"/>
    <n v="1801"/>
    <n v="200"/>
    <n v="75"/>
    <n v="100"/>
    <n v="111"/>
    <n v="222"/>
    <n v="334"/>
    <n v="222"/>
    <n v="111"/>
    <n v="14"/>
    <n v="33"/>
    <n v="0.5999784180425165"/>
    <n v="0"/>
    <n v="0"/>
    <n v="1"/>
    <m/>
    <m/>
    <s v=""/>
    <s v=""/>
    <s v=""/>
    <s v=""/>
    <s v=""/>
    <m/>
    <s v="Yes"/>
    <s v="Ok"/>
  </r>
  <r>
    <s v="IDPsSD03159"/>
    <x v="2"/>
    <x v="2"/>
    <s v="Kateila"/>
    <s v="SD03159"/>
    <n v="43133"/>
    <s v="IDPs"/>
    <n v="16791"/>
    <n v="3"/>
    <n v="3"/>
    <n v="0"/>
    <n v="0"/>
    <n v="0"/>
    <n v="0"/>
    <n v="0"/>
    <n v="0"/>
    <n v="0"/>
    <n v="0"/>
    <n v="0"/>
    <n v="0"/>
    <n v="0"/>
    <n v="0"/>
    <n v="0"/>
    <n v="0"/>
    <n v="0"/>
    <n v="0"/>
    <n v="0"/>
    <n v="0"/>
    <n v="0"/>
    <n v="0"/>
    <n v="1427.3753683988314"/>
    <n v="1"/>
    <m/>
    <m/>
    <s v=""/>
    <s v=""/>
    <s v="No target"/>
    <s v="No target"/>
    <s v=""/>
    <m/>
    <s v=""/>
    <s v="Flagged"/>
  </r>
  <r>
    <s v="IDPsSD03161"/>
    <x v="2"/>
    <x v="2"/>
    <s v="Buram"/>
    <s v="SD03161"/>
    <n v="194660"/>
    <s v="IDPs"/>
    <n v="117705"/>
    <n v="3"/>
    <n v="4"/>
    <n v="5885"/>
    <n v="2915.0390117553297"/>
    <n v="2969.9609882446703"/>
    <n v="3236.7500000000005"/>
    <n v="2295.15"/>
    <n v="353.09999999999997"/>
    <n v="882.75"/>
    <n v="953"/>
    <n v="106"/>
    <n v="40"/>
    <n v="53"/>
    <n v="59"/>
    <n v="118"/>
    <n v="177"/>
    <n v="118"/>
    <n v="0"/>
    <n v="7"/>
    <n v="18"/>
    <n v="4.9997876046047322E-2"/>
    <n v="0"/>
    <n v="2426.823601351693"/>
    <n v="1"/>
    <m/>
    <m/>
    <s v=""/>
    <s v=""/>
    <s v="Flagged"/>
    <s v=""/>
    <s v=""/>
    <m/>
    <s v=""/>
    <s v="Flagged"/>
  </r>
  <r>
    <s v="IDPsSD03162"/>
    <x v="2"/>
    <x v="2"/>
    <s v="Beliel"/>
    <s v="SD03162"/>
    <n v="473048"/>
    <s v="IDPs"/>
    <n v="319611"/>
    <n v="4"/>
    <n v="4"/>
    <n v="255689"/>
    <n v="128694.56633889605"/>
    <n v="126994.43366110395"/>
    <n v="140628.95000000001"/>
    <n v="99718.71"/>
    <n v="15341.34"/>
    <n v="38353.35"/>
    <n v="41422"/>
    <n v="4602"/>
    <n v="1726"/>
    <n v="2301"/>
    <n v="2557"/>
    <n v="5114"/>
    <n v="7671"/>
    <n v="5114"/>
    <n v="0"/>
    <n v="320"/>
    <n v="767"/>
    <n v="0.80000062576069031"/>
    <n v="0"/>
    <n v="35903.058116409484"/>
    <n v="2"/>
    <m/>
    <m/>
    <s v=""/>
    <s v=""/>
    <s v=""/>
    <s v=""/>
    <s v="Yes"/>
    <m/>
    <s v=""/>
    <s v="Ok"/>
  </r>
  <r>
    <s v="IDPsSD03164"/>
    <x v="2"/>
    <x v="2"/>
    <s v="Nyala Shimal"/>
    <s v="SD03164"/>
    <n v="327705"/>
    <s v="IDPs"/>
    <n v="237768"/>
    <n v="4"/>
    <n v="5"/>
    <n v="95108"/>
    <n v="48421.009547074202"/>
    <n v="46686.990452925798"/>
    <n v="52309.4"/>
    <n v="37092.120000000003"/>
    <n v="5706.48"/>
    <n v="14266.199999999999"/>
    <n v="15407"/>
    <n v="1712"/>
    <n v="642"/>
    <n v="856"/>
    <n v="951"/>
    <n v="1902"/>
    <n v="2853"/>
    <n v="1902"/>
    <n v="0"/>
    <n v="119"/>
    <n v="285"/>
    <n v="0.40000336462433972"/>
    <n v="1665"/>
    <n v="6762.6190203999831"/>
    <n v="3"/>
    <m/>
    <m/>
    <s v=""/>
    <s v=""/>
    <s v=""/>
    <s v=""/>
    <s v="Yes"/>
    <m/>
    <s v=""/>
    <s v="Ok"/>
  </r>
  <r>
    <s v="IDPsSD03166"/>
    <x v="2"/>
    <x v="2"/>
    <s v="As Salam - SD"/>
    <s v="SD03166"/>
    <n v="16250"/>
    <s v="IDPs"/>
    <n v="9865"/>
    <n v="3"/>
    <n v="4"/>
    <n v="1973"/>
    <n v="995.30101222360861"/>
    <n v="977.6989877763915"/>
    <n v="1085.1500000000001"/>
    <n v="769.47"/>
    <n v="118.38"/>
    <n v="295.95"/>
    <n v="320"/>
    <n v="36"/>
    <n v="13"/>
    <n v="18"/>
    <n v="20"/>
    <n v="39"/>
    <n v="59"/>
    <n v="39"/>
    <n v="0"/>
    <n v="2"/>
    <n v="6"/>
    <n v="0.2"/>
    <n v="7065"/>
    <n v="9725.5648101222778"/>
    <n v="3"/>
    <m/>
    <m/>
    <s v=""/>
    <s v=""/>
    <s v=""/>
    <s v=""/>
    <s v=""/>
    <m/>
    <s v=""/>
    <s v="Flagged"/>
  </r>
  <r>
    <s v="IDPsSD03167"/>
    <x v="2"/>
    <x v="2"/>
    <s v="Nyala Janoub"/>
    <s v="SD03167"/>
    <n v="78632"/>
    <s v="IDPs"/>
    <n v="39954"/>
    <n v="3"/>
    <n v="4"/>
    <n v="7991"/>
    <n v="4068.6998458544967"/>
    <n v="3922.3001541455033"/>
    <n v="4395.05"/>
    <n v="3116.4900000000002"/>
    <n v="479.46"/>
    <n v="1198.6499999999999"/>
    <n v="1295"/>
    <n v="144"/>
    <n v="54"/>
    <n v="72"/>
    <n v="80"/>
    <n v="160"/>
    <n v="240"/>
    <n v="160"/>
    <n v="0"/>
    <n v="10"/>
    <n v="24"/>
    <n v="0.20000500575662011"/>
    <n v="10995"/>
    <n v="4235.0227180393322"/>
    <n v="4"/>
    <m/>
    <m/>
    <s v=""/>
    <s v=""/>
    <s v=""/>
    <s v=""/>
    <s v="Yes"/>
    <m/>
    <s v=""/>
    <s v="Ok"/>
  </r>
  <r>
    <s v="IDPsSD03172"/>
    <x v="2"/>
    <x v="2"/>
    <s v="Damso"/>
    <s v="SD03172"/>
    <n v="7370"/>
    <s v="IDPs"/>
    <n v="2806"/>
    <n v="3"/>
    <n v="3"/>
    <n v="0"/>
    <n v="0"/>
    <n v="0"/>
    <n v="0"/>
    <n v="0"/>
    <n v="0"/>
    <n v="0"/>
    <n v="0"/>
    <n v="0"/>
    <n v="0"/>
    <n v="0"/>
    <n v="0"/>
    <n v="0"/>
    <n v="0"/>
    <n v="0"/>
    <n v="0"/>
    <n v="0"/>
    <n v="0"/>
    <n v="0"/>
    <n v="0"/>
    <n v="197.26327591271848"/>
    <n v="1"/>
    <m/>
    <m/>
    <s v=""/>
    <s v=""/>
    <s v="No target"/>
    <s v="No target"/>
    <s v=""/>
    <m/>
    <s v=""/>
    <s v="Flagged"/>
  </r>
  <r>
    <s v="IDPsSD04111"/>
    <x v="3"/>
    <x v="3"/>
    <s v="Beida"/>
    <s v="SD04111"/>
    <n v="3105"/>
    <s v="IDPs"/>
    <n v="2423"/>
    <n v="3"/>
    <n v="4"/>
    <n v="485"/>
    <n v="246.97488409223493"/>
    <n v="238.02511590776507"/>
    <n v="266.75"/>
    <n v="189.15"/>
    <n v="29.099999999999998"/>
    <n v="72.75"/>
    <n v="79"/>
    <n v="9"/>
    <n v="3"/>
    <n v="4"/>
    <n v="5"/>
    <n v="10"/>
    <n v="15"/>
    <n v="10"/>
    <n v="0"/>
    <n v="1"/>
    <n v="1"/>
    <n v="0.20016508460586049"/>
    <n v="0"/>
    <n v="695.41727948391065"/>
    <n v="1"/>
    <m/>
    <m/>
    <s v=""/>
    <s v=""/>
    <s v="Flagged"/>
    <s v=""/>
    <s v=""/>
    <m/>
    <s v=""/>
    <s v="Flagged"/>
  </r>
  <r>
    <s v="IDPsSD04115"/>
    <x v="3"/>
    <x v="3"/>
    <s v="Ag Geneina"/>
    <s v="SD04115"/>
    <n v="70495"/>
    <s v="IDPs"/>
    <n v="23927"/>
    <n v="3"/>
    <n v="4"/>
    <n v="9571"/>
    <n v="4734.3794548300948"/>
    <n v="4836.6205451699052"/>
    <n v="5264.05"/>
    <n v="3732.69"/>
    <n v="574.26"/>
    <n v="1435.6499999999999"/>
    <n v="1551"/>
    <n v="172"/>
    <n v="65"/>
    <n v="86"/>
    <n v="96"/>
    <n v="191"/>
    <n v="287"/>
    <n v="191"/>
    <n v="0"/>
    <n v="12"/>
    <n v="29"/>
    <n v="0.40000835875788859"/>
    <n v="21955"/>
    <n v="73498.126994518942"/>
    <n v="5"/>
    <m/>
    <m/>
    <s v=""/>
    <s v=""/>
    <s v=""/>
    <s v=""/>
    <s v=""/>
    <m/>
    <s v=""/>
    <s v="Flagged"/>
  </r>
  <r>
    <s v="IDPsSD04121"/>
    <x v="3"/>
    <x v="3"/>
    <s v="Foro Baranga"/>
    <s v="SD04121"/>
    <n v="9710"/>
    <s v="IDPs"/>
    <n v="4996"/>
    <n v="3"/>
    <n v="5"/>
    <n v="3996"/>
    <n v="2004.3883928571431"/>
    <n v="1991.6116071428571"/>
    <n v="2197.8000000000002"/>
    <n v="1558.44"/>
    <n v="239.76"/>
    <n v="599.4"/>
    <n v="647"/>
    <n v="72"/>
    <n v="27"/>
    <n v="36"/>
    <n v="40"/>
    <n v="80"/>
    <n v="120"/>
    <n v="80"/>
    <n v="0"/>
    <n v="5"/>
    <n v="12"/>
    <n v="0.79983987189751804"/>
    <n v="10835"/>
    <n v="15964.337070319889"/>
    <n v="3"/>
    <m/>
    <m/>
    <s v=""/>
    <s v=""/>
    <s v=""/>
    <s v=""/>
    <s v=""/>
    <m/>
    <s v=""/>
    <s v="Ok"/>
  </r>
  <r>
    <s v="IDPsSD04122"/>
    <x v="3"/>
    <x v="3"/>
    <s v="Habila - WD"/>
    <s v="SD04122"/>
    <n v="28260"/>
    <s v="IDPs"/>
    <n v="18014"/>
    <n v="3"/>
    <n v="4"/>
    <n v="7206"/>
    <n v="3676.9618768328446"/>
    <n v="3529.0381231671554"/>
    <n v="3963.3"/>
    <n v="2810.34"/>
    <n v="432.35999999999996"/>
    <n v="1080.8999999999999"/>
    <n v="1167"/>
    <n v="130"/>
    <n v="49"/>
    <n v="65"/>
    <n v="72"/>
    <n v="144"/>
    <n v="216"/>
    <n v="144"/>
    <n v="0"/>
    <n v="9"/>
    <n v="22"/>
    <n v="0.40002220495170421"/>
    <n v="3335"/>
    <n v="8333.0174007123769"/>
    <n v="2"/>
    <m/>
    <m/>
    <s v=""/>
    <s v=""/>
    <s v=""/>
    <s v=""/>
    <s v=""/>
    <m/>
    <s v="Yes"/>
    <s v="Ok"/>
  </r>
  <r>
    <s v="IDPsSD04123"/>
    <x v="3"/>
    <x v="3"/>
    <s v="Jebel Moon"/>
    <s v="SD04123"/>
    <n v="70720"/>
    <s v="IDPs"/>
    <n v="53316"/>
    <n v="3"/>
    <n v="5"/>
    <n v="5332"/>
    <n v="2673.8836228488326"/>
    <n v="2658.1163771511674"/>
    <n v="2932.6000000000004"/>
    <n v="2079.48"/>
    <n v="319.92"/>
    <n v="799.8"/>
    <n v="864"/>
    <n v="96"/>
    <n v="36"/>
    <n v="48"/>
    <n v="53"/>
    <n v="107"/>
    <n v="160"/>
    <n v="107"/>
    <n v="0"/>
    <n v="7"/>
    <n v="16"/>
    <n v="0.10000750243829244"/>
    <n v="5635"/>
    <n v="19197.056804669563"/>
    <n v="2"/>
    <m/>
    <m/>
    <s v=""/>
    <s v=""/>
    <s v=""/>
    <s v=""/>
    <s v=""/>
    <m/>
    <s v=""/>
    <s v="Ok"/>
  </r>
  <r>
    <s v="IDPsSD04125"/>
    <x v="3"/>
    <x v="3"/>
    <s v="Kereneik"/>
    <s v="SD04125"/>
    <n v="41790"/>
    <s v="IDPs"/>
    <n v="25790"/>
    <n v="3"/>
    <n v="4"/>
    <n v="1290"/>
    <n v="649.0230352618488"/>
    <n v="640.97696473815108"/>
    <n v="709.50000000000011"/>
    <n v="503.1"/>
    <n v="77.399999999999991"/>
    <n v="193.5"/>
    <n v="209"/>
    <n v="23"/>
    <n v="9"/>
    <n v="12"/>
    <n v="13"/>
    <n v="26"/>
    <n v="39"/>
    <n v="26"/>
    <n v="0"/>
    <n v="2"/>
    <n v="4"/>
    <n v="5.0019387359441642E-2"/>
    <n v="0"/>
    <n v="25821.220414334857"/>
    <n v="3"/>
    <m/>
    <m/>
    <s v=""/>
    <s v=""/>
    <s v=""/>
    <s v=""/>
    <s v="Yes"/>
    <m/>
    <s v=""/>
    <s v="Ok"/>
  </r>
  <r>
    <s v="IDPsSD04127"/>
    <x v="3"/>
    <x v="3"/>
    <s v="Kulbus"/>
    <s v="SD04127"/>
    <n v="44562"/>
    <s v="IDPs"/>
    <n v="14122"/>
    <n v="3"/>
    <n v="4"/>
    <n v="706"/>
    <n v="352.10369058163565"/>
    <n v="353.8963094183643"/>
    <n v="388.3"/>
    <n v="275.34000000000003"/>
    <n v="42.36"/>
    <n v="105.89999999999999"/>
    <n v="114"/>
    <n v="13"/>
    <n v="5"/>
    <n v="6"/>
    <n v="7"/>
    <n v="14"/>
    <n v="21"/>
    <n v="14"/>
    <n v="0"/>
    <n v="1"/>
    <n v="2"/>
    <n v="4.9992918850021245E-2"/>
    <n v="0"/>
    <n v="70776.122166982372"/>
    <n v="2"/>
    <m/>
    <m/>
    <s v=""/>
    <s v=""/>
    <s v=""/>
    <s v=""/>
    <s v=""/>
    <m/>
    <s v="Yes"/>
    <s v="Ok"/>
  </r>
  <r>
    <s v="IDPsSD04134"/>
    <x v="3"/>
    <x v="3"/>
    <s v="Sirba"/>
    <s v="SD04134"/>
    <n v="26225"/>
    <s v="IDPs"/>
    <n v="11006"/>
    <n v="3"/>
    <n v="4"/>
    <n v="2201"/>
    <n v="1089.6743322195882"/>
    <n v="1111.3256677804118"/>
    <n v="1210.5500000000002"/>
    <n v="858.39"/>
    <n v="132.06"/>
    <n v="330.15"/>
    <n v="357"/>
    <n v="40"/>
    <n v="15"/>
    <n v="20"/>
    <n v="22"/>
    <n v="44"/>
    <n v="66"/>
    <n v="44"/>
    <n v="0"/>
    <n v="3"/>
    <n v="7"/>
    <n v="0.19998182809376702"/>
    <n v="0"/>
    <n v="9103.8000996477458"/>
    <n v="5"/>
    <m/>
    <m/>
    <s v=""/>
    <s v=""/>
    <s v=""/>
    <s v=""/>
    <s v="Yes"/>
    <m/>
    <s v=""/>
    <s v="Ok"/>
  </r>
  <r>
    <s v="IDPsSD05139"/>
    <x v="4"/>
    <x v="4"/>
    <s v="Adila"/>
    <s v="SD05139"/>
    <n v="53737"/>
    <s v="IDPs"/>
    <n v="22938"/>
    <n v="3"/>
    <n v="3"/>
    <n v="2294"/>
    <n v="1119.5868019463401"/>
    <n v="1174.4131980536599"/>
    <n v="1261.7"/>
    <n v="894.66000000000008"/>
    <n v="137.63999999999999"/>
    <n v="344.09999999999997"/>
    <n v="372"/>
    <n v="41"/>
    <n v="15"/>
    <n v="21"/>
    <n v="23"/>
    <n v="46"/>
    <n v="69"/>
    <n v="46"/>
    <n v="0"/>
    <n v="3"/>
    <n v="7"/>
    <n v="0.10000871915598571"/>
    <n v="6000"/>
    <n v="7927.6427960871097"/>
    <n v="2"/>
    <m/>
    <m/>
    <s v=""/>
    <s v=""/>
    <s v=""/>
    <s v=""/>
    <s v=""/>
    <m/>
    <s v=""/>
    <s v="Flagged"/>
  </r>
  <r>
    <s v="IDPsSD05140"/>
    <x v="4"/>
    <x v="4"/>
    <s v="Abu Jabrah"/>
    <s v="SD05140"/>
    <n v="43875"/>
    <s v="IDPs"/>
    <n v="39330"/>
    <n v="3"/>
    <n v="3"/>
    <n v="0"/>
    <n v="0"/>
    <n v="0"/>
    <n v="0"/>
    <n v="0"/>
    <n v="0"/>
    <n v="0"/>
    <n v="0"/>
    <n v="0"/>
    <n v="0"/>
    <n v="0"/>
    <n v="0"/>
    <n v="0"/>
    <n v="0"/>
    <n v="0"/>
    <n v="0"/>
    <n v="0"/>
    <n v="0"/>
    <n v="0"/>
    <n v="0"/>
    <n v="1539.8525474286591"/>
    <n v="1"/>
    <m/>
    <m/>
    <s v=""/>
    <s v=""/>
    <s v="No target"/>
    <s v="No target"/>
    <s v=""/>
    <m/>
    <s v=""/>
    <s v="Flagged"/>
  </r>
  <r>
    <s v="IDPsSD05142"/>
    <x v="4"/>
    <x v="4"/>
    <s v="Ad Du'ayn"/>
    <s v="SD05142"/>
    <n v="200270"/>
    <s v="IDPs"/>
    <n v="136782"/>
    <n v="3"/>
    <n v="3"/>
    <n v="54713"/>
    <n v="27591.994889851725"/>
    <n v="27121.005110148275"/>
    <n v="30092.15"/>
    <n v="21338.07"/>
    <n v="3282.7799999999997"/>
    <n v="8206.9499999999989"/>
    <n v="8864"/>
    <n v="985"/>
    <n v="369"/>
    <n v="492"/>
    <n v="547"/>
    <n v="1094"/>
    <n v="1641"/>
    <n v="1094"/>
    <n v="0"/>
    <n v="68"/>
    <n v="164"/>
    <n v="0.40000146218069627"/>
    <n v="20985"/>
    <n v="30210.685147234944"/>
    <n v="4"/>
    <m/>
    <m/>
    <s v=""/>
    <s v=""/>
    <s v=""/>
    <s v="Flagged"/>
    <s v=""/>
    <m/>
    <s v=""/>
    <s v="Flagged"/>
  </r>
  <r>
    <s v="IDPsSD05148"/>
    <x v="4"/>
    <x v="4"/>
    <s v="Shia'ria"/>
    <s v="SD05148"/>
    <n v="192090"/>
    <s v="IDPs"/>
    <n v="137785"/>
    <n v="3"/>
    <n v="5"/>
    <n v="8266.7999999999993"/>
    <n v="4209.1564620890131"/>
    <n v="4057.6435379109862"/>
    <n v="4546.74"/>
    <n v="3224.0519999999997"/>
    <n v="496.00799999999992"/>
    <n v="1240.0199999999998"/>
    <n v="1339"/>
    <n v="149"/>
    <n v="56"/>
    <n v="74"/>
    <n v="83"/>
    <n v="165"/>
    <n v="248"/>
    <n v="165"/>
    <n v="0"/>
    <n v="10"/>
    <n v="25"/>
    <n v="5.9997822694778088E-2"/>
    <n v="0"/>
    <n v="8307.8955942285575"/>
    <n v="1"/>
    <m/>
    <m/>
    <s v=""/>
    <s v=""/>
    <s v=""/>
    <s v=""/>
    <s v=""/>
    <m/>
    <s v=""/>
    <s v="Ok"/>
  </r>
  <r>
    <s v="IDPsSD05152"/>
    <x v="4"/>
    <x v="4"/>
    <s v="Al Firdous"/>
    <s v="SD05152"/>
    <n v="59700"/>
    <s v="IDPs"/>
    <n v="30302"/>
    <n v="3"/>
    <n v="3"/>
    <n v="3030"/>
    <n v="1551.1231809797089"/>
    <n v="1478.8768190202911"/>
    <n v="1666.5000000000002"/>
    <n v="1181.7"/>
    <n v="181.79999999999998"/>
    <n v="454.5"/>
    <n v="491"/>
    <n v="55"/>
    <n v="20"/>
    <n v="27"/>
    <n v="30"/>
    <n v="61"/>
    <n v="91"/>
    <n v="61"/>
    <n v="0"/>
    <n v="4"/>
    <n v="9"/>
    <n v="9.9993399775592365E-2"/>
    <n v="0"/>
    <n v="4136.5338176198129"/>
    <n v="2"/>
    <m/>
    <m/>
    <s v=""/>
    <s v=""/>
    <s v=""/>
    <s v=""/>
    <s v="Yes"/>
    <m/>
    <s v=""/>
    <s v="Ok"/>
  </r>
  <r>
    <s v="IDPsSD05155"/>
    <x v="4"/>
    <x v="4"/>
    <s v="Abu Karinka"/>
    <s v="SD05155"/>
    <n v="45046"/>
    <s v="IDPs"/>
    <n v="32623"/>
    <n v="3"/>
    <n v="3"/>
    <n v="0"/>
    <n v="0"/>
    <n v="0"/>
    <n v="0"/>
    <n v="0"/>
    <n v="0"/>
    <n v="0"/>
    <n v="0"/>
    <n v="0"/>
    <n v="0"/>
    <n v="0"/>
    <n v="0"/>
    <n v="0"/>
    <n v="0"/>
    <n v="0"/>
    <n v="0"/>
    <n v="0"/>
    <n v="0"/>
    <n v="0"/>
    <n v="0"/>
    <n v="6615.3138823812233"/>
    <n v="1"/>
    <m/>
    <m/>
    <s v=""/>
    <s v=""/>
    <s v="No target"/>
    <s v="No target"/>
    <s v=""/>
    <m/>
    <s v=""/>
    <s v="Flagged"/>
  </r>
  <r>
    <s v="IDPsSD05160"/>
    <x v="4"/>
    <x v="4"/>
    <s v="Bahr Al Arab"/>
    <s v="SD05160"/>
    <n v="67220"/>
    <s v="IDPs"/>
    <n v="50323"/>
    <n v="3"/>
    <n v="3"/>
    <n v="0"/>
    <n v="0"/>
    <n v="0"/>
    <n v="0"/>
    <n v="0"/>
    <n v="0"/>
    <n v="0"/>
    <n v="0"/>
    <n v="0"/>
    <n v="0"/>
    <n v="0"/>
    <n v="0"/>
    <n v="0"/>
    <n v="0"/>
    <n v="0"/>
    <n v="0"/>
    <n v="0"/>
    <n v="0"/>
    <n v="0"/>
    <n v="0"/>
    <n v="805.32518285062065"/>
    <n v="1"/>
    <m/>
    <m/>
    <s v=""/>
    <s v=""/>
    <s v="No target"/>
    <s v="No target"/>
    <s v=""/>
    <m/>
    <s v=""/>
    <s v="Flagged"/>
  </r>
  <r>
    <s v="IDPsSD05163"/>
    <x v="4"/>
    <x v="4"/>
    <s v="Assalaya"/>
    <s v="SD05163"/>
    <n v="25240"/>
    <s v="IDPs"/>
    <n v="19833"/>
    <n v="3"/>
    <n v="3"/>
    <n v="0"/>
    <n v="0"/>
    <n v="0"/>
    <n v="0"/>
    <n v="0"/>
    <n v="0"/>
    <n v="0"/>
    <n v="0"/>
    <n v="0"/>
    <n v="0"/>
    <n v="0"/>
    <n v="0"/>
    <n v="0"/>
    <n v="0"/>
    <n v="0"/>
    <n v="0"/>
    <n v="0"/>
    <n v="0"/>
    <n v="0"/>
    <n v="0"/>
    <n v="1883.2790610654181"/>
    <n v="1"/>
    <m/>
    <m/>
    <s v=""/>
    <s v=""/>
    <s v="No target"/>
    <s v="No target"/>
    <s v=""/>
    <m/>
    <s v=""/>
    <s v="Flagged"/>
  </r>
  <r>
    <s v="IDPsSD05165"/>
    <x v="4"/>
    <x v="4"/>
    <s v="Yassin"/>
    <s v="SD05165"/>
    <n v="79110"/>
    <s v="IDPs"/>
    <n v="41734"/>
    <n v="3"/>
    <n v="4"/>
    <n v="2087"/>
    <n v="1036.440360203685"/>
    <n v="1050.559639796315"/>
    <n v="1147.8500000000001"/>
    <n v="813.93000000000006"/>
    <n v="125.22"/>
    <n v="313.05"/>
    <n v="338"/>
    <n v="38"/>
    <n v="14"/>
    <n v="19"/>
    <n v="21"/>
    <n v="42"/>
    <n v="63"/>
    <n v="42"/>
    <n v="0"/>
    <n v="3"/>
    <n v="6"/>
    <n v="5.0007188383572147E-2"/>
    <n v="0"/>
    <n v="13412.475386696458"/>
    <n v="1"/>
    <m/>
    <m/>
    <s v=""/>
    <s v=""/>
    <s v="Flagged"/>
    <s v=""/>
    <s v=""/>
    <m/>
    <s v=""/>
    <s v="Flagged"/>
  </r>
  <r>
    <s v="IDPsSD06110"/>
    <x v="5"/>
    <x v="5"/>
    <s v="Azum"/>
    <s v="SD06110"/>
    <n v="67400"/>
    <s v="IDPs"/>
    <n v="57065"/>
    <n v="3"/>
    <n v="4"/>
    <n v="2853"/>
    <n v="1443.8134040111834"/>
    <n v="1409.1865959888164"/>
    <n v="1569.15"/>
    <n v="1112.67"/>
    <n v="171.18"/>
    <n v="427.95"/>
    <n v="462"/>
    <n v="51"/>
    <n v="19"/>
    <n v="26"/>
    <n v="29"/>
    <n v="57"/>
    <n v="86"/>
    <n v="57"/>
    <n v="0"/>
    <n v="4"/>
    <n v="9"/>
    <n v="4.9995619030929639E-2"/>
    <n v="0"/>
    <n v="18367.466240556161"/>
    <n v="1"/>
    <m/>
    <m/>
    <s v=""/>
    <s v=""/>
    <s v="Flagged"/>
    <s v=""/>
    <s v=""/>
    <m/>
    <s v=""/>
    <s v="Flagged"/>
  </r>
  <r>
    <s v="IDPsSD06112"/>
    <x v="5"/>
    <x v="5"/>
    <s v="Bendasi"/>
    <s v="SD06112"/>
    <n v="28525"/>
    <s v="IDPs"/>
    <n v="17107"/>
    <n v="3"/>
    <n v="4"/>
    <n v="855"/>
    <n v="445.77974723223571"/>
    <n v="409.22025276776429"/>
    <n v="470.25000000000006"/>
    <n v="333.45"/>
    <n v="51.3"/>
    <n v="128.25"/>
    <n v="139"/>
    <n v="15"/>
    <n v="6"/>
    <n v="8"/>
    <n v="9"/>
    <n v="17"/>
    <n v="26"/>
    <n v="17"/>
    <n v="0"/>
    <n v="1"/>
    <n v="3"/>
    <n v="4.9979540538960657E-2"/>
    <n v="3335"/>
    <n v="12469.265743258511"/>
    <n v="2"/>
    <m/>
    <m/>
    <s v=""/>
    <s v=""/>
    <s v=""/>
    <s v=""/>
    <s v=""/>
    <m/>
    <s v=""/>
    <s v="Flagged"/>
  </r>
  <r>
    <s v="IDPsSD06130"/>
    <x v="5"/>
    <x v="5"/>
    <s v="Mukjar"/>
    <s v="SD06130"/>
    <n v="28750"/>
    <s v="IDPs"/>
    <n v="6028"/>
    <n v="3"/>
    <n v="4"/>
    <n v="2411"/>
    <n v="1243.5900017901897"/>
    <n v="1167.4099982098103"/>
    <n v="1326.0500000000002"/>
    <n v="940.29000000000008"/>
    <n v="144.66"/>
    <n v="361.65"/>
    <n v="391"/>
    <n v="43"/>
    <n v="16"/>
    <n v="22"/>
    <n v="24"/>
    <n v="48"/>
    <n v="72"/>
    <n v="48"/>
    <n v="0"/>
    <n v="3"/>
    <n v="7"/>
    <n v="0.39996682149966822"/>
    <n v="995"/>
    <n v="3425.7008841571951"/>
    <n v="2"/>
    <m/>
    <m/>
    <s v=""/>
    <s v=""/>
    <s v=""/>
    <s v=""/>
    <s v="Yes"/>
    <m/>
    <s v="Yes"/>
    <s v="Ok"/>
  </r>
  <r>
    <s v="IDPsSD06131"/>
    <x v="5"/>
    <x v="5"/>
    <s v="Gharb Jabal Marrah"/>
    <s v="SD06131"/>
    <n v="82610"/>
    <s v="IDPs"/>
    <n v="32889"/>
    <n v="3"/>
    <n v="4"/>
    <n v="13156"/>
    <n v="6611.9612394326959"/>
    <n v="6544.0387605673041"/>
    <n v="7235.8"/>
    <n v="5130.84"/>
    <n v="789.36"/>
    <n v="1973.3999999999999"/>
    <n v="2131"/>
    <n v="237"/>
    <n v="89"/>
    <n v="118"/>
    <n v="132"/>
    <n v="263"/>
    <n v="395"/>
    <n v="263"/>
    <n v="0"/>
    <n v="16"/>
    <n v="39"/>
    <n v="0.40001216212107393"/>
    <n v="6000"/>
    <n v="10820.076242610501"/>
    <n v="2"/>
    <m/>
    <m/>
    <s v=""/>
    <s v=""/>
    <s v=""/>
    <s v=""/>
    <s v="Yes"/>
    <m/>
    <s v=""/>
    <s v="Ok"/>
  </r>
  <r>
    <s v="IDPsSD06132"/>
    <x v="5"/>
    <x v="5"/>
    <s v="Shamal Jabal Marrah"/>
    <s v="SD06132"/>
    <n v="131357"/>
    <s v="IDPs"/>
    <n v="70815"/>
    <n v="3"/>
    <n v="4"/>
    <n v="14163"/>
    <n v="7116.426505222199"/>
    <n v="7046.573494777801"/>
    <n v="7789.6500000000005"/>
    <n v="5523.5700000000006"/>
    <n v="849.78"/>
    <n v="2124.4499999999998"/>
    <n v="2294"/>
    <n v="255"/>
    <n v="96"/>
    <n v="127"/>
    <n v="142"/>
    <n v="283"/>
    <n v="425"/>
    <n v="283"/>
    <n v="0"/>
    <n v="18"/>
    <n v="42"/>
    <n v="0.2"/>
    <n v="265"/>
    <n v="8991.8938707652778"/>
    <n v="2"/>
    <m/>
    <m/>
    <s v=""/>
    <s v=""/>
    <s v=""/>
    <s v=""/>
    <s v="Yes"/>
    <m/>
    <s v="Yes"/>
    <s v="Ok"/>
  </r>
  <r>
    <s v="IDPsSD06135"/>
    <x v="5"/>
    <x v="5"/>
    <s v="Um Dukhun"/>
    <s v="SD06135"/>
    <n v="62030"/>
    <s v="IDPs"/>
    <n v="30304"/>
    <n v="3"/>
    <n v="4"/>
    <n v="3030"/>
    <n v="1590.5336473417849"/>
    <n v="1439.4663526582151"/>
    <n v="1666.5000000000002"/>
    <n v="1181.7"/>
    <n v="181.79999999999998"/>
    <n v="454.5"/>
    <n v="491"/>
    <n v="55"/>
    <n v="20"/>
    <n v="27"/>
    <n v="30"/>
    <n v="61"/>
    <n v="91"/>
    <n v="61"/>
    <n v="0"/>
    <n v="4"/>
    <n v="9"/>
    <n v="9.9986800422386488E-2"/>
    <n v="600"/>
    <n v="49986.685401327071"/>
    <n v="3"/>
    <m/>
    <m/>
    <s v=""/>
    <s v=""/>
    <s v=""/>
    <s v=""/>
    <s v="Yes"/>
    <m/>
    <s v=""/>
    <s v="Ok"/>
  </r>
  <r>
    <s v="IDPsSD06137"/>
    <x v="5"/>
    <x v="5"/>
    <s v="Wadi Salih"/>
    <s v="SD06137"/>
    <n v="85993"/>
    <s v="IDPs"/>
    <n v="34456"/>
    <n v="3"/>
    <n v="4"/>
    <n v="13782"/>
    <n v="7227.8387337685799"/>
    <n v="6554.1612662314201"/>
    <n v="7580.1"/>
    <n v="5374.9800000000005"/>
    <n v="826.92"/>
    <n v="2067.2999999999997"/>
    <n v="2233"/>
    <n v="248"/>
    <n v="93"/>
    <n v="124"/>
    <n v="138"/>
    <n v="276"/>
    <n v="413"/>
    <n v="276"/>
    <n v="0"/>
    <n v="17"/>
    <n v="41"/>
    <n v="0.39998839099140931"/>
    <n v="0"/>
    <n v="16033.707513224072"/>
    <n v="1"/>
    <m/>
    <m/>
    <s v=""/>
    <s v=""/>
    <s v=""/>
    <s v=""/>
    <s v="Yes"/>
    <m/>
    <s v="Yes"/>
    <s v="Ok"/>
  </r>
  <r>
    <s v="IDPsSD06138"/>
    <x v="5"/>
    <x v="5"/>
    <s v="Zalingi"/>
    <s v="SD06138"/>
    <n v="216688"/>
    <s v="IDPs"/>
    <n v="138246"/>
    <n v="4"/>
    <n v="4"/>
    <n v="27649"/>
    <n v="14510.969552507075"/>
    <n v="13138.030447492923"/>
    <n v="15206.95"/>
    <n v="10783.11"/>
    <n v="1658.9399999999998"/>
    <n v="4147.3499999999995"/>
    <n v="4479"/>
    <n v="498"/>
    <n v="187"/>
    <n v="249"/>
    <n v="276"/>
    <n v="553"/>
    <n v="829"/>
    <n v="553"/>
    <n v="0"/>
    <n v="35"/>
    <n v="83"/>
    <n v="0.19999855330353139"/>
    <n v="32335"/>
    <n v="33750.576060864048"/>
    <n v="3"/>
    <m/>
    <m/>
    <s v=""/>
    <s v=""/>
    <s v=""/>
    <s v=""/>
    <s v=""/>
    <m/>
    <s v="Yes"/>
    <s v="Ok"/>
  </r>
  <r>
    <s v="IDPsSD06139"/>
    <x v="5"/>
    <x v="5"/>
    <s v="Wasat Jabal Marrah"/>
    <s v="SD06139"/>
    <n v="169210"/>
    <s v="IDPs"/>
    <n v="139538"/>
    <n v="3"/>
    <n v="4"/>
    <n v="83723"/>
    <n v="42188.7183468238"/>
    <n v="41534.2816531762"/>
    <n v="46047.65"/>
    <n v="32651.97"/>
    <n v="5023.38"/>
    <n v="12558.449999999999"/>
    <n v="13563"/>
    <n v="1507"/>
    <n v="565"/>
    <n v="754"/>
    <n v="837"/>
    <n v="1674"/>
    <n v="2512"/>
    <n v="1674"/>
    <n v="0"/>
    <n v="105"/>
    <n v="251"/>
    <n v="0.60000143330132294"/>
    <n v="2000"/>
    <n v="35360.37000134425"/>
    <n v="2"/>
    <m/>
    <m/>
    <s v=""/>
    <s v=""/>
    <s v=""/>
    <s v=""/>
    <s v="Yes"/>
    <m/>
    <s v=""/>
    <s v="Ok"/>
  </r>
  <r>
    <s v="IDPsSD07088"/>
    <x v="6"/>
    <x v="6"/>
    <s v="Abu Jubayhah"/>
    <s v="SD07088"/>
    <n v="58100"/>
    <s v="IDPs"/>
    <n v="27924"/>
    <n v="3"/>
    <n v="4"/>
    <n v="2792"/>
    <n v="1439.1176237314801"/>
    <n v="1352.8823762685199"/>
    <n v="1535.6000000000001"/>
    <n v="1088.8800000000001"/>
    <n v="167.51999999999998"/>
    <n v="418.8"/>
    <n v="452"/>
    <n v="50"/>
    <n v="19"/>
    <n v="25"/>
    <n v="28"/>
    <n v="56"/>
    <n v="84"/>
    <n v="56"/>
    <n v="0"/>
    <n v="3"/>
    <n v="8"/>
    <n v="9.9985675404669822E-2"/>
    <n v="0"/>
    <n v="67414.36769932945"/>
    <n v="1"/>
    <m/>
    <m/>
    <s v=""/>
    <s v=""/>
    <s v="Flagged"/>
    <s v=""/>
    <s v=""/>
    <m/>
    <s v=""/>
    <s v="Flagged"/>
  </r>
  <r>
    <s v="IDPsSD07089"/>
    <x v="6"/>
    <x v="6"/>
    <s v="Talawdi"/>
    <s v="SD07089"/>
    <n v="10407"/>
    <s v="IDPs"/>
    <n v="4535"/>
    <n v="3"/>
    <n v="4"/>
    <n v="454"/>
    <n v="235.91499242806665"/>
    <n v="218.08500757193337"/>
    <n v="249.70000000000002"/>
    <n v="177.06"/>
    <n v="27.24"/>
    <n v="68.099999999999994"/>
    <n v="74"/>
    <n v="8"/>
    <n v="3"/>
    <n v="4"/>
    <n v="5"/>
    <n v="9"/>
    <n v="14"/>
    <n v="9"/>
    <n v="0"/>
    <n v="1"/>
    <n v="1"/>
    <n v="0.10011025358324145"/>
    <n v="0"/>
    <n v="16429.090490270548"/>
    <n v="1"/>
    <m/>
    <m/>
    <s v=""/>
    <s v=""/>
    <s v="Flagged"/>
    <s v=""/>
    <s v=""/>
    <m/>
    <s v=""/>
    <s v="Flagged"/>
  </r>
  <r>
    <s v="IDPsSD07090"/>
    <x v="6"/>
    <x v="6"/>
    <s v="Abassiya"/>
    <s v="SD07090"/>
    <n v="62991"/>
    <s v="IDPs"/>
    <n v="54535"/>
    <n v="4"/>
    <n v="4"/>
    <n v="21814"/>
    <n v="11455.370892749883"/>
    <n v="10358.629107250117"/>
    <n v="11997.7"/>
    <n v="8507.4600000000009"/>
    <n v="1308.8399999999999"/>
    <n v="3272.1"/>
    <n v="3534"/>
    <n v="393"/>
    <n v="147"/>
    <n v="196"/>
    <n v="218"/>
    <n v="436"/>
    <n v="654"/>
    <n v="436"/>
    <n v="0"/>
    <n v="27"/>
    <n v="65"/>
    <n v="0.4"/>
    <n v="0"/>
    <n v="16910.686939568313"/>
    <n v="2"/>
    <m/>
    <m/>
    <s v=""/>
    <s v=""/>
    <s v="Flagged"/>
    <s v=""/>
    <s v=""/>
    <m/>
    <s v=""/>
    <s v="Flagged"/>
  </r>
  <r>
    <s v="IDPsSD07091"/>
    <x v="6"/>
    <x v="6"/>
    <s v="Um Durein"/>
    <s v="SD07091"/>
    <n v="0"/>
    <s v="IDPs"/>
    <n v="0"/>
    <n v="3"/>
    <n v="4"/>
    <n v="0"/>
    <n v="0"/>
    <n v="0"/>
    <n v="0"/>
    <n v="0"/>
    <n v="0"/>
    <n v="0"/>
    <n v="0"/>
    <n v="0"/>
    <n v="0"/>
    <n v="0"/>
    <n v="0"/>
    <n v="0"/>
    <n v="0"/>
    <n v="0"/>
    <n v="0"/>
    <n v="0"/>
    <n v="0"/>
    <n v="0"/>
    <n v="0"/>
    <n v="1427.3753683988314"/>
    <n v="1"/>
    <m/>
    <m/>
    <s v=""/>
    <s v=""/>
    <s v="No target"/>
    <s v="No target"/>
    <s v=""/>
    <m/>
    <s v=""/>
    <s v="Flagged"/>
  </r>
  <r>
    <s v="IDPsSD07093"/>
    <x v="6"/>
    <x v="6"/>
    <s v="Ar Rashad"/>
    <s v="SD07093"/>
    <n v="22054"/>
    <s v="IDPs"/>
    <n v="11125"/>
    <n v="3"/>
    <n v="4"/>
    <n v="1113"/>
    <n v="579.59444112372989"/>
    <n v="533.40555887627022"/>
    <n v="612.15000000000009"/>
    <n v="434.07"/>
    <n v="66.78"/>
    <n v="166.95"/>
    <n v="180"/>
    <n v="20"/>
    <n v="8"/>
    <n v="10"/>
    <n v="11"/>
    <n v="22"/>
    <n v="33"/>
    <n v="22"/>
    <n v="0"/>
    <n v="1"/>
    <n v="3"/>
    <n v="0.10004494382022472"/>
    <n v="0"/>
    <n v="15098.776646922837"/>
    <n v="1"/>
    <m/>
    <m/>
    <s v=""/>
    <s v=""/>
    <s v="Flagged"/>
    <s v=""/>
    <s v=""/>
    <m/>
    <s v=""/>
    <s v="Flagged"/>
  </r>
  <r>
    <s v="IDPsSD07094"/>
    <x v="6"/>
    <x v="6"/>
    <s v="Al Quoz"/>
    <s v="SD07094"/>
    <n v="8677"/>
    <s v="IDPs"/>
    <n v="4428"/>
    <n v="3"/>
    <n v="4"/>
    <n v="443"/>
    <n v="230.4829211895433"/>
    <n v="212.51707881045667"/>
    <n v="243.65"/>
    <n v="172.77"/>
    <n v="26.58"/>
    <n v="66.45"/>
    <n v="72"/>
    <n v="8"/>
    <n v="3"/>
    <n v="4"/>
    <n v="4"/>
    <n v="9"/>
    <n v="13"/>
    <n v="9"/>
    <n v="0"/>
    <n v="1"/>
    <n v="1"/>
    <n v="0.10004516711833784"/>
    <n v="0"/>
    <n v="0"/>
    <n v="1"/>
    <m/>
    <m/>
    <s v=""/>
    <s v=""/>
    <s v="Flagged"/>
    <s v=""/>
    <s v=""/>
    <m/>
    <s v=""/>
    <s v="Flagged"/>
  </r>
  <r>
    <s v="IDPsSD07095"/>
    <x v="6"/>
    <x v="6"/>
    <s v="Dilling"/>
    <s v="SD07095"/>
    <n v="44297"/>
    <s v="IDPs"/>
    <n v="15837"/>
    <n v="3"/>
    <n v="4"/>
    <n v="6335"/>
    <n v="3287.852246374965"/>
    <n v="3047.147753625035"/>
    <n v="3484.2500000000005"/>
    <n v="2470.65"/>
    <n v="380.09999999999997"/>
    <n v="950.25"/>
    <n v="1026"/>
    <n v="114"/>
    <n v="43"/>
    <n v="57"/>
    <n v="63"/>
    <n v="127"/>
    <n v="190"/>
    <n v="127"/>
    <n v="0"/>
    <n v="8"/>
    <n v="19"/>
    <n v="0.40001262865441689"/>
    <n v="0"/>
    <n v="6192.2398231878105"/>
    <n v="2"/>
    <m/>
    <m/>
    <s v=""/>
    <s v=""/>
    <s v=""/>
    <s v=""/>
    <s v="Yes"/>
    <m/>
    <s v=""/>
    <s v="Ok"/>
  </r>
  <r>
    <s v="IDPsSD07096"/>
    <x v="6"/>
    <x v="6"/>
    <s v="Heiban"/>
    <s v="SD07096"/>
    <n v="0"/>
    <s v="IDPs"/>
    <n v="0"/>
    <n v="3"/>
    <n v="4"/>
    <n v="0"/>
    <n v="0"/>
    <n v="0"/>
    <n v="0"/>
    <n v="0"/>
    <n v="0"/>
    <n v="0"/>
    <n v="0"/>
    <n v="0"/>
    <n v="0"/>
    <n v="0"/>
    <n v="0"/>
    <n v="0"/>
    <n v="0"/>
    <n v="0"/>
    <n v="0"/>
    <n v="0"/>
    <n v="0"/>
    <n v="0"/>
    <n v="0"/>
    <n v="28993.704908138101"/>
    <n v="1"/>
    <m/>
    <m/>
    <s v=""/>
    <s v=""/>
    <s v="No target"/>
    <s v="No target"/>
    <s v=""/>
    <m/>
    <s v=""/>
    <s v="Flagged"/>
  </r>
  <r>
    <s v="IDPsSD07097"/>
    <x v="6"/>
    <x v="6"/>
    <s v="Ar Reif Ash Shargi"/>
    <s v="SD07097"/>
    <n v="39030"/>
    <s v="IDPs"/>
    <n v="30198"/>
    <n v="3"/>
    <n v="4"/>
    <n v="1510"/>
    <n v="779.21305085174777"/>
    <n v="730.78694914825223"/>
    <n v="830.50000000000011"/>
    <n v="588.9"/>
    <n v="90.6"/>
    <n v="226.5"/>
    <n v="245"/>
    <n v="27"/>
    <n v="10"/>
    <n v="14"/>
    <n v="15"/>
    <n v="30"/>
    <n v="45"/>
    <n v="30"/>
    <n v="0"/>
    <n v="2"/>
    <n v="5"/>
    <n v="5.0003311477581296E-2"/>
    <n v="0"/>
    <n v="6046.0765854637693"/>
    <n v="1"/>
    <m/>
    <m/>
    <s v=""/>
    <s v=""/>
    <s v="Flagged"/>
    <s v=""/>
    <s v=""/>
    <m/>
    <s v=""/>
    <s v="Flagged"/>
  </r>
  <r>
    <s v="IDPsSD07098"/>
    <x v="6"/>
    <x v="6"/>
    <s v="Kadugli"/>
    <s v="SD07098"/>
    <n v="84600"/>
    <s v="IDPs"/>
    <n v="45083"/>
    <n v="3"/>
    <n v="4"/>
    <n v="18033"/>
    <n v="9136.8421465847678"/>
    <n v="8896.1578534152304"/>
    <n v="9918.1500000000015"/>
    <n v="7032.87"/>
    <n v="1081.98"/>
    <n v="2704.95"/>
    <n v="2921"/>
    <n v="325"/>
    <n v="122"/>
    <n v="162"/>
    <n v="180"/>
    <n v="361"/>
    <n v="541"/>
    <n v="361"/>
    <n v="0"/>
    <n v="23"/>
    <n v="54"/>
    <n v="0.39999556373799439"/>
    <n v="15385"/>
    <n v="8537.4175534670903"/>
    <n v="3"/>
    <m/>
    <m/>
    <s v=""/>
    <s v=""/>
    <s v=""/>
    <s v=""/>
    <s v="Yes"/>
    <m/>
    <s v=""/>
    <s v="Ok"/>
  </r>
  <r>
    <s v="IDPsSD07099"/>
    <x v="6"/>
    <x v="6"/>
    <s v="Al Buram"/>
    <s v="SD07099"/>
    <n v="0"/>
    <s v="IDPs"/>
    <n v="0"/>
    <n v="4"/>
    <n v="4"/>
    <n v="0"/>
    <n v="0"/>
    <n v="0"/>
    <n v="0"/>
    <n v="0"/>
    <n v="0"/>
    <n v="0"/>
    <n v="0"/>
    <n v="0"/>
    <n v="0"/>
    <n v="0"/>
    <n v="0"/>
    <n v="0"/>
    <n v="0"/>
    <n v="0"/>
    <n v="0"/>
    <n v="0"/>
    <n v="0"/>
    <n v="0"/>
    <n v="0"/>
    <n v="9904.2722062458106"/>
    <n v="1"/>
    <m/>
    <m/>
    <s v=""/>
    <s v=""/>
    <s v="No target"/>
    <s v="No target"/>
    <s v=""/>
    <m/>
    <s v=""/>
    <s v="Flagged"/>
  </r>
  <r>
    <s v="IDPsSD07103"/>
    <x v="6"/>
    <x v="6"/>
    <s v="Habila - SK"/>
    <s v="SD07103"/>
    <n v="59211"/>
    <s v="IDPs"/>
    <n v="50326"/>
    <n v="4"/>
    <n v="4"/>
    <n v="20130"/>
    <n v="10410.262279765082"/>
    <n v="9719.7377202349162"/>
    <n v="11071.5"/>
    <n v="7850.7"/>
    <n v="1207.8"/>
    <n v="3019.5"/>
    <n v="3261"/>
    <n v="362"/>
    <n v="136"/>
    <n v="181"/>
    <n v="201"/>
    <n v="403"/>
    <n v="604"/>
    <n v="403"/>
    <n v="0"/>
    <n v="25"/>
    <n v="60"/>
    <n v="0.39999205182211978"/>
    <n v="0"/>
    <n v="1293.2020837693412"/>
    <n v="2"/>
    <m/>
    <m/>
    <s v=""/>
    <s v=""/>
    <s v=""/>
    <s v=""/>
    <s v=""/>
    <m/>
    <s v="Yes"/>
    <s v="Ok"/>
  </r>
  <r>
    <s v="IDPsSD07104"/>
    <x v="6"/>
    <x v="6"/>
    <s v="Abu Kershola"/>
    <s v="SD07104"/>
    <n v="26703"/>
    <s v="IDPs"/>
    <n v="16265"/>
    <n v="3"/>
    <n v="4"/>
    <n v="1627"/>
    <n v="847.85558461569644"/>
    <n v="779.14441538430356"/>
    <n v="894.85"/>
    <n v="634.53"/>
    <n v="97.61999999999999"/>
    <n v="244.04999999999998"/>
    <n v="264"/>
    <n v="29"/>
    <n v="11"/>
    <n v="15"/>
    <n v="16"/>
    <n v="33"/>
    <n v="49"/>
    <n v="33"/>
    <n v="0"/>
    <n v="2"/>
    <n v="5"/>
    <n v="0.10003074085459576"/>
    <n v="0"/>
    <n v="3478.7992478616316"/>
    <n v="1"/>
    <m/>
    <m/>
    <s v=""/>
    <s v=""/>
    <s v="Flagged"/>
    <s v=""/>
    <s v=""/>
    <m/>
    <s v=""/>
    <s v="Flagged"/>
  </r>
  <r>
    <s v="IDPsSD07105"/>
    <x v="6"/>
    <x v="6"/>
    <s v="Al Leri"/>
    <s v="SD07105"/>
    <n v="6641"/>
    <s v="IDPs"/>
    <n v="5672"/>
    <n v="3"/>
    <n v="4"/>
    <n v="567"/>
    <n v="296.75661971830988"/>
    <n v="270.24338028169012"/>
    <n v="311.85000000000002"/>
    <n v="221.13"/>
    <n v="34.019999999999996"/>
    <n v="85.05"/>
    <n v="92"/>
    <n v="10"/>
    <n v="4"/>
    <n v="5"/>
    <n v="6"/>
    <n v="11"/>
    <n v="17"/>
    <n v="11"/>
    <n v="0"/>
    <n v="1"/>
    <n v="2"/>
    <n v="9.9964739069111422E-2"/>
    <n v="0"/>
    <n v="50921.616267628306"/>
    <n v="1"/>
    <m/>
    <m/>
    <s v=""/>
    <s v=""/>
    <s v="Flagged"/>
    <s v=""/>
    <s v=""/>
    <m/>
    <s v=""/>
    <s v="Flagged"/>
  </r>
  <r>
    <s v="IDPsSD07106"/>
    <x v="6"/>
    <x v="6"/>
    <s v="At Tadamon - SK"/>
    <s v="SD07106"/>
    <n v="2093"/>
    <s v="IDPs"/>
    <n v="933"/>
    <n v="3"/>
    <n v="4"/>
    <n v="47"/>
    <n v="24.053485182755949"/>
    <n v="22.946514817244051"/>
    <n v="25.85"/>
    <n v="18.330000000000002"/>
    <n v="2.82"/>
    <n v="7.05"/>
    <n v="8"/>
    <n v="1"/>
    <n v="0"/>
    <n v="0"/>
    <n v="0"/>
    <n v="1"/>
    <n v="1"/>
    <n v="1"/>
    <n v="0"/>
    <n v="0"/>
    <n v="0"/>
    <n v="5.0375133976420149E-2"/>
    <n v="0"/>
    <n v="19723.472840535051"/>
    <n v="1"/>
    <m/>
    <m/>
    <s v=""/>
    <s v=""/>
    <s v="Flagged"/>
    <s v=""/>
    <s v=""/>
    <m/>
    <s v=""/>
    <s v="Flagged"/>
  </r>
  <r>
    <s v="IDPsSD07107"/>
    <x v="6"/>
    <x v="6"/>
    <s v="Delami"/>
    <s v="SD07107"/>
    <n v="4781"/>
    <s v="IDPs"/>
    <n v="3117"/>
    <n v="3"/>
    <n v="4"/>
    <n v="312"/>
    <n v="155.52627409559017"/>
    <n v="156.47372590440983"/>
    <n v="171.60000000000002"/>
    <n v="121.68"/>
    <n v="18.72"/>
    <n v="46.8"/>
    <n v="51"/>
    <n v="6"/>
    <n v="2"/>
    <n v="3"/>
    <n v="3"/>
    <n v="6"/>
    <n v="9"/>
    <n v="6"/>
    <n v="0"/>
    <n v="0"/>
    <n v="1"/>
    <n v="0.10009624639076034"/>
    <n v="0"/>
    <n v="656.59266946346236"/>
    <n v="1"/>
    <m/>
    <m/>
    <s v=""/>
    <s v=""/>
    <s v="Flagged"/>
    <s v=""/>
    <s v=""/>
    <m/>
    <s v=""/>
    <s v="Flagged"/>
  </r>
  <r>
    <s v="IDPsSD07108"/>
    <x v="6"/>
    <x v="6"/>
    <s v="Ghadeer"/>
    <s v="SD07108"/>
    <n v="13458"/>
    <s v="IDPs"/>
    <n v="8084"/>
    <n v="3"/>
    <n v="4"/>
    <n v="808"/>
    <n v="419.58215469845129"/>
    <n v="388.41784530154865"/>
    <n v="444.40000000000003"/>
    <n v="315.12"/>
    <n v="48.48"/>
    <n v="121.19999999999999"/>
    <n v="131"/>
    <n v="15"/>
    <n v="5"/>
    <n v="7"/>
    <n v="8"/>
    <n v="16"/>
    <n v="24"/>
    <n v="16"/>
    <n v="0"/>
    <n v="1"/>
    <n v="2"/>
    <n v="9.9950519544779806E-2"/>
    <n v="0"/>
    <n v="18712.891079708679"/>
    <n v="1"/>
    <m/>
    <m/>
    <s v=""/>
    <s v=""/>
    <s v=""/>
    <s v=""/>
    <s v=""/>
    <m/>
    <s v="Yes"/>
    <s v="Ok"/>
  </r>
  <r>
    <s v="IDPsSD08104"/>
    <x v="7"/>
    <x v="7"/>
    <s v="Baw"/>
    <s v="SD08104"/>
    <n v="50471"/>
    <s v="IDPs"/>
    <n v="44046"/>
    <n v="4"/>
    <n v="4"/>
    <n v="4405"/>
    <n v="2225.3274834001095"/>
    <n v="2179.672516599891"/>
    <n v="2422.75"/>
    <n v="1717.95"/>
    <n v="264.3"/>
    <n v="660.75"/>
    <n v="714"/>
    <n v="79"/>
    <n v="30"/>
    <n v="40"/>
    <n v="44"/>
    <n v="88"/>
    <n v="132"/>
    <n v="88"/>
    <n v="0"/>
    <n v="6"/>
    <n v="13"/>
    <n v="0.10000908141488445"/>
    <n v="0"/>
    <n v="13151.265694279473"/>
    <n v="1"/>
    <m/>
    <m/>
    <s v=""/>
    <s v=""/>
    <s v="Flagged"/>
    <s v=""/>
    <s v=""/>
    <m/>
    <s v=""/>
    <s v="Flagged"/>
  </r>
  <r>
    <s v="IDPsSD08105"/>
    <x v="7"/>
    <x v="7"/>
    <s v="Ed Damazine"/>
    <s v="SD08105"/>
    <n v="126167"/>
    <s v="IDPs"/>
    <n v="75814"/>
    <n v="3"/>
    <n v="3"/>
    <n v="15163"/>
    <n v="7614.3210462338984"/>
    <n v="7548.6789537661007"/>
    <n v="8339.6500000000015"/>
    <n v="5913.5700000000006"/>
    <n v="909.78"/>
    <n v="2274.4499999999998"/>
    <n v="2456"/>
    <n v="273"/>
    <n v="102"/>
    <n v="136"/>
    <n v="152"/>
    <n v="303"/>
    <n v="455"/>
    <n v="303"/>
    <n v="0"/>
    <n v="19"/>
    <n v="45"/>
    <n v="0.20000263803519139"/>
    <n v="81200"/>
    <n v="68199.424151948799"/>
    <n v="5"/>
    <m/>
    <m/>
    <s v=""/>
    <s v=""/>
    <s v=""/>
    <s v=""/>
    <s v=""/>
    <m/>
    <s v=""/>
    <s v="Flagged"/>
  </r>
  <r>
    <s v="IDPsSD08106"/>
    <x v="7"/>
    <x v="7"/>
    <s v="Al Kurmuk"/>
    <s v="SD08106"/>
    <n v="18121"/>
    <s v="IDPs"/>
    <n v="15323"/>
    <n v="3"/>
    <n v="4"/>
    <n v="6129"/>
    <n v="3021.6839924531096"/>
    <n v="3107.3160075468904"/>
    <n v="3370.9500000000003"/>
    <n v="2390.31"/>
    <n v="367.74"/>
    <n v="919.35"/>
    <n v="993"/>
    <n v="110"/>
    <n v="41"/>
    <n v="55"/>
    <n v="61"/>
    <n v="123"/>
    <n v="184"/>
    <n v="123"/>
    <n v="0"/>
    <n v="8"/>
    <n v="18"/>
    <n v="0.3999869477256412"/>
    <n v="2715"/>
    <n v="30456.764660746903"/>
    <n v="2"/>
    <m/>
    <m/>
    <s v=""/>
    <s v=""/>
    <s v="Flagged"/>
    <s v=""/>
    <s v=""/>
    <m/>
    <s v=""/>
    <s v="Flagged"/>
  </r>
  <r>
    <s v="IDPsSD08107"/>
    <x v="7"/>
    <x v="7"/>
    <s v="Ar Rusayris"/>
    <s v="SD08107"/>
    <n v="55712"/>
    <s v="IDPs"/>
    <n v="9741"/>
    <n v="2"/>
    <n v="3"/>
    <n v="0"/>
    <n v="0"/>
    <n v="0"/>
    <n v="0"/>
    <n v="0"/>
    <n v="0"/>
    <n v="0"/>
    <n v="0"/>
    <n v="0"/>
    <n v="0"/>
    <n v="0"/>
    <n v="0"/>
    <n v="0"/>
    <n v="0"/>
    <n v="0"/>
    <n v="0"/>
    <n v="0"/>
    <n v="0"/>
    <n v="0"/>
    <n v="0"/>
    <n v="43839.550639780668"/>
    <n v="2"/>
    <m/>
    <m/>
    <s v=""/>
    <s v=""/>
    <s v="No target"/>
    <s v="No target"/>
    <s v=""/>
    <m/>
    <s v=""/>
    <s v="Flagged"/>
  </r>
  <r>
    <s v="IDPsSD08108"/>
    <x v="7"/>
    <x v="7"/>
    <s v="At Tadamon - BN"/>
    <s v="SD08108"/>
    <n v="21640"/>
    <s v="IDPs"/>
    <n v="16422"/>
    <n v="3"/>
    <n v="4"/>
    <n v="1642"/>
    <n v="822.42115621739538"/>
    <n v="819.57884378260462"/>
    <n v="903.1"/>
    <n v="640.38"/>
    <n v="98.52"/>
    <n v="246.29999999999998"/>
    <n v="266"/>
    <n v="30"/>
    <n v="11"/>
    <n v="15"/>
    <n v="16"/>
    <n v="33"/>
    <n v="49"/>
    <n v="33"/>
    <n v="0"/>
    <n v="2"/>
    <n v="5"/>
    <n v="9.9987821215442696E-2"/>
    <n v="0"/>
    <n v="19080.868449681897"/>
    <n v="1"/>
    <m/>
    <m/>
    <s v=""/>
    <s v=""/>
    <s v="Flagged"/>
    <s v=""/>
    <s v=""/>
    <m/>
    <s v=""/>
    <s v="Flagged"/>
  </r>
  <r>
    <s v="IDPsSD08109"/>
    <x v="7"/>
    <x v="7"/>
    <s v="Geisan"/>
    <s v="SD08109"/>
    <n v="34059"/>
    <s v="IDPs"/>
    <n v="22372"/>
    <n v="3"/>
    <n v="3"/>
    <n v="4474"/>
    <n v="2256.7959486868112"/>
    <n v="2217.2040513131888"/>
    <n v="2460.7000000000003"/>
    <n v="1744.8600000000001"/>
    <n v="268.44"/>
    <n v="671.1"/>
    <n v="725"/>
    <n v="81"/>
    <n v="30"/>
    <n v="40"/>
    <n v="45"/>
    <n v="89"/>
    <n v="134"/>
    <n v="89"/>
    <n v="0"/>
    <n v="6"/>
    <n v="13"/>
    <n v="0.19998212050777758"/>
    <n v="0"/>
    <n v="14560.656133036478"/>
    <n v="2"/>
    <m/>
    <m/>
    <s v=""/>
    <s v=""/>
    <s v=""/>
    <s v="Flagged"/>
    <s v=""/>
    <m/>
    <s v=""/>
    <s v="Flagged"/>
  </r>
  <r>
    <s v="IDPsSD08110"/>
    <x v="7"/>
    <x v="7"/>
    <s v="Wad Al Mahi"/>
    <s v="SD08110"/>
    <n v="9671"/>
    <s v="IDPs"/>
    <n v="4076"/>
    <n v="3"/>
    <n v="3"/>
    <n v="815"/>
    <n v="406.83424702294514"/>
    <n v="408.16575297705486"/>
    <n v="448.25000000000006"/>
    <n v="317.85000000000002"/>
    <n v="48.9"/>
    <n v="122.25"/>
    <n v="132"/>
    <n v="15"/>
    <n v="6"/>
    <n v="7"/>
    <n v="8"/>
    <n v="16"/>
    <n v="24"/>
    <n v="16"/>
    <n v="0"/>
    <n v="1"/>
    <n v="2"/>
    <n v="0.19995093228655544"/>
    <n v="0"/>
    <n v="11954.268710340213"/>
    <n v="2"/>
    <m/>
    <m/>
    <s v=""/>
    <s v=""/>
    <s v=""/>
    <s v="Flagged"/>
    <s v=""/>
    <m/>
    <s v=""/>
    <s v="Flagged"/>
  </r>
  <r>
    <s v="IDPsSD09044"/>
    <x v="8"/>
    <x v="8"/>
    <s v="Ad Diwaim"/>
    <s v="SD09044"/>
    <n v="85184"/>
    <s v="IDPs"/>
    <n v="51905"/>
    <n v="3"/>
    <n v="4"/>
    <n v="5191"/>
    <n v="2743.8385958357826"/>
    <n v="2447.1614041642174"/>
    <n v="2855.05"/>
    <n v="2024.49"/>
    <n v="311.45999999999998"/>
    <n v="778.65"/>
    <n v="841"/>
    <n v="93"/>
    <n v="35"/>
    <n v="47"/>
    <n v="52"/>
    <n v="104"/>
    <n v="156"/>
    <n v="104"/>
    <n v="0"/>
    <n v="6"/>
    <n v="16"/>
    <n v="0.10000963298333494"/>
    <n v="2525"/>
    <n v="28486.701177282837"/>
    <n v="2"/>
    <m/>
    <m/>
    <s v=""/>
    <s v=""/>
    <s v="Flagged"/>
    <s v=""/>
    <s v=""/>
    <m/>
    <s v=""/>
    <s v="Flagged"/>
  </r>
  <r>
    <s v="IDPsSD09045"/>
    <x v="8"/>
    <x v="8"/>
    <s v="Um Rimta"/>
    <s v="SD09045"/>
    <n v="12315"/>
    <s v="IDPs"/>
    <n v="5249"/>
    <n v="3"/>
    <n v="3"/>
    <n v="0"/>
    <n v="0"/>
    <n v="0"/>
    <n v="0"/>
    <n v="0"/>
    <n v="0"/>
    <n v="0"/>
    <n v="0"/>
    <n v="0"/>
    <n v="0"/>
    <n v="0"/>
    <n v="0"/>
    <n v="0"/>
    <n v="0"/>
    <n v="0"/>
    <n v="0"/>
    <n v="0"/>
    <n v="0"/>
    <n v="0"/>
    <n v="0"/>
    <n v="1842.1706504555318"/>
    <n v="1"/>
    <m/>
    <m/>
    <s v=""/>
    <s v=""/>
    <s v="No target"/>
    <s v="No target"/>
    <s v=""/>
    <m/>
    <s v=""/>
    <s v="Flagged"/>
  </r>
  <r>
    <s v="IDPsSD09046"/>
    <x v="8"/>
    <x v="8"/>
    <s v="Rabak"/>
    <s v="SD09046"/>
    <n v="143722"/>
    <s v="IDPs"/>
    <n v="85971"/>
    <n v="4"/>
    <n v="3"/>
    <n v="51583"/>
    <n v="26978.181006868082"/>
    <n v="24604.818993131921"/>
    <n v="28370.65"/>
    <n v="20117.37"/>
    <n v="3094.98"/>
    <n v="7737.45"/>
    <n v="8356"/>
    <n v="928"/>
    <n v="348"/>
    <n v="464"/>
    <n v="516"/>
    <n v="1032"/>
    <n v="1547"/>
    <n v="1032"/>
    <n v="0"/>
    <n v="64"/>
    <n v="155"/>
    <n v="0.60000465273173509"/>
    <n v="11965"/>
    <n v="23772.365810535175"/>
    <n v="4"/>
    <m/>
    <m/>
    <s v=""/>
    <s v=""/>
    <s v=""/>
    <s v="Flagged"/>
    <s v=""/>
    <m/>
    <s v=""/>
    <s v="Flagged"/>
  </r>
  <r>
    <s v="IDPsSD09047"/>
    <x v="8"/>
    <x v="8"/>
    <s v="Kosti"/>
    <s v="SD09047"/>
    <n v="159983"/>
    <s v="IDPs"/>
    <n v="67578"/>
    <n v="3"/>
    <n v="3"/>
    <n v="13516"/>
    <n v="7119.4819714148398"/>
    <n v="6396.5180285851593"/>
    <n v="7433.8"/>
    <n v="5271.24"/>
    <n v="810.95999999999992"/>
    <n v="2027.3999999999999"/>
    <n v="2190"/>
    <n v="243"/>
    <n v="91"/>
    <n v="122"/>
    <n v="135"/>
    <n v="270"/>
    <n v="405"/>
    <n v="270"/>
    <n v="0"/>
    <n v="17"/>
    <n v="41"/>
    <n v="0.20000591908609311"/>
    <n v="31585"/>
    <n v="19981.542307141561"/>
    <n v="6"/>
    <m/>
    <m/>
    <s v=""/>
    <s v=""/>
    <s v=""/>
    <s v=""/>
    <s v=""/>
    <m/>
    <s v=""/>
    <s v="Flagged"/>
  </r>
  <r>
    <s v="IDPsSD09048"/>
    <x v="8"/>
    <x v="8"/>
    <s v="Tendalti"/>
    <s v="SD09048"/>
    <n v="19378"/>
    <s v="IDPs"/>
    <n v="5926"/>
    <n v="3"/>
    <n v="3"/>
    <n v="593"/>
    <n v="313.53939129106703"/>
    <n v="279.46060870893291"/>
    <n v="326.15000000000003"/>
    <n v="231.27"/>
    <n v="35.58"/>
    <n v="88.95"/>
    <n v="96"/>
    <n v="11"/>
    <n v="4"/>
    <n v="5"/>
    <n v="6"/>
    <n v="12"/>
    <n v="18"/>
    <n v="12"/>
    <n v="0"/>
    <n v="1"/>
    <n v="2"/>
    <n v="0.10006749915626055"/>
    <n v="10200"/>
    <n v="2112.5155452302702"/>
    <n v="3"/>
    <m/>
    <m/>
    <s v=""/>
    <s v=""/>
    <s v=""/>
    <s v=""/>
    <s v=""/>
    <m/>
    <s v=""/>
    <s v="Flagged"/>
  </r>
  <r>
    <s v="IDPsSD09049"/>
    <x v="8"/>
    <x v="8"/>
    <s v="As Salam / Ar Rawat"/>
    <s v="SD09049"/>
    <n v="54837"/>
    <s v="IDPs"/>
    <n v="43010"/>
    <n v="3"/>
    <n v="3"/>
    <n v="17204"/>
    <n v="8871.8673076740379"/>
    <n v="8332.1326923259639"/>
    <n v="9462.2000000000007"/>
    <n v="6709.56"/>
    <n v="1032.24"/>
    <n v="2580.6"/>
    <n v="2787"/>
    <n v="310"/>
    <n v="116"/>
    <n v="155"/>
    <n v="172"/>
    <n v="344"/>
    <n v="516"/>
    <n v="344"/>
    <n v="0"/>
    <n v="22"/>
    <n v="52"/>
    <n v="0.4"/>
    <n v="1115"/>
    <n v="13423.03796442261"/>
    <n v="4"/>
    <m/>
    <m/>
    <s v=""/>
    <s v=""/>
    <s v=""/>
    <s v="Flagged"/>
    <s v=""/>
    <m/>
    <s v=""/>
    <s v="Flagged"/>
  </r>
  <r>
    <s v="IDPsSD09050"/>
    <x v="8"/>
    <x v="8"/>
    <s v="Al Gitaina"/>
    <s v="SD09050"/>
    <n v="16970"/>
    <s v="IDPs"/>
    <n v="9920"/>
    <n v="3"/>
    <n v="4"/>
    <n v="496"/>
    <n v="256.59113817330211"/>
    <n v="239.40886182669789"/>
    <n v="272.8"/>
    <n v="193.44"/>
    <n v="29.759999999999998"/>
    <n v="74.399999999999991"/>
    <n v="80"/>
    <n v="9"/>
    <n v="3"/>
    <n v="4"/>
    <n v="5"/>
    <n v="10"/>
    <n v="15"/>
    <n v="10"/>
    <n v="0"/>
    <n v="1"/>
    <n v="1"/>
    <n v="0.05"/>
    <n v="0"/>
    <n v="2876.1613673236452"/>
    <n v="1"/>
    <m/>
    <m/>
    <s v=""/>
    <s v=""/>
    <s v="Flagged"/>
    <s v=""/>
    <s v=""/>
    <m/>
    <s v=""/>
    <s v="Flagged"/>
  </r>
  <r>
    <s v="IDPsSD09051"/>
    <x v="8"/>
    <x v="8"/>
    <s v="Aj Jabalain"/>
    <s v="SD09051"/>
    <n v="133362"/>
    <s v="IDPs"/>
    <n v="108828"/>
    <n v="4"/>
    <n v="4"/>
    <n v="65297"/>
    <n v="33885.475543278153"/>
    <n v="31411.52445672184"/>
    <n v="35913.350000000006"/>
    <n v="25465.83"/>
    <n v="3917.8199999999997"/>
    <n v="9794.5499999999993"/>
    <n v="10578"/>
    <n v="1175"/>
    <n v="441"/>
    <n v="588"/>
    <n v="653"/>
    <n v="1306"/>
    <n v="1959"/>
    <n v="1306"/>
    <n v="0"/>
    <n v="82"/>
    <n v="196"/>
    <n v="0.60000183776234062"/>
    <n v="6060"/>
    <n v="15247.794635383676"/>
    <n v="3"/>
    <m/>
    <m/>
    <s v=""/>
    <s v=""/>
    <s v="Flagged"/>
    <s v=""/>
    <s v=""/>
    <m/>
    <s v=""/>
    <s v="Flagged"/>
  </r>
  <r>
    <s v="IDPsSD09052"/>
    <x v="8"/>
    <x v="8"/>
    <s v="Guli"/>
    <s v="SD09052"/>
    <n v="26377"/>
    <s v="IDPs"/>
    <n v="16779"/>
    <n v="3"/>
    <n v="4"/>
    <n v="839"/>
    <n v="435.06750084030921"/>
    <n v="403.93249915969074"/>
    <n v="461.45000000000005"/>
    <n v="327.21000000000004"/>
    <n v="50.339999999999996"/>
    <n v="125.85"/>
    <n v="136"/>
    <n v="15"/>
    <n v="6"/>
    <n v="8"/>
    <n v="8"/>
    <n v="17"/>
    <n v="25"/>
    <n v="17"/>
    <n v="0"/>
    <n v="1"/>
    <n v="3"/>
    <n v="5.00029799153704E-2"/>
    <n v="0"/>
    <n v="14559.51423274176"/>
    <n v="1"/>
    <m/>
    <m/>
    <s v=""/>
    <s v=""/>
    <s v="Flagged"/>
    <s v=""/>
    <s v=""/>
    <m/>
    <s v=""/>
    <s v="Flagged"/>
  </r>
  <r>
    <s v="IDPsSD10063"/>
    <x v="9"/>
    <x v="9"/>
    <s v="Dordieb"/>
    <s v="SD10063"/>
    <n v="1595"/>
    <s v="IDPs"/>
    <n v="1068"/>
    <n v="3"/>
    <n v="3"/>
    <n v="427"/>
    <n v="195.04421514252547"/>
    <n v="231.95578485747453"/>
    <n v="234.85000000000002"/>
    <n v="166.53"/>
    <n v="25.619999999999997"/>
    <n v="64.05"/>
    <n v="69"/>
    <n v="8"/>
    <n v="3"/>
    <n v="4"/>
    <n v="4"/>
    <n v="9"/>
    <n v="13"/>
    <n v="9"/>
    <n v="0"/>
    <n v="1"/>
    <n v="1"/>
    <n v="0.39981273408239698"/>
    <n v="0"/>
    <n v="8698.4254950224786"/>
    <n v="1"/>
    <m/>
    <m/>
    <s v=""/>
    <s v=""/>
    <s v=""/>
    <s v="Flagged"/>
    <s v=""/>
    <m/>
    <s v=""/>
    <s v="Flagged"/>
  </r>
  <r>
    <s v="IDPsSD10064"/>
    <x v="9"/>
    <x v="9"/>
    <s v="Port Sudan"/>
    <s v="SD10064"/>
    <n v="239573"/>
    <s v="IDPs"/>
    <n v="153124"/>
    <n v="3"/>
    <n v="3"/>
    <n v="61250"/>
    <n v="30734.457911807418"/>
    <n v="30515.542088192578"/>
    <n v="33687.5"/>
    <n v="23887.5"/>
    <n v="3675"/>
    <n v="9187.5"/>
    <n v="9923"/>
    <n v="1103"/>
    <n v="413"/>
    <n v="551"/>
    <n v="613"/>
    <n v="1225"/>
    <n v="1838"/>
    <n v="1225"/>
    <n v="613"/>
    <n v="77"/>
    <n v="184"/>
    <n v="0.4000026122619576"/>
    <n v="48000"/>
    <n v="33843.069984736292"/>
    <n v="8"/>
    <m/>
    <m/>
    <s v=""/>
    <s v=""/>
    <s v=""/>
    <s v="Flagged"/>
    <s v=""/>
    <m/>
    <s v=""/>
    <s v="Flagged"/>
  </r>
  <r>
    <s v="IDPsSD10065"/>
    <x v="9"/>
    <x v="9"/>
    <s v="Tawkar"/>
    <s v="SD10065"/>
    <n v="2415"/>
    <s v="IDPs"/>
    <n v="1189"/>
    <n v="3"/>
    <n v="3"/>
    <n v="713"/>
    <n v="325.47479240940987"/>
    <n v="387.52520759059013"/>
    <n v="392.15000000000003"/>
    <n v="278.07"/>
    <n v="42.78"/>
    <n v="106.95"/>
    <n v="116"/>
    <n v="13"/>
    <n v="5"/>
    <n v="6"/>
    <n v="7"/>
    <n v="14"/>
    <n v="21"/>
    <n v="14"/>
    <n v="0"/>
    <n v="1"/>
    <n v="2"/>
    <n v="0.59966358284272503"/>
    <n v="24335"/>
    <n v="13083.322626743688"/>
    <n v="4"/>
    <m/>
    <m/>
    <s v=""/>
    <s v=""/>
    <s v=""/>
    <s v=""/>
    <s v=""/>
    <m/>
    <s v=""/>
    <s v="Flagged"/>
  </r>
  <r>
    <s v="IDPsSD10066"/>
    <x v="9"/>
    <x v="9"/>
    <s v="Hala'ib"/>
    <s v="SD10066"/>
    <n v="490"/>
    <s v="IDPs"/>
    <n v="107"/>
    <n v="3"/>
    <n v="3"/>
    <n v="0"/>
    <n v="0"/>
    <n v="0"/>
    <n v="0"/>
    <n v="0"/>
    <n v="0"/>
    <n v="0"/>
    <n v="0"/>
    <n v="0"/>
    <n v="0"/>
    <n v="0"/>
    <n v="0"/>
    <n v="0"/>
    <n v="0"/>
    <n v="0"/>
    <n v="0"/>
    <n v="0"/>
    <n v="0"/>
    <n v="0"/>
    <n v="0"/>
    <n v="902.38670790174115"/>
    <n v="1"/>
    <m/>
    <m/>
    <s v=""/>
    <s v=""/>
    <s v="No target"/>
    <s v="No target"/>
    <s v=""/>
    <m/>
    <s v=""/>
    <s v="Flagged"/>
  </r>
  <r>
    <s v="IDPsSD10067"/>
    <x v="9"/>
    <x v="9"/>
    <s v="Jubayt Elma'aadin"/>
    <s v="SD10067"/>
    <n v="280"/>
    <s v="IDPs"/>
    <n v="180"/>
    <n v="4"/>
    <n v="3"/>
    <n v="144"/>
    <n v="65.303245883618857"/>
    <n v="78.696754116381143"/>
    <n v="79.2"/>
    <n v="56.160000000000004"/>
    <n v="8.64"/>
    <n v="21.599999999999998"/>
    <n v="23"/>
    <n v="3"/>
    <n v="1"/>
    <n v="1"/>
    <n v="1"/>
    <n v="3"/>
    <n v="4"/>
    <n v="3"/>
    <n v="0"/>
    <n v="0"/>
    <n v="0"/>
    <n v="0.8"/>
    <n v="0"/>
    <n v="2600.1069710753113"/>
    <n v="1"/>
    <m/>
    <m/>
    <s v=""/>
    <s v=""/>
    <s v=""/>
    <s v="Flagged"/>
    <s v=""/>
    <m/>
    <s v=""/>
    <s v="Flagged"/>
  </r>
  <r>
    <s v="IDPsSD10068"/>
    <x v="9"/>
    <x v="9"/>
    <s v="Sawakin"/>
    <s v="SD10068"/>
    <n v="6987"/>
    <s v="IDPs"/>
    <n v="1591"/>
    <n v="3"/>
    <n v="3"/>
    <n v="955"/>
    <n v="453.78775542023612"/>
    <n v="501.21224457976393"/>
    <n v="525.25"/>
    <n v="372.45"/>
    <n v="57.3"/>
    <n v="143.25"/>
    <n v="155"/>
    <n v="17"/>
    <n v="6"/>
    <n v="9"/>
    <n v="10"/>
    <n v="19"/>
    <n v="29"/>
    <n v="19"/>
    <n v="0"/>
    <n v="1"/>
    <n v="3"/>
    <n v="0.60025141420490258"/>
    <n v="0"/>
    <n v="5831.3993300565853"/>
    <n v="2"/>
    <m/>
    <m/>
    <s v=""/>
    <s v=""/>
    <s v=""/>
    <s v="Flagged"/>
    <s v=""/>
    <m/>
    <s v=""/>
    <s v="Flagged"/>
  </r>
  <r>
    <s v="IDPsSD10069"/>
    <x v="9"/>
    <x v="9"/>
    <s v="Al Ganab"/>
    <s v="SD10069"/>
    <n v="260"/>
    <s v="IDPs"/>
    <n v="212"/>
    <n v="3"/>
    <n v="3"/>
    <n v="127"/>
    <n v="58.768487081001005"/>
    <n v="68.231512918998988"/>
    <n v="69.850000000000009"/>
    <n v="49.53"/>
    <n v="7.62"/>
    <n v="19.05"/>
    <n v="21"/>
    <n v="2"/>
    <n v="1"/>
    <n v="1"/>
    <n v="1"/>
    <n v="3"/>
    <n v="4"/>
    <n v="3"/>
    <n v="0"/>
    <n v="0"/>
    <n v="0"/>
    <n v="0.59905660377358494"/>
    <n v="20665"/>
    <n v="22442.051967187464"/>
    <n v="4"/>
    <m/>
    <m/>
    <s v=""/>
    <s v=""/>
    <s v=""/>
    <s v=""/>
    <s v=""/>
    <m/>
    <s v=""/>
    <s v="Flagged"/>
  </r>
  <r>
    <s v="IDPsSD10070"/>
    <x v="9"/>
    <x v="9"/>
    <s v="Haya"/>
    <s v="SD10070"/>
    <n v="2335"/>
    <s v="IDPs"/>
    <n v="1630"/>
    <n v="3"/>
    <n v="3"/>
    <n v="0"/>
    <n v="0"/>
    <n v="0"/>
    <n v="0"/>
    <n v="0"/>
    <n v="0"/>
    <n v="0"/>
    <n v="0"/>
    <n v="0"/>
    <n v="0"/>
    <n v="0"/>
    <n v="0"/>
    <n v="0"/>
    <n v="0"/>
    <n v="0"/>
    <n v="0"/>
    <n v="0"/>
    <n v="0"/>
    <n v="0"/>
    <n v="0"/>
    <n v="11330.505674349923"/>
    <n v="1"/>
    <m/>
    <m/>
    <s v=""/>
    <s v=""/>
    <s v="No target"/>
    <s v="No target"/>
    <s v=""/>
    <m/>
    <s v=""/>
    <s v="Flagged"/>
  </r>
  <r>
    <s v="IDPsSD10071"/>
    <x v="9"/>
    <x v="9"/>
    <s v="Sinkat"/>
    <s v="SD10071"/>
    <n v="7264"/>
    <s v="IDPs"/>
    <n v="2646"/>
    <n v="3"/>
    <n v="3"/>
    <n v="1588"/>
    <n v="750.82005017612323"/>
    <n v="837.17994982387677"/>
    <n v="873.40000000000009"/>
    <n v="619.32000000000005"/>
    <n v="95.28"/>
    <n v="238.2"/>
    <n v="257"/>
    <n v="29"/>
    <n v="11"/>
    <n v="14"/>
    <n v="16"/>
    <n v="32"/>
    <n v="48"/>
    <n v="32"/>
    <n v="0"/>
    <n v="2"/>
    <n v="5"/>
    <n v="0.60015117157974296"/>
    <n v="7000"/>
    <n v="9117.7883782580557"/>
    <n v="2"/>
    <m/>
    <m/>
    <s v=""/>
    <s v=""/>
    <s v=""/>
    <s v=""/>
    <s v=""/>
    <m/>
    <s v=""/>
    <s v="Flagged"/>
  </r>
  <r>
    <s v="IDPsSD10072"/>
    <x v="9"/>
    <x v="9"/>
    <s v="Agig"/>
    <s v="SD10072"/>
    <n v="275"/>
    <s v="IDPs"/>
    <n v="229"/>
    <n v="4"/>
    <n v="4"/>
    <n v="23"/>
    <n v="11.014024851222207"/>
    <n v="11.985975148777793"/>
    <n v="12.65"/>
    <n v="8.9700000000000006"/>
    <n v="1.38"/>
    <n v="3.4499999999999997"/>
    <n v="4"/>
    <n v="0"/>
    <n v="0"/>
    <n v="0"/>
    <n v="0"/>
    <n v="0"/>
    <n v="1"/>
    <n v="0"/>
    <n v="0"/>
    <n v="0"/>
    <n v="0"/>
    <n v="0.10043668122270742"/>
    <n v="0"/>
    <n v="10450.671497268884"/>
    <n v="1"/>
    <m/>
    <m/>
    <s v=""/>
    <s v=""/>
    <s v="Flagged"/>
    <s v=""/>
    <s v=""/>
    <m/>
    <s v=""/>
    <s v="Flagged"/>
  </r>
  <r>
    <s v="IDPsSD11052"/>
    <x v="10"/>
    <x v="10"/>
    <s v="Halfa Aj Jadeedah"/>
    <s v="SD11052"/>
    <n v="60325"/>
    <s v="IDPs"/>
    <n v="14066"/>
    <n v="3"/>
    <n v="3"/>
    <n v="5626"/>
    <n v="2934.0197264448366"/>
    <n v="2691.9802735551634"/>
    <n v="3094.3"/>
    <n v="2194.14"/>
    <n v="337.56"/>
    <n v="843.9"/>
    <n v="911"/>
    <n v="101"/>
    <n v="38"/>
    <n v="51"/>
    <n v="56"/>
    <n v="113"/>
    <n v="169"/>
    <n v="113"/>
    <n v="0"/>
    <n v="7"/>
    <n v="17"/>
    <n v="0.39997156263330014"/>
    <n v="3865"/>
    <n v="27917.749355439064"/>
    <n v="3"/>
    <m/>
    <m/>
    <s v=""/>
    <s v=""/>
    <s v=""/>
    <s v="Flagged"/>
    <s v=""/>
    <m/>
    <s v=""/>
    <s v="Flagged"/>
  </r>
  <r>
    <s v="IDPsSD11053"/>
    <x v="10"/>
    <x v="10"/>
    <s v="Madeinat Kassala"/>
    <s v="SD11053"/>
    <n v="154013"/>
    <s v="IDPs"/>
    <n v="50308"/>
    <n v="3"/>
    <n v="3"/>
    <n v="30185"/>
    <n v="15620.237489433932"/>
    <n v="14564.762510566068"/>
    <n v="16601.75"/>
    <n v="11772.15"/>
    <n v="1811.1"/>
    <n v="4527.75"/>
    <n v="4890"/>
    <n v="543"/>
    <n v="204"/>
    <n v="272"/>
    <n v="302"/>
    <n v="604"/>
    <n v="906"/>
    <n v="604"/>
    <n v="302"/>
    <n v="38"/>
    <n v="91"/>
    <n v="0.60000397551085316"/>
    <n v="76525"/>
    <n v="37068.938317317647"/>
    <n v="7"/>
    <m/>
    <m/>
    <s v=""/>
    <s v=""/>
    <s v=""/>
    <s v=""/>
    <s v=""/>
    <m/>
    <s v=""/>
    <s v="Flagged"/>
  </r>
  <r>
    <s v="IDPsSD11054"/>
    <x v="10"/>
    <x v="10"/>
    <s v="Reifi Gharb Kassala"/>
    <s v="SD11054"/>
    <n v="20"/>
    <s v="IDPs"/>
    <n v="18"/>
    <n v="3"/>
    <n v="3"/>
    <n v="0"/>
    <n v="0"/>
    <n v="0"/>
    <n v="0"/>
    <n v="0"/>
    <n v="0"/>
    <n v="0"/>
    <n v="0"/>
    <n v="0"/>
    <n v="0"/>
    <n v="0"/>
    <n v="0"/>
    <n v="0"/>
    <n v="0"/>
    <n v="0"/>
    <n v="0"/>
    <n v="0"/>
    <n v="0"/>
    <n v="0"/>
    <n v="0"/>
    <n v="5634.1360541438671"/>
    <n v="1"/>
    <m/>
    <m/>
    <s v=""/>
    <s v=""/>
    <s v="No target"/>
    <s v="No target"/>
    <s v=""/>
    <m/>
    <s v=""/>
    <s v="Flagged"/>
  </r>
  <r>
    <s v="IDPsSD11055"/>
    <x v="10"/>
    <x v="10"/>
    <s v="Reifi Aroma"/>
    <s v="SD11055"/>
    <n v="1645"/>
    <s v="IDPs"/>
    <n v="723"/>
    <n v="3"/>
    <n v="3"/>
    <n v="434"/>
    <n v="204.80786407699134"/>
    <n v="229.19213592300864"/>
    <n v="238.70000000000002"/>
    <n v="169.26000000000002"/>
    <n v="26.04"/>
    <n v="65.099999999999994"/>
    <n v="70"/>
    <n v="8"/>
    <n v="3"/>
    <n v="4"/>
    <n v="4"/>
    <n v="9"/>
    <n v="13"/>
    <n v="9"/>
    <n v="0"/>
    <n v="1"/>
    <n v="1"/>
    <n v="0.60027662517289071"/>
    <n v="0"/>
    <n v="3381.1667726631517"/>
    <n v="1"/>
    <m/>
    <m/>
    <s v=""/>
    <s v=""/>
    <s v=""/>
    <s v="Flagged"/>
    <s v=""/>
    <m/>
    <s v=""/>
    <s v="Flagged"/>
  </r>
  <r>
    <s v="IDPsSD11056"/>
    <x v="10"/>
    <x v="10"/>
    <s v="Reifi Kassla"/>
    <s v="SD11056"/>
    <n v="4155"/>
    <s v="IDPs"/>
    <n v="3411"/>
    <n v="3"/>
    <n v="3"/>
    <n v="2047"/>
    <n v="979.27768415107403"/>
    <n v="1067.722315848926"/>
    <n v="1125.8500000000001"/>
    <n v="798.33"/>
    <n v="122.82"/>
    <n v="307.05"/>
    <n v="332"/>
    <n v="37"/>
    <n v="14"/>
    <n v="18"/>
    <n v="20"/>
    <n v="41"/>
    <n v="61"/>
    <n v="41"/>
    <n v="0"/>
    <n v="3"/>
    <n v="6"/>
    <n v="0.60011726766344176"/>
    <n v="2385"/>
    <n v="5494.8242181881415"/>
    <n v="2"/>
    <m/>
    <m/>
    <s v=""/>
    <s v=""/>
    <s v=""/>
    <s v=""/>
    <s v=""/>
    <m/>
    <s v=""/>
    <s v="Flagged"/>
  </r>
  <r>
    <s v="IDPsSD11057"/>
    <x v="10"/>
    <x v="10"/>
    <s v="Reifi Shamal Ad Delta"/>
    <s v="SD11057"/>
    <n v="5790"/>
    <s v="IDPs"/>
    <n v="871"/>
    <n v="2"/>
    <n v="3"/>
    <n v="0"/>
    <n v="0"/>
    <n v="0"/>
    <n v="0"/>
    <n v="0"/>
    <n v="0"/>
    <n v="0"/>
    <n v="0"/>
    <n v="0"/>
    <n v="0"/>
    <n v="0"/>
    <n v="0"/>
    <n v="0"/>
    <n v="0"/>
    <n v="0"/>
    <n v="0"/>
    <n v="0"/>
    <n v="0"/>
    <n v="0"/>
    <n v="0"/>
    <n v="24837.758785508064"/>
    <n v="1"/>
    <m/>
    <m/>
    <s v=""/>
    <s v=""/>
    <s v="No target"/>
    <s v="No target"/>
    <s v=""/>
    <m/>
    <s v=""/>
    <s v="Flagged"/>
  </r>
  <r>
    <s v="IDPsSD11058"/>
    <x v="10"/>
    <x v="10"/>
    <s v="Reifi Hamashkureib"/>
    <s v="SD11058"/>
    <n v="745"/>
    <s v="IDPs"/>
    <n v="380"/>
    <n v="3"/>
    <n v="4"/>
    <n v="19"/>
    <n v="7.8116024501592092"/>
    <n v="11.188397549840792"/>
    <n v="10.450000000000001"/>
    <n v="7.41"/>
    <n v="1.1399999999999999"/>
    <n v="2.85"/>
    <n v="3"/>
    <n v="0"/>
    <n v="0"/>
    <n v="0"/>
    <n v="0"/>
    <n v="0"/>
    <n v="1"/>
    <n v="0"/>
    <n v="0"/>
    <n v="0"/>
    <n v="0"/>
    <n v="0.05"/>
    <n v="0"/>
    <n v="43378.508395787845"/>
    <n v="1"/>
    <m/>
    <m/>
    <s v=""/>
    <s v=""/>
    <s v="Flagged"/>
    <s v=""/>
    <s v=""/>
    <m/>
    <s v=""/>
    <s v="Flagged"/>
  </r>
  <r>
    <s v="IDPsSD11059"/>
    <x v="10"/>
    <x v="10"/>
    <s v="Reifi Telkok"/>
    <s v="SD11059"/>
    <n v="3585"/>
    <s v="IDPs"/>
    <n v="2167"/>
    <n v="3"/>
    <n v="3"/>
    <n v="0"/>
    <n v="0"/>
    <n v="0"/>
    <n v="0"/>
    <n v="0"/>
    <n v="0"/>
    <n v="0"/>
    <n v="0"/>
    <n v="0"/>
    <n v="0"/>
    <n v="0"/>
    <n v="0"/>
    <n v="0"/>
    <n v="0"/>
    <n v="0"/>
    <n v="0"/>
    <n v="0"/>
    <n v="0"/>
    <n v="0"/>
    <n v="0"/>
    <n v="20506.81644271233"/>
    <n v="1"/>
    <m/>
    <m/>
    <s v=""/>
    <s v=""/>
    <s v="No target"/>
    <s v="No target"/>
    <s v=""/>
    <m/>
    <s v=""/>
    <s v="Flagged"/>
  </r>
  <r>
    <s v="IDPsSD11060"/>
    <x v="10"/>
    <x v="10"/>
    <s v="Reifi Khashm Elgirba"/>
    <s v="SD11060"/>
    <n v="8209"/>
    <s v="IDPs"/>
    <n v="1146"/>
    <n v="2"/>
    <n v="3"/>
    <n v="0"/>
    <n v="0"/>
    <n v="0"/>
    <n v="0"/>
    <n v="0"/>
    <n v="0"/>
    <n v="0"/>
    <n v="0"/>
    <n v="0"/>
    <n v="0"/>
    <n v="0"/>
    <n v="0"/>
    <n v="0"/>
    <n v="0"/>
    <n v="0"/>
    <n v="0"/>
    <n v="0"/>
    <n v="0"/>
    <n v="0"/>
    <n v="16880"/>
    <n v="7254.4925723502201"/>
    <n v="5"/>
    <m/>
    <m/>
    <s v=""/>
    <s v=""/>
    <s v="No target"/>
    <s v="No target"/>
    <s v=""/>
    <m/>
    <s v=""/>
    <s v="Flagged"/>
  </r>
  <r>
    <s v="IDPsSD11061"/>
    <x v="10"/>
    <x v="10"/>
    <s v="Reifi Wad Elhilaiw"/>
    <s v="SD11061"/>
    <n v="0"/>
    <s v="IDPs"/>
    <n v="0"/>
    <n v="3"/>
    <n v="3"/>
    <n v="0"/>
    <n v="0"/>
    <n v="0"/>
    <n v="0"/>
    <n v="0"/>
    <n v="0"/>
    <n v="0"/>
    <n v="0"/>
    <n v="0"/>
    <n v="0"/>
    <n v="0"/>
    <n v="0"/>
    <n v="0"/>
    <n v="0"/>
    <n v="0"/>
    <n v="0"/>
    <n v="0"/>
    <n v="0"/>
    <n v="0"/>
    <n v="2665"/>
    <n v="23622.20592177962"/>
    <n v="4"/>
    <m/>
    <m/>
    <s v=""/>
    <s v=""/>
    <s v="No target"/>
    <s v="No target"/>
    <s v=""/>
    <m/>
    <s v=""/>
    <s v="Flagged"/>
  </r>
  <r>
    <s v="IDPsSD11062"/>
    <x v="10"/>
    <x v="10"/>
    <s v="Reifi Nahr Atbara"/>
    <s v="SD11062"/>
    <n v="4067"/>
    <s v="IDPs"/>
    <n v="3506"/>
    <n v="4"/>
    <n v="3"/>
    <n v="1402"/>
    <n v="730.24567819630124"/>
    <n v="671.75432180369864"/>
    <n v="771.1"/>
    <n v="546.78"/>
    <n v="84.11999999999999"/>
    <n v="210.29999999999998"/>
    <n v="227"/>
    <n v="25"/>
    <n v="9"/>
    <n v="13"/>
    <n v="14"/>
    <n v="28"/>
    <n v="42"/>
    <n v="28"/>
    <n v="0"/>
    <n v="2"/>
    <n v="4"/>
    <n v="0.39988590986879635"/>
    <n v="0"/>
    <n v="19047.182390987684"/>
    <n v="1"/>
    <m/>
    <m/>
    <s v=""/>
    <s v=""/>
    <s v=""/>
    <s v="Flagged"/>
    <s v=""/>
    <m/>
    <s v=""/>
    <s v="Flagged"/>
  </r>
  <r>
    <s v="IDPsSD12073"/>
    <x v="11"/>
    <x v="11"/>
    <s v="Al Butanah"/>
    <s v="SD12073"/>
    <n v="20155"/>
    <s v="IDPs"/>
    <n v="5507"/>
    <n v="3"/>
    <n v="3"/>
    <n v="275"/>
    <n v="135.70110641799585"/>
    <n v="139.29889358200415"/>
    <n v="151.25"/>
    <n v="107.25"/>
    <n v="16.5"/>
    <n v="41.25"/>
    <n v="45"/>
    <n v="5"/>
    <n v="2"/>
    <n v="2"/>
    <n v="3"/>
    <n v="6"/>
    <n v="8"/>
    <n v="6"/>
    <n v="0"/>
    <n v="0"/>
    <n v="1"/>
    <n v="4.9936444525149809E-2"/>
    <n v="0"/>
    <n v="15909.240381099695"/>
    <n v="2"/>
    <m/>
    <m/>
    <s v=""/>
    <s v=""/>
    <s v=""/>
    <s v="Flagged"/>
    <s v=""/>
    <m/>
    <s v=""/>
    <s v="Flagged"/>
  </r>
  <r>
    <s v="IDPsSD12074"/>
    <x v="11"/>
    <x v="11"/>
    <s v="Al Fao"/>
    <s v="SD12074"/>
    <n v="79702"/>
    <s v="IDPs"/>
    <n v="18146"/>
    <n v="3"/>
    <n v="3"/>
    <n v="7258"/>
    <n v="3755.6330266276314"/>
    <n v="3502.3669733723686"/>
    <n v="3991.9000000000005"/>
    <n v="2830.62"/>
    <n v="435.47999999999996"/>
    <n v="1088.7"/>
    <n v="1176"/>
    <n v="131"/>
    <n v="49"/>
    <n v="65"/>
    <n v="73"/>
    <n v="145"/>
    <n v="218"/>
    <n v="145"/>
    <n v="0"/>
    <n v="9"/>
    <n v="22"/>
    <n v="0.39997795657445168"/>
    <n v="3000"/>
    <n v="55940.2680629186"/>
    <n v="2"/>
    <m/>
    <m/>
    <s v=""/>
    <s v=""/>
    <s v=""/>
    <s v="Flagged"/>
    <s v=""/>
    <m/>
    <s v=""/>
    <s v="Flagged"/>
  </r>
  <r>
    <s v="IDPsSD12075"/>
    <x v="11"/>
    <x v="11"/>
    <s v="Al Fashaga"/>
    <s v="SD12075"/>
    <n v="53678"/>
    <s v="IDPs"/>
    <n v="21607"/>
    <n v="3"/>
    <n v="4"/>
    <n v="8643"/>
    <n v="4586.4966371027349"/>
    <n v="4056.5033628972656"/>
    <n v="4753.6500000000005"/>
    <n v="3370.77"/>
    <n v="518.57999999999993"/>
    <n v="1296.45"/>
    <n v="1400"/>
    <n v="156"/>
    <n v="58"/>
    <n v="78"/>
    <n v="86"/>
    <n v="173"/>
    <n v="259"/>
    <n v="173"/>
    <n v="0"/>
    <n v="11"/>
    <n v="26"/>
    <n v="0.40000925625954553"/>
    <n v="3375"/>
    <n v="21025.239176514784"/>
    <n v="3"/>
    <m/>
    <m/>
    <s v=""/>
    <s v=""/>
    <s v="Flagged"/>
    <s v=""/>
    <s v=""/>
    <m/>
    <s v=""/>
    <s v="Flagged"/>
  </r>
  <r>
    <s v="IDPsSD12076"/>
    <x v="11"/>
    <x v="11"/>
    <s v="Al Qureisha"/>
    <s v="SD12076"/>
    <n v="57710"/>
    <s v="IDPs"/>
    <n v="2069"/>
    <n v="3"/>
    <n v="3"/>
    <n v="1241"/>
    <n v="650.8162646815847"/>
    <n v="590.1837353184153"/>
    <n v="682.55000000000007"/>
    <n v="483.99"/>
    <n v="74.459999999999994"/>
    <n v="186.15"/>
    <n v="201"/>
    <n v="22"/>
    <n v="8"/>
    <n v="11"/>
    <n v="12"/>
    <n v="25"/>
    <n v="37"/>
    <n v="25"/>
    <n v="0"/>
    <n v="2"/>
    <n v="4"/>
    <n v="0.59980666988883513"/>
    <n v="2795"/>
    <n v="13395.917832423032"/>
    <n v="2"/>
    <m/>
    <m/>
    <s v=""/>
    <s v=""/>
    <s v=""/>
    <s v=""/>
    <s v=""/>
    <m/>
    <s v=""/>
    <s v="Flagged"/>
  </r>
  <r>
    <s v="IDPsSD12077"/>
    <x v="11"/>
    <x v="11"/>
    <s v="Basundah"/>
    <s v="SD12077"/>
    <n v="51406"/>
    <s v="IDPs"/>
    <n v="35836"/>
    <n v="3"/>
    <n v="3"/>
    <n v="21502"/>
    <n v="11208.687548643848"/>
    <n v="10293.312451356154"/>
    <n v="11826.1"/>
    <n v="8385.7800000000007"/>
    <n v="1290.1199999999999"/>
    <n v="3225.2999999999997"/>
    <n v="3483"/>
    <n v="387"/>
    <n v="145"/>
    <n v="194"/>
    <n v="215"/>
    <n v="430"/>
    <n v="645"/>
    <n v="430"/>
    <n v="0"/>
    <n v="27"/>
    <n v="65"/>
    <n v="0.60001116196004023"/>
    <n v="0"/>
    <n v="19098.282429176365"/>
    <n v="2"/>
    <m/>
    <m/>
    <s v=""/>
    <s v=""/>
    <s v=""/>
    <s v="Flagged"/>
    <s v=""/>
    <m/>
    <s v=""/>
    <s v="Flagged"/>
  </r>
  <r>
    <s v="IDPsSD12078"/>
    <x v="11"/>
    <x v="11"/>
    <s v="Al Galabat Al Gharbyah - Kassab"/>
    <s v="SD12078"/>
    <n v="18585"/>
    <s v="IDPs"/>
    <n v="4160"/>
    <n v="3"/>
    <n v="4"/>
    <n v="1664"/>
    <n v="861.7486466296217"/>
    <n v="802.2513533703783"/>
    <n v="915.2"/>
    <n v="648.96"/>
    <n v="99.84"/>
    <n v="249.6"/>
    <n v="270"/>
    <n v="30"/>
    <n v="11"/>
    <n v="15"/>
    <n v="17"/>
    <n v="33"/>
    <n v="50"/>
    <n v="33"/>
    <n v="0"/>
    <n v="2"/>
    <n v="5"/>
    <n v="0.4"/>
    <n v="11635"/>
    <n v="28003.391877542992"/>
    <n v="7"/>
    <m/>
    <m/>
    <s v=""/>
    <s v=""/>
    <s v=""/>
    <s v=""/>
    <s v=""/>
    <m/>
    <s v=""/>
    <s v="Flagged"/>
  </r>
  <r>
    <s v="IDPsSD12079"/>
    <x v="11"/>
    <x v="11"/>
    <s v="Gala'a Al Nahal"/>
    <s v="SD12079"/>
    <n v="12202"/>
    <s v="IDPs"/>
    <n v="3815"/>
    <n v="3"/>
    <n v="3"/>
    <n v="2289"/>
    <n v="1198.8692535364216"/>
    <n v="1090.1307464635781"/>
    <n v="1258.95"/>
    <n v="892.71"/>
    <n v="137.34"/>
    <n v="343.34999999999997"/>
    <n v="371"/>
    <n v="41"/>
    <n v="15"/>
    <n v="21"/>
    <n v="23"/>
    <n v="46"/>
    <n v="69"/>
    <n v="46"/>
    <n v="0"/>
    <n v="3"/>
    <n v="7"/>
    <n v="0.6"/>
    <n v="3845"/>
    <n v="14707.961271055237"/>
    <n v="2"/>
    <m/>
    <m/>
    <s v=""/>
    <s v=""/>
    <s v=""/>
    <s v=""/>
    <s v=""/>
    <m/>
    <s v=""/>
    <s v="Flagged"/>
  </r>
  <r>
    <s v="IDPsSD12080"/>
    <x v="11"/>
    <x v="11"/>
    <s v="Madeinat Al Gedaref"/>
    <s v="SD12080"/>
    <n v="133964"/>
    <s v="IDPs"/>
    <n v="31254"/>
    <n v="3"/>
    <n v="3"/>
    <n v="18752"/>
    <n v="9612.3410297887476"/>
    <n v="9139.6589702112542"/>
    <n v="10313.6"/>
    <n v="7313.2800000000007"/>
    <n v="1125.1199999999999"/>
    <n v="2812.7999999999997"/>
    <n v="3038"/>
    <n v="338"/>
    <n v="127"/>
    <n v="169"/>
    <n v="188"/>
    <n v="375"/>
    <n v="563"/>
    <n v="375"/>
    <n v="0"/>
    <n v="23"/>
    <n v="56"/>
    <n v="0.5999872016381903"/>
    <n v="67140"/>
    <n v="31493.324653278134"/>
    <n v="10"/>
    <m/>
    <m/>
    <s v=""/>
    <s v=""/>
    <s v=""/>
    <s v=""/>
    <s v=""/>
    <m/>
    <s v=""/>
    <s v="Flagged"/>
  </r>
  <r>
    <s v="IDPsSD12081"/>
    <x v="11"/>
    <x v="11"/>
    <s v="Wasat Al Gedaref"/>
    <s v="SD12081"/>
    <n v="25648"/>
    <s v="IDPs"/>
    <n v="4888"/>
    <n v="3"/>
    <n v="3"/>
    <n v="1955"/>
    <n v="997.42081121029196"/>
    <n v="957.57918878970804"/>
    <n v="1075.25"/>
    <n v="762.45"/>
    <n v="117.3"/>
    <n v="293.25"/>
    <n v="317"/>
    <n v="35"/>
    <n v="13"/>
    <n v="18"/>
    <n v="20"/>
    <n v="39"/>
    <n v="59"/>
    <n v="39"/>
    <n v="0"/>
    <n v="2"/>
    <n v="6"/>
    <n v="0.39995908346972175"/>
    <n v="24540"/>
    <n v="33861.625864525478"/>
    <n v="5"/>
    <m/>
    <m/>
    <s v=""/>
    <s v=""/>
    <s v=""/>
    <s v=""/>
    <s v=""/>
    <m/>
    <s v=""/>
    <s v="Flagged"/>
  </r>
  <r>
    <s v="IDPsSD12082"/>
    <x v="11"/>
    <x v="11"/>
    <s v="Al Mafaza"/>
    <s v="SD12082"/>
    <n v="97820"/>
    <s v="IDPs"/>
    <n v="41227"/>
    <n v="3"/>
    <n v="3"/>
    <n v="24736"/>
    <n v="12970.588201204837"/>
    <n v="11765.411798795163"/>
    <n v="13604.800000000001"/>
    <n v="9647.0400000000009"/>
    <n v="1484.1599999999999"/>
    <n v="3710.3999999999996"/>
    <n v="4007"/>
    <n v="445"/>
    <n v="167"/>
    <n v="223"/>
    <n v="247"/>
    <n v="495"/>
    <n v="742"/>
    <n v="495"/>
    <n v="0"/>
    <n v="31"/>
    <n v="74"/>
    <n v="0.59999514881024574"/>
    <n v="16000"/>
    <n v="4696.6359121795149"/>
    <n v="6"/>
    <m/>
    <m/>
    <s v=""/>
    <s v=""/>
    <s v=""/>
    <s v="Flagged"/>
    <s v=""/>
    <m/>
    <s v=""/>
    <s v="Flagged"/>
  </r>
  <r>
    <s v="IDPsSD12083"/>
    <x v="11"/>
    <x v="11"/>
    <s v="Galabat Ash-Shargiah"/>
    <s v="SD12083"/>
    <n v="53565"/>
    <s v="IDPs"/>
    <n v="2523"/>
    <n v="3"/>
    <n v="3"/>
    <n v="505"/>
    <n v="261.77286382504519"/>
    <n v="243.22713617495484"/>
    <n v="277.75"/>
    <n v="196.95000000000002"/>
    <n v="30.299999999999997"/>
    <n v="75.75"/>
    <n v="82"/>
    <n v="9"/>
    <n v="3"/>
    <n v="5"/>
    <n v="5"/>
    <n v="10"/>
    <n v="15"/>
    <n v="10"/>
    <n v="0"/>
    <n v="1"/>
    <n v="2"/>
    <n v="0.20015854141894571"/>
    <n v="10455"/>
    <n v="24487.19539502931"/>
    <n v="2"/>
    <m/>
    <m/>
    <s v=""/>
    <s v=""/>
    <s v=""/>
    <s v=""/>
    <s v=""/>
    <m/>
    <s v=""/>
    <s v="Flagged"/>
  </r>
  <r>
    <s v="IDPsSD12084"/>
    <x v="11"/>
    <x v="11"/>
    <s v="Ar Rahad"/>
    <s v="SD12084"/>
    <n v="64220"/>
    <s v="IDPs"/>
    <n v="37841"/>
    <n v="3"/>
    <n v="3"/>
    <n v="15136"/>
    <n v="7841.0461685055461"/>
    <n v="7294.953831494453"/>
    <n v="8324.8000000000011"/>
    <n v="5903.04"/>
    <n v="908.16"/>
    <n v="2270.4"/>
    <n v="2452"/>
    <n v="272"/>
    <n v="102"/>
    <n v="136"/>
    <n v="151"/>
    <n v="303"/>
    <n v="454"/>
    <n v="303"/>
    <n v="0"/>
    <n v="19"/>
    <n v="45"/>
    <n v="0.39998942945482413"/>
    <n v="1335"/>
    <n v="7999.0115645070509"/>
    <n v="2"/>
    <m/>
    <m/>
    <s v=""/>
    <s v=""/>
    <s v=""/>
    <s v="Flagged"/>
    <s v=""/>
    <m/>
    <s v=""/>
    <s v="Flagged"/>
  </r>
  <r>
    <s v="IDPsSD13023"/>
    <x v="12"/>
    <x v="12"/>
    <s v="Um Rawaba"/>
    <s v="SD13023"/>
    <n v="41575"/>
    <s v="IDPs"/>
    <n v="22085"/>
    <n v="3"/>
    <n v="4"/>
    <n v="1104"/>
    <n v="585.81051881752342"/>
    <n v="518.18948118247658"/>
    <n v="607.20000000000005"/>
    <n v="430.56"/>
    <n v="66.239999999999995"/>
    <n v="165.6"/>
    <n v="179"/>
    <n v="20"/>
    <n v="7"/>
    <n v="10"/>
    <n v="11"/>
    <n v="22"/>
    <n v="33"/>
    <n v="22"/>
    <n v="0"/>
    <n v="1"/>
    <n v="3"/>
    <n v="4.9988680099615122E-2"/>
    <n v="0"/>
    <n v="321.44493296341682"/>
    <n v="1"/>
    <m/>
    <m/>
    <s v=""/>
    <s v=""/>
    <s v=""/>
    <s v=""/>
    <s v=""/>
    <m/>
    <s v="Yes"/>
    <s v="Ok"/>
  </r>
  <r>
    <s v="IDPsSD13024"/>
    <x v="12"/>
    <x v="12"/>
    <s v="Sheikan"/>
    <s v="SD13024"/>
    <n v="45562"/>
    <s v="IDPs"/>
    <n v="20879"/>
    <n v="3"/>
    <n v="4"/>
    <n v="8352"/>
    <n v="4301.2675501820586"/>
    <n v="4050.732449817941"/>
    <n v="4593.6000000000004"/>
    <n v="3257.28"/>
    <n v="501.12"/>
    <n v="1252.8"/>
    <n v="1353"/>
    <n v="150"/>
    <n v="56"/>
    <n v="75"/>
    <n v="84"/>
    <n v="167"/>
    <n v="251"/>
    <n v="167"/>
    <n v="0"/>
    <n v="10"/>
    <n v="25"/>
    <n v="0.40001915800565163"/>
    <n v="9755"/>
    <n v="12921.74373504094"/>
    <n v="2"/>
    <m/>
    <m/>
    <s v=""/>
    <s v=""/>
    <s v=""/>
    <s v=""/>
    <s v="Yes"/>
    <m/>
    <s v=""/>
    <s v="Ok"/>
  </r>
  <r>
    <s v="IDPsSD13025"/>
    <x v="12"/>
    <x v="12"/>
    <s v="Soudari"/>
    <s v="SD13025"/>
    <n v="3968"/>
    <s v="IDPs"/>
    <n v="1615"/>
    <n v="3"/>
    <n v="3"/>
    <n v="0"/>
    <n v="0"/>
    <n v="0"/>
    <n v="0"/>
    <n v="0"/>
    <n v="0"/>
    <n v="0"/>
    <n v="0"/>
    <n v="0"/>
    <n v="0"/>
    <n v="0"/>
    <n v="0"/>
    <n v="0"/>
    <n v="0"/>
    <n v="0"/>
    <n v="0"/>
    <n v="0"/>
    <n v="0"/>
    <n v="0"/>
    <n v="0"/>
    <n v="392.52822630967864"/>
    <n v="1"/>
    <m/>
    <m/>
    <s v=""/>
    <s v=""/>
    <s v="No target"/>
    <s v="No target"/>
    <s v=""/>
    <m/>
    <s v=""/>
    <s v="Flagged"/>
  </r>
  <r>
    <s v="IDPsSD13026"/>
    <x v="12"/>
    <x v="12"/>
    <s v="Bara"/>
    <s v="SD13026"/>
    <n v="32914"/>
    <s v="IDPs"/>
    <n v="15093"/>
    <n v="3"/>
    <n v="4"/>
    <n v="755"/>
    <n v="402.91490054945871"/>
    <n v="352.08509945054135"/>
    <n v="415.25000000000006"/>
    <n v="294.45"/>
    <n v="45.3"/>
    <n v="113.25"/>
    <n v="122"/>
    <n v="14"/>
    <n v="5"/>
    <n v="7"/>
    <n v="8"/>
    <n v="15"/>
    <n v="23"/>
    <n v="15"/>
    <n v="0"/>
    <n v="1"/>
    <n v="2"/>
    <n v="5.0023189558073278E-2"/>
    <n v="0"/>
    <n v="5709.5014735953255"/>
    <n v="1"/>
    <m/>
    <m/>
    <s v=""/>
    <s v=""/>
    <s v="Flagged"/>
    <s v=""/>
    <s v=""/>
    <m/>
    <s v=""/>
    <s v="Flagged"/>
  </r>
  <r>
    <s v="IDPsSD13027"/>
    <x v="12"/>
    <x v="12"/>
    <s v="Gebrat Al Sheikh"/>
    <s v="SD13027"/>
    <n v="7418"/>
    <s v="IDPs"/>
    <n v="4567"/>
    <n v="3"/>
    <n v="3"/>
    <n v="0"/>
    <n v="0"/>
    <n v="0"/>
    <n v="0"/>
    <n v="0"/>
    <n v="0"/>
    <n v="0"/>
    <n v="0"/>
    <n v="0"/>
    <n v="0"/>
    <n v="0"/>
    <n v="0"/>
    <n v="0"/>
    <n v="0"/>
    <n v="0"/>
    <n v="0"/>
    <n v="0"/>
    <n v="0"/>
    <n v="0"/>
    <n v="0"/>
    <n v="0"/>
    <n v="1"/>
    <m/>
    <m/>
    <s v=""/>
    <s v=""/>
    <s v="No target"/>
    <s v="No target"/>
    <s v=""/>
    <m/>
    <s v=""/>
    <s v="Flagged"/>
  </r>
  <r>
    <s v="IDPsSD13028"/>
    <x v="12"/>
    <x v="12"/>
    <s v="Um Dam Haj Ahmed"/>
    <s v="SD13028"/>
    <n v="15156"/>
    <s v="IDPs"/>
    <n v="4374"/>
    <n v="3"/>
    <n v="4"/>
    <n v="219"/>
    <n v="118.57922825670339"/>
    <n v="100.42077174329661"/>
    <n v="120.45"/>
    <n v="85.41"/>
    <n v="13.139999999999999"/>
    <n v="32.85"/>
    <n v="35"/>
    <n v="4"/>
    <n v="1"/>
    <n v="2"/>
    <n v="2"/>
    <n v="4"/>
    <n v="7"/>
    <n v="4"/>
    <n v="0"/>
    <n v="0"/>
    <n v="1"/>
    <n v="5.0068587105624146E-2"/>
    <n v="0"/>
    <n v="6660.1334689489468"/>
    <n v="1"/>
    <m/>
    <m/>
    <s v=""/>
    <s v=""/>
    <s v="Flagged"/>
    <s v=""/>
    <s v=""/>
    <m/>
    <s v=""/>
    <s v="Flagged"/>
  </r>
  <r>
    <s v="IDPsSD13029"/>
    <x v="12"/>
    <x v="12"/>
    <s v="Gharb Bara"/>
    <s v="SD13029"/>
    <n v="8097"/>
    <s v="IDPs"/>
    <n v="2508"/>
    <n v="3"/>
    <n v="4"/>
    <n v="125"/>
    <n v="66.811636914786135"/>
    <n v="58.188363085213879"/>
    <n v="68.75"/>
    <n v="48.75"/>
    <n v="7.5"/>
    <n v="18.75"/>
    <n v="20"/>
    <n v="2"/>
    <n v="1"/>
    <n v="1"/>
    <n v="1"/>
    <n v="3"/>
    <n v="4"/>
    <n v="3"/>
    <n v="0"/>
    <n v="0"/>
    <n v="0"/>
    <n v="4.9840510366826157E-2"/>
    <n v="0"/>
    <n v="351.13434062611253"/>
    <n v="1"/>
    <m/>
    <m/>
    <s v=""/>
    <s v=""/>
    <s v="Flagged"/>
    <s v=""/>
    <s v=""/>
    <m/>
    <s v=""/>
    <s v="Flagged"/>
  </r>
  <r>
    <s v="IDPsSD13030"/>
    <x v="12"/>
    <x v="12"/>
    <s v="Ar Rahad"/>
    <s v="SD13030"/>
    <n v="42037"/>
    <s v="IDPs"/>
    <n v="17668"/>
    <n v="3"/>
    <n v="5"/>
    <n v="1059.5999999999999"/>
    <n v="561.96708138822578"/>
    <n v="497.63291861177413"/>
    <n v="582.78"/>
    <n v="413.24399999999997"/>
    <n v="63.575999999999993"/>
    <n v="158.93999999999997"/>
    <n v="172"/>
    <n v="19"/>
    <n v="7"/>
    <n v="10"/>
    <n v="11"/>
    <n v="21"/>
    <n v="32"/>
    <n v="21"/>
    <n v="0"/>
    <n v="1"/>
    <n v="3"/>
    <n v="5.997283223907629E-2"/>
    <n v="0"/>
    <n v="10534.030218783375"/>
    <n v="0"/>
    <m/>
    <m/>
    <s v=""/>
    <s v=""/>
    <s v=""/>
    <s v=""/>
    <s v=""/>
    <m/>
    <s v=""/>
    <s v="Ok"/>
  </r>
  <r>
    <s v="IDPsSD14037"/>
    <x v="13"/>
    <x v="13"/>
    <s v="Abu Hujar"/>
    <s v="SD14037"/>
    <n v="50273"/>
    <s v="IDPs"/>
    <n v="2289"/>
    <n v="3"/>
    <n v="3"/>
    <n v="114"/>
    <n v="58.431553195113267"/>
    <n v="55.568446804886733"/>
    <n v="62.7"/>
    <n v="44.46"/>
    <n v="6.84"/>
    <n v="17.099999999999998"/>
    <n v="18"/>
    <n v="2"/>
    <n v="1"/>
    <n v="1"/>
    <n v="1"/>
    <n v="2"/>
    <n v="3"/>
    <n v="2"/>
    <n v="0"/>
    <n v="0"/>
    <n v="0"/>
    <n v="4.9803407601572737E-2"/>
    <n v="5365"/>
    <n v="28262.03229429686"/>
    <n v="3"/>
    <m/>
    <m/>
    <s v=""/>
    <s v=""/>
    <s v=""/>
    <s v=""/>
    <s v=""/>
    <m/>
    <s v=""/>
    <s v="Flagged"/>
  </r>
  <r>
    <s v="IDPsSD14038"/>
    <x v="13"/>
    <x v="13"/>
    <s v="Sennar"/>
    <s v="SD14038"/>
    <n v="146662"/>
    <s v="IDPs"/>
    <n v="26711"/>
    <n v="4"/>
    <n v="4"/>
    <n v="2671"/>
    <n v="1405.3415306834154"/>
    <n v="1265.6584693165846"/>
    <n v="1469.0500000000002"/>
    <n v="1041.69"/>
    <n v="160.26"/>
    <n v="400.65"/>
    <n v="433"/>
    <n v="48"/>
    <n v="18"/>
    <n v="24"/>
    <n v="27"/>
    <n v="53"/>
    <n v="80"/>
    <n v="53"/>
    <n v="0"/>
    <n v="3"/>
    <n v="8"/>
    <n v="9.9996256224027552E-2"/>
    <n v="28975"/>
    <n v="55327.924029875503"/>
    <n v="4"/>
    <m/>
    <m/>
    <s v=""/>
    <s v=""/>
    <s v=""/>
    <s v=""/>
    <s v=""/>
    <m/>
    <s v=""/>
    <s v="Flagged"/>
  </r>
  <r>
    <s v="IDPsSD14039"/>
    <x v="13"/>
    <x v="13"/>
    <s v="Ad Dali"/>
    <s v="SD14039"/>
    <n v="64062"/>
    <s v="IDPs"/>
    <n v="5834"/>
    <n v="3"/>
    <n v="4"/>
    <n v="292"/>
    <n v="150.73252590438102"/>
    <n v="141.26747409561898"/>
    <n v="160.60000000000002"/>
    <n v="113.88000000000001"/>
    <n v="17.52"/>
    <n v="43.8"/>
    <n v="47"/>
    <n v="5"/>
    <n v="2"/>
    <n v="3"/>
    <n v="3"/>
    <n v="6"/>
    <n v="9"/>
    <n v="6"/>
    <n v="0"/>
    <n v="0"/>
    <n v="1"/>
    <n v="5.0051422694549194E-2"/>
    <n v="4800"/>
    <n v="21410.630525982469"/>
    <n v="2"/>
    <m/>
    <m/>
    <s v=""/>
    <s v=""/>
    <s v=""/>
    <s v=""/>
    <s v=""/>
    <m/>
    <s v=""/>
    <s v="Flagged"/>
  </r>
  <r>
    <s v="IDPsSD14040"/>
    <x v="13"/>
    <x v="13"/>
    <s v="Ad Dinder"/>
    <s v="SD14040"/>
    <n v="65160"/>
    <s v="IDPs"/>
    <n v="5934"/>
    <n v="3"/>
    <n v="3"/>
    <n v="297"/>
    <n v="154.71641149242694"/>
    <n v="142.28358850757306"/>
    <n v="163.35000000000002"/>
    <n v="115.83"/>
    <n v="17.82"/>
    <n v="44.55"/>
    <n v="48"/>
    <n v="5"/>
    <n v="2"/>
    <n v="3"/>
    <n v="3"/>
    <n v="6"/>
    <n v="9"/>
    <n v="6"/>
    <n v="0"/>
    <n v="0"/>
    <n v="1"/>
    <n v="5.0050556117290194E-2"/>
    <n v="3335"/>
    <n v="21410.630525982469"/>
    <n v="2"/>
    <m/>
    <m/>
    <s v=""/>
    <s v=""/>
    <s v=""/>
    <s v=""/>
    <s v=""/>
    <m/>
    <s v=""/>
    <s v="Flagged"/>
  </r>
  <r>
    <s v="IDPsSD14041"/>
    <x v="13"/>
    <x v="13"/>
    <s v="As Suki"/>
    <s v="SD14041"/>
    <n v="76275"/>
    <s v="IDPs"/>
    <n v="6946"/>
    <n v="3"/>
    <n v="3"/>
    <n v="347"/>
    <n v="183.25374188959961"/>
    <n v="163.74625811040042"/>
    <n v="190.85000000000002"/>
    <n v="135.33000000000001"/>
    <n v="20.82"/>
    <n v="52.05"/>
    <n v="56"/>
    <n v="6"/>
    <n v="2"/>
    <n v="3"/>
    <n v="3"/>
    <n v="7"/>
    <n v="10"/>
    <n v="7"/>
    <n v="0"/>
    <n v="0"/>
    <n v="1"/>
    <n v="4.9956809674632882E-2"/>
    <n v="6000"/>
    <n v="9231.1219825089229"/>
    <n v="3"/>
    <m/>
    <m/>
    <s v=""/>
    <s v=""/>
    <s v=""/>
    <s v=""/>
    <s v=""/>
    <m/>
    <s v=""/>
    <s v="Flagged"/>
  </r>
  <r>
    <s v="IDPsSD14042"/>
    <x v="13"/>
    <x v="13"/>
    <s v="Sharg Sennar"/>
    <s v="SD14042"/>
    <n v="56261"/>
    <s v="IDPs"/>
    <n v="5123"/>
    <n v="3"/>
    <n v="3"/>
    <n v="0"/>
    <n v="0"/>
    <n v="0"/>
    <n v="0"/>
    <n v="0"/>
    <n v="0"/>
    <n v="0"/>
    <n v="0"/>
    <n v="0"/>
    <n v="0"/>
    <n v="0"/>
    <n v="0"/>
    <n v="0"/>
    <n v="0"/>
    <n v="0"/>
    <n v="0"/>
    <n v="0"/>
    <n v="0"/>
    <n v="0"/>
    <n v="0"/>
    <n v="57145.543823994572"/>
    <n v="1"/>
    <m/>
    <m/>
    <s v=""/>
    <s v=""/>
    <s v="No target"/>
    <s v="No target"/>
    <s v=""/>
    <m/>
    <s v=""/>
    <s v="Flagged"/>
  </r>
  <r>
    <s v="IDPsSD14043"/>
    <x v="13"/>
    <x v="13"/>
    <s v="Sinja"/>
    <s v="SD14043"/>
    <n v="76117"/>
    <s v="IDPs"/>
    <n v="6932"/>
    <n v="3"/>
    <n v="3"/>
    <n v="347"/>
    <n v="178.97611367441101"/>
    <n v="168.02388632558899"/>
    <n v="190.85000000000002"/>
    <n v="135.33000000000001"/>
    <n v="20.82"/>
    <n v="52.05"/>
    <n v="56"/>
    <n v="6"/>
    <n v="2"/>
    <n v="3"/>
    <n v="3"/>
    <n v="7"/>
    <n v="10"/>
    <n v="7"/>
    <n v="0"/>
    <n v="0"/>
    <n v="1"/>
    <n v="5.0057703404500865E-2"/>
    <n v="10225"/>
    <n v="9620.5099830081235"/>
    <n v="3"/>
    <m/>
    <m/>
    <s v=""/>
    <s v=""/>
    <s v=""/>
    <s v=""/>
    <s v=""/>
    <m/>
    <s v=""/>
    <s v="Flagged"/>
  </r>
  <r>
    <s v="IDPsSD15030"/>
    <x v="14"/>
    <x v="14"/>
    <s v="Medani Al Kubra"/>
    <s v="SD15030"/>
    <n v="20005"/>
    <s v="IDPs"/>
    <n v="5466"/>
    <n v="4"/>
    <n v="4"/>
    <n v="547"/>
    <n v="277.22877702316578"/>
    <n v="269.77122297683422"/>
    <n v="300.85000000000002"/>
    <n v="213.33"/>
    <n v="32.82"/>
    <n v="82.05"/>
    <n v="89"/>
    <n v="10"/>
    <n v="4"/>
    <n v="5"/>
    <n v="5"/>
    <n v="11"/>
    <n v="16"/>
    <n v="11"/>
    <n v="0"/>
    <n v="1"/>
    <n v="2"/>
    <n v="0.10007317965605561"/>
    <n v="0"/>
    <n v="692.84800382079277"/>
    <n v="1"/>
    <m/>
    <m/>
    <s v=""/>
    <s v=""/>
    <s v=""/>
    <s v=""/>
    <s v="Yes"/>
    <m/>
    <s v=""/>
    <s v="Ok"/>
  </r>
  <r>
    <s v="IDPsSD15031"/>
    <x v="14"/>
    <x v="14"/>
    <s v="Janub Aj Jazirah"/>
    <s v="SD15031"/>
    <n v="25521"/>
    <s v="IDPs"/>
    <n v="5810"/>
    <n v="4"/>
    <n v="4"/>
    <n v="581"/>
    <n v="302.17068046144118"/>
    <n v="278.82931953855882"/>
    <n v="319.55"/>
    <n v="226.59"/>
    <n v="34.86"/>
    <n v="87.149999999999991"/>
    <n v="94"/>
    <n v="10"/>
    <n v="4"/>
    <n v="5"/>
    <n v="6"/>
    <n v="12"/>
    <n v="17"/>
    <n v="12"/>
    <n v="0"/>
    <n v="1"/>
    <n v="2"/>
    <n v="0.1"/>
    <n v="0"/>
    <n v="3155.9269395298161"/>
    <n v="1"/>
    <m/>
    <m/>
    <s v=""/>
    <s v=""/>
    <s v="Flagged"/>
    <s v=""/>
    <s v=""/>
    <m/>
    <s v=""/>
    <s v="Flagged"/>
  </r>
  <r>
    <s v="IDPsSD15032"/>
    <x v="14"/>
    <x v="14"/>
    <s v="Um Algura"/>
    <s v="SD15032"/>
    <n v="33941"/>
    <s v="IDPs"/>
    <n v="7727"/>
    <n v="4"/>
    <n v="4"/>
    <n v="773"/>
    <n v="402.59652864783953"/>
    <n v="370.40347135216047"/>
    <n v="425.15000000000003"/>
    <n v="301.47000000000003"/>
    <n v="46.379999999999995"/>
    <n v="115.94999999999999"/>
    <n v="125"/>
    <n v="14"/>
    <n v="5"/>
    <n v="7"/>
    <n v="8"/>
    <n v="15"/>
    <n v="23"/>
    <n v="15"/>
    <n v="0"/>
    <n v="1"/>
    <n v="2"/>
    <n v="0.10003882489970234"/>
    <n v="0"/>
    <n v="1103.6466348459765"/>
    <n v="1"/>
    <m/>
    <m/>
    <s v=""/>
    <s v=""/>
    <s v="Flagged"/>
    <s v=""/>
    <s v=""/>
    <m/>
    <s v=""/>
    <s v="Flagged"/>
  </r>
  <r>
    <s v="IDPsSD15033"/>
    <x v="14"/>
    <x v="14"/>
    <s v="Sharg Aj Jazirah"/>
    <s v="SD15033"/>
    <n v="32763"/>
    <s v="IDPs"/>
    <n v="7459"/>
    <n v="4"/>
    <n v="4"/>
    <n v="746"/>
    <n v="391.03326177349959"/>
    <n v="354.96673822650047"/>
    <n v="410.3"/>
    <n v="290.94"/>
    <n v="44.76"/>
    <n v="111.89999999999999"/>
    <n v="121"/>
    <n v="13"/>
    <n v="5"/>
    <n v="7"/>
    <n v="7"/>
    <n v="15"/>
    <n v="22"/>
    <n v="15"/>
    <n v="0"/>
    <n v="1"/>
    <n v="2"/>
    <n v="0.1000134066228717"/>
    <n v="0"/>
    <n v="4656.0984517169882"/>
    <n v="1"/>
    <m/>
    <m/>
    <s v=""/>
    <s v=""/>
    <s v="Flagged"/>
    <s v=""/>
    <s v=""/>
    <m/>
    <s v=""/>
    <s v="Flagged"/>
  </r>
  <r>
    <s v="IDPsSD15034"/>
    <x v="14"/>
    <x v="14"/>
    <s v="Al Hasahisa"/>
    <s v="SD15034"/>
    <n v="39576"/>
    <s v="IDPs"/>
    <n v="9010"/>
    <n v="4"/>
    <n v="4"/>
    <n v="901"/>
    <n v="467.22407241692491"/>
    <n v="433.77592758307509"/>
    <n v="495.55000000000007"/>
    <n v="351.39"/>
    <n v="54.059999999999995"/>
    <n v="135.15"/>
    <n v="146"/>
    <n v="16"/>
    <n v="6"/>
    <n v="8"/>
    <n v="9"/>
    <n v="18"/>
    <n v="27"/>
    <n v="18"/>
    <n v="0"/>
    <n v="1"/>
    <n v="3"/>
    <n v="0.1"/>
    <n v="0"/>
    <n v="53.954788925475825"/>
    <n v="1"/>
    <m/>
    <m/>
    <s v=""/>
    <s v=""/>
    <s v="Flagged"/>
    <s v=""/>
    <s v=""/>
    <m/>
    <s v=""/>
    <s v="Flagged"/>
  </r>
  <r>
    <s v="IDPsSD15035"/>
    <x v="14"/>
    <x v="14"/>
    <s v="Al Kamlin"/>
    <s v="SD15035"/>
    <n v="67437"/>
    <s v="IDPs"/>
    <n v="15353"/>
    <n v="4"/>
    <n v="4"/>
    <n v="1535"/>
    <n v="781.90632356485537"/>
    <n v="753.09367643514463"/>
    <n v="844.25000000000011"/>
    <n v="598.65"/>
    <n v="92.1"/>
    <n v="230.25"/>
    <n v="249"/>
    <n v="28"/>
    <n v="10"/>
    <n v="14"/>
    <n v="15"/>
    <n v="31"/>
    <n v="46"/>
    <n v="31"/>
    <n v="0"/>
    <n v="2"/>
    <n v="5"/>
    <n v="9.998045984498144E-2"/>
    <n v="0"/>
    <n v="832.15983977651865"/>
    <n v="1"/>
    <m/>
    <m/>
    <s v=""/>
    <s v=""/>
    <s v=""/>
    <s v=""/>
    <s v=""/>
    <m/>
    <s v="Yes"/>
    <s v="Ok"/>
  </r>
  <r>
    <s v="IDPsSD15036"/>
    <x v="14"/>
    <x v="14"/>
    <s v="Al Manaqil"/>
    <s v="SD15036"/>
    <n v="78131"/>
    <s v="IDPs"/>
    <n v="35004"/>
    <n v="3"/>
    <n v="4"/>
    <n v="3500"/>
    <n v="1826.476489535909"/>
    <n v="1673.5235104640908"/>
    <n v="1925.0000000000002"/>
    <n v="1365"/>
    <n v="210"/>
    <n v="525"/>
    <n v="567"/>
    <n v="63"/>
    <n v="24"/>
    <n v="32"/>
    <n v="35"/>
    <n v="70"/>
    <n v="105"/>
    <n v="70"/>
    <n v="0"/>
    <n v="4"/>
    <n v="11"/>
    <n v="9.9988572734544617E-2"/>
    <n v="45655"/>
    <n v="47471.650002208335"/>
    <n v="5"/>
    <m/>
    <m/>
    <s v=""/>
    <s v=""/>
    <s v=""/>
    <s v=""/>
    <s v=""/>
    <m/>
    <s v=""/>
    <s v="Flagged"/>
  </r>
  <r>
    <s v="IDPsSD15037"/>
    <x v="14"/>
    <x v="14"/>
    <s v="Al Qurashi"/>
    <s v="SD15037"/>
    <n v="84123"/>
    <s v="IDPs"/>
    <n v="34533"/>
    <n v="3"/>
    <n v="4"/>
    <n v="1727"/>
    <n v="902.46407682754625"/>
    <n v="824.53592317245364"/>
    <n v="949.85"/>
    <n v="673.53"/>
    <n v="103.61999999999999"/>
    <n v="259.05"/>
    <n v="280"/>
    <n v="31"/>
    <n v="12"/>
    <n v="16"/>
    <n v="17"/>
    <n v="35"/>
    <n v="52"/>
    <n v="35"/>
    <n v="0"/>
    <n v="2"/>
    <n v="5"/>
    <n v="5.0010135232965568E-2"/>
    <n v="2845"/>
    <n v="43250.901037852986"/>
    <n v="2"/>
    <m/>
    <m/>
    <s v=""/>
    <s v=""/>
    <s v=""/>
    <s v=""/>
    <s v=""/>
    <m/>
    <s v=""/>
    <s v="Flagged"/>
  </r>
  <r>
    <s v="IDPsSD16008"/>
    <x v="15"/>
    <x v="15"/>
    <s v="Abu Hamad"/>
    <s v="SD16008"/>
    <n v="47265"/>
    <s v="IDPs"/>
    <n v="5629"/>
    <n v="2"/>
    <n v="3"/>
    <n v="0"/>
    <n v="0"/>
    <n v="0"/>
    <n v="0"/>
    <n v="0"/>
    <n v="0"/>
    <n v="0"/>
    <n v="0"/>
    <n v="0"/>
    <n v="0"/>
    <n v="0"/>
    <n v="0"/>
    <n v="0"/>
    <n v="0"/>
    <n v="0"/>
    <n v="0"/>
    <n v="0"/>
    <n v="0"/>
    <n v="0"/>
    <n v="26420"/>
    <n v="17811.075321954297"/>
    <n v="3"/>
    <m/>
    <m/>
    <s v=""/>
    <s v=""/>
    <s v="No target"/>
    <s v="No target"/>
    <s v=""/>
    <m/>
    <s v=""/>
    <s v="Flagged"/>
  </r>
  <r>
    <s v="IDPsSD16009"/>
    <x v="15"/>
    <x v="15"/>
    <s v="Al Matama"/>
    <s v="SD16009"/>
    <n v="107773"/>
    <s v="IDPs"/>
    <n v="32494"/>
    <n v="3"/>
    <n v="3"/>
    <n v="0"/>
    <n v="0"/>
    <n v="0"/>
    <n v="0"/>
    <n v="0"/>
    <n v="0"/>
    <n v="0"/>
    <n v="0"/>
    <n v="0"/>
    <n v="0"/>
    <n v="0"/>
    <n v="0"/>
    <n v="0"/>
    <n v="0"/>
    <n v="0"/>
    <n v="0"/>
    <n v="0"/>
    <n v="0"/>
    <n v="0"/>
    <n v="0"/>
    <n v="26850.072579876738"/>
    <n v="1"/>
    <m/>
    <m/>
    <s v=""/>
    <s v=""/>
    <s v="No target"/>
    <s v="No target"/>
    <s v=""/>
    <m/>
    <s v=""/>
    <s v="Flagged"/>
  </r>
  <r>
    <s v="IDPsSD16010"/>
    <x v="15"/>
    <x v="15"/>
    <s v="Shendi"/>
    <s v="SD16010"/>
    <n v="266545"/>
    <s v="IDPs"/>
    <n v="120679"/>
    <n v="3"/>
    <n v="3"/>
    <n v="48272"/>
    <n v="24482.197875618262"/>
    <n v="23789.802124381738"/>
    <n v="26549.600000000002"/>
    <n v="18826.080000000002"/>
    <n v="2896.3199999999997"/>
    <n v="7240.8"/>
    <n v="7820"/>
    <n v="869"/>
    <n v="326"/>
    <n v="434"/>
    <n v="483"/>
    <n v="965"/>
    <n v="1448"/>
    <n v="965"/>
    <n v="0"/>
    <n v="60"/>
    <n v="145"/>
    <n v="0.4000033145783442"/>
    <n v="14375"/>
    <n v="31181.585872819829"/>
    <n v="4"/>
    <m/>
    <m/>
    <s v=""/>
    <s v=""/>
    <s v=""/>
    <s v="Flagged"/>
    <s v=""/>
    <m/>
    <s v=""/>
    <s v="Flagged"/>
  </r>
  <r>
    <s v="IDPsSD16011"/>
    <x v="15"/>
    <x v="15"/>
    <s v="Ad Damar"/>
    <s v="SD16011"/>
    <n v="143830"/>
    <s v="IDPs"/>
    <n v="64989"/>
    <n v="3"/>
    <n v="3"/>
    <n v="25996"/>
    <n v="13028.305253166505"/>
    <n v="12967.694746833495"/>
    <n v="14297.800000000001"/>
    <n v="10138.44"/>
    <n v="1559.76"/>
    <n v="3899.3999999999996"/>
    <n v="4211"/>
    <n v="468"/>
    <n v="175"/>
    <n v="234"/>
    <n v="260"/>
    <n v="520"/>
    <n v="780"/>
    <n v="520"/>
    <n v="0"/>
    <n v="32"/>
    <n v="78"/>
    <n v="0.40000615488775021"/>
    <n v="33335"/>
    <n v="37352.129590407974"/>
    <n v="3"/>
    <m/>
    <m/>
    <s v=""/>
    <s v=""/>
    <s v=""/>
    <s v=""/>
    <s v=""/>
    <m/>
    <s v=""/>
    <s v="Flagged"/>
  </r>
  <r>
    <s v="IDPsSD16012"/>
    <x v="15"/>
    <x v="15"/>
    <s v="Atbara"/>
    <s v="SD16012"/>
    <n v="156069"/>
    <s v="IDPs"/>
    <n v="56125"/>
    <n v="3"/>
    <n v="3"/>
    <n v="22450"/>
    <n v="11382.466960849593"/>
    <n v="11067.533039150405"/>
    <n v="12347.500000000002"/>
    <n v="8755.5"/>
    <n v="1347"/>
    <n v="3367.5"/>
    <n v="3637"/>
    <n v="404"/>
    <n v="152"/>
    <n v="202"/>
    <n v="225"/>
    <n v="449"/>
    <n v="674"/>
    <n v="449"/>
    <n v="0"/>
    <n v="28"/>
    <n v="67"/>
    <n v="0.4"/>
    <n v="6665"/>
    <n v="27856.086739524231"/>
    <n v="3"/>
    <m/>
    <m/>
    <s v=""/>
    <s v=""/>
    <s v=""/>
    <s v="Flagged"/>
    <s v=""/>
    <m/>
    <s v=""/>
    <s v="Flagged"/>
  </r>
  <r>
    <s v="IDPsSD16013"/>
    <x v="15"/>
    <x v="15"/>
    <s v="Barbar"/>
    <s v="SD16013"/>
    <n v="31649"/>
    <s v="IDPs"/>
    <n v="12708"/>
    <n v="3"/>
    <n v="3"/>
    <n v="7625"/>
    <n v="3890.9172271642442"/>
    <n v="3734.0827728357563"/>
    <n v="4193.75"/>
    <n v="2973.75"/>
    <n v="457.5"/>
    <n v="1143.75"/>
    <n v="1235"/>
    <n v="137"/>
    <n v="51"/>
    <n v="69"/>
    <n v="76"/>
    <n v="153"/>
    <n v="229"/>
    <n v="153"/>
    <n v="0"/>
    <n v="10"/>
    <n v="23"/>
    <n v="0.60001573811772113"/>
    <n v="1535"/>
    <n v="31672.602999549028"/>
    <n v="2"/>
    <m/>
    <m/>
    <s v=""/>
    <s v=""/>
    <s v=""/>
    <s v="Flagged"/>
    <s v=""/>
    <m/>
    <s v=""/>
    <s v="Flagged"/>
  </r>
  <r>
    <s v="IDPsSD16014"/>
    <x v="15"/>
    <x v="15"/>
    <s v="Al Buhaira"/>
    <s v="SD16014"/>
    <n v="17265"/>
    <s v="IDPs"/>
    <n v="8617"/>
    <n v="3"/>
    <n v="3"/>
    <n v="1723"/>
    <n v="850.23796916133881"/>
    <n v="872.76203083866119"/>
    <n v="947.65000000000009"/>
    <n v="671.97"/>
    <n v="103.38"/>
    <n v="258.45"/>
    <n v="279"/>
    <n v="31"/>
    <n v="12"/>
    <n v="16"/>
    <n v="17"/>
    <n v="34"/>
    <n v="52"/>
    <n v="34"/>
    <n v="0"/>
    <n v="2"/>
    <n v="5"/>
    <n v="0.19995358013229661"/>
    <n v="3335"/>
    <n v="15138.172207090645"/>
    <n v="2"/>
    <m/>
    <m/>
    <s v=""/>
    <s v=""/>
    <s v=""/>
    <s v=""/>
    <s v=""/>
    <m/>
    <s v=""/>
    <s v="Flagged"/>
  </r>
  <r>
    <s v="IDPsSD17014"/>
    <x v="16"/>
    <x v="16"/>
    <s v="Halfa"/>
    <s v="SD17014"/>
    <n v="36214"/>
    <s v="IDPs"/>
    <n v="11917"/>
    <n v="3"/>
    <n v="3"/>
    <n v="2383"/>
    <n v="1194.4655036153674"/>
    <n v="1188.5344963846326"/>
    <n v="1310.6500000000001"/>
    <n v="929.37"/>
    <n v="142.97999999999999"/>
    <n v="357.45"/>
    <n v="386"/>
    <n v="43"/>
    <n v="16"/>
    <n v="21"/>
    <n v="24"/>
    <n v="48"/>
    <n v="71"/>
    <n v="48"/>
    <n v="24"/>
    <n v="3"/>
    <n v="7"/>
    <n v="0.19996643450532853"/>
    <n v="12840"/>
    <n v="27581.459718644299"/>
    <n v="5"/>
    <m/>
    <m/>
    <s v=""/>
    <s v=""/>
    <s v=""/>
    <s v=""/>
    <s v=""/>
    <m/>
    <s v=""/>
    <s v="Flagged"/>
  </r>
  <r>
    <s v="IDPsSD17015"/>
    <x v="16"/>
    <x v="16"/>
    <s v="Delgo"/>
    <s v="SD17015"/>
    <n v="40375"/>
    <s v="IDPs"/>
    <n v="17464"/>
    <n v="3"/>
    <n v="3"/>
    <n v="3493"/>
    <n v="1846.4647495095458"/>
    <n v="1646.535250490454"/>
    <n v="1921.15"/>
    <n v="1362.27"/>
    <n v="209.57999999999998"/>
    <n v="523.94999999999993"/>
    <n v="566"/>
    <n v="63"/>
    <n v="24"/>
    <n v="31"/>
    <n v="35"/>
    <n v="70"/>
    <n v="105"/>
    <n v="70"/>
    <n v="0"/>
    <n v="4"/>
    <n v="10"/>
    <n v="0.20001145213009619"/>
    <n v="1900"/>
    <n v="6622.1652841495379"/>
    <n v="3"/>
    <m/>
    <m/>
    <s v=""/>
    <s v=""/>
    <s v=""/>
    <s v="Flagged"/>
    <s v=""/>
    <m/>
    <s v=""/>
    <s v="Flagged"/>
  </r>
  <r>
    <s v="IDPsSD17016"/>
    <x v="16"/>
    <x v="16"/>
    <s v="Al Burgaig"/>
    <s v="SD17016"/>
    <n v="59772"/>
    <s v="IDPs"/>
    <n v="14547"/>
    <n v="3"/>
    <n v="3"/>
    <n v="2909"/>
    <n v="1499.1258450338014"/>
    <n v="1409.8741549661986"/>
    <n v="1599.95"/>
    <n v="1134.51"/>
    <n v="174.54"/>
    <n v="436.34999999999997"/>
    <n v="471"/>
    <n v="52"/>
    <n v="20"/>
    <n v="26"/>
    <n v="29"/>
    <n v="58"/>
    <n v="87"/>
    <n v="58"/>
    <n v="0"/>
    <n v="4"/>
    <n v="9"/>
    <n v="0.19997250292156457"/>
    <n v="2000"/>
    <n v="12269.718666756355"/>
    <n v="3"/>
    <m/>
    <m/>
    <s v=""/>
    <s v=""/>
    <s v=""/>
    <s v="Flagged"/>
    <s v=""/>
    <m/>
    <s v=""/>
    <s v="Flagged"/>
  </r>
  <r>
    <s v="IDPsSD17017"/>
    <x v="16"/>
    <x v="16"/>
    <s v="Dongola"/>
    <s v="SD17017"/>
    <n v="56350"/>
    <s v="IDPs"/>
    <n v="27577"/>
    <n v="3"/>
    <n v="3"/>
    <n v="5515"/>
    <n v="2832.8445004541004"/>
    <n v="2682.1554995458991"/>
    <n v="3033.2500000000005"/>
    <n v="2150.85"/>
    <n v="330.9"/>
    <n v="827.25"/>
    <n v="893"/>
    <n v="99"/>
    <n v="37"/>
    <n v="50"/>
    <n v="55"/>
    <n v="110"/>
    <n v="165"/>
    <n v="110"/>
    <n v="55"/>
    <n v="7"/>
    <n v="17"/>
    <n v="0.19998549515900932"/>
    <n v="52520"/>
    <n v="34530.208487083488"/>
    <n v="6"/>
    <m/>
    <m/>
    <s v=""/>
    <s v=""/>
    <s v=""/>
    <s v=""/>
    <s v=""/>
    <m/>
    <s v=""/>
    <s v="Flagged"/>
  </r>
  <r>
    <s v="IDPsSD17018"/>
    <x v="16"/>
    <x v="16"/>
    <s v="Al Golid"/>
    <s v="SD17018"/>
    <n v="60442"/>
    <s v="IDPs"/>
    <n v="14597"/>
    <n v="3"/>
    <n v="3"/>
    <n v="5839"/>
    <n v="3059.5275090656123"/>
    <n v="2779.4724909343881"/>
    <n v="3211.4500000000003"/>
    <n v="2277.21"/>
    <n v="350.34"/>
    <n v="875.85"/>
    <n v="946"/>
    <n v="105"/>
    <n v="39"/>
    <n v="53"/>
    <n v="58"/>
    <n v="117"/>
    <n v="175"/>
    <n v="117"/>
    <n v="0"/>
    <n v="7"/>
    <n v="18"/>
    <n v="0.40001370144550252"/>
    <n v="2055"/>
    <n v="12255.159437998685"/>
    <n v="3"/>
    <m/>
    <m/>
    <s v=""/>
    <s v=""/>
    <s v=""/>
    <s v="Flagged"/>
    <s v=""/>
    <m/>
    <s v=""/>
    <s v="Flagged"/>
  </r>
  <r>
    <s v="IDPsSD17019"/>
    <x v="16"/>
    <x v="16"/>
    <s v="Ad Dabbah"/>
    <s v="SD17019"/>
    <n v="66310"/>
    <s v="IDPs"/>
    <n v="17728"/>
    <n v="3"/>
    <n v="3"/>
    <n v="1773"/>
    <n v="905.4251528220384"/>
    <n v="867.5748471779616"/>
    <n v="975.15000000000009"/>
    <n v="691.47"/>
    <n v="106.38"/>
    <n v="265.95"/>
    <n v="287"/>
    <n v="32"/>
    <n v="12"/>
    <n v="16"/>
    <n v="18"/>
    <n v="35"/>
    <n v="53"/>
    <n v="35"/>
    <n v="0"/>
    <n v="2"/>
    <n v="5"/>
    <n v="0.10001128158844766"/>
    <n v="39800"/>
    <n v="23229.677695469942"/>
    <n v="4"/>
    <m/>
    <m/>
    <s v=""/>
    <s v=""/>
    <s v=""/>
    <s v=""/>
    <s v=""/>
    <m/>
    <s v=""/>
    <s v="Flagged"/>
  </r>
  <r>
    <s v="IDPsSD17020"/>
    <x v="16"/>
    <x v="16"/>
    <s v="Merwoe"/>
    <s v="SD17020"/>
    <n v="79388"/>
    <s v="IDPs"/>
    <n v="21108"/>
    <n v="3"/>
    <n v="3"/>
    <n v="8443"/>
    <n v="4291.3197266001926"/>
    <n v="4151.6802733998074"/>
    <n v="4643.6500000000005"/>
    <n v="3292.77"/>
    <n v="506.58"/>
    <n v="1266.45"/>
    <n v="1368"/>
    <n v="152"/>
    <n v="57"/>
    <n v="76"/>
    <n v="84"/>
    <n v="169"/>
    <n v="253"/>
    <n v="169"/>
    <n v="84"/>
    <n v="11"/>
    <n v="25"/>
    <n v="0.3999905249194618"/>
    <n v="44665"/>
    <n v="23007.578088147082"/>
    <n v="6"/>
    <m/>
    <m/>
    <s v=""/>
    <s v=""/>
    <s v=""/>
    <s v=""/>
    <s v=""/>
    <m/>
    <s v=""/>
    <s v="Flagged"/>
  </r>
  <r>
    <s v="IDPsSD18021"/>
    <x v="17"/>
    <x v="17"/>
    <s v="Ghubaish"/>
    <s v="SD18021"/>
    <n v="13823"/>
    <s v="IDPs"/>
    <n v="7573"/>
    <n v="3"/>
    <n v="3"/>
    <n v="0"/>
    <n v="0"/>
    <n v="0"/>
    <n v="0"/>
    <n v="0"/>
    <n v="0"/>
    <n v="0"/>
    <n v="0"/>
    <n v="0"/>
    <n v="0"/>
    <n v="0"/>
    <n v="0"/>
    <n v="0"/>
    <n v="0"/>
    <n v="0"/>
    <n v="0"/>
    <n v="0"/>
    <n v="0"/>
    <n v="0"/>
    <n v="0"/>
    <n v="570.95014735953248"/>
    <n v="1"/>
    <m/>
    <m/>
    <s v=""/>
    <s v=""/>
    <s v="No target"/>
    <s v="No target"/>
    <s v=""/>
    <m/>
    <s v=""/>
    <s v="Flagged"/>
  </r>
  <r>
    <s v="IDPsSD18022"/>
    <x v="17"/>
    <x v="17"/>
    <s v="An Nuhud"/>
    <s v="SD18022"/>
    <n v="46202"/>
    <s v="IDPs"/>
    <n v="18968"/>
    <n v="3"/>
    <n v="5"/>
    <n v="1137.5999999999999"/>
    <n v="582.9373398966037"/>
    <n v="554.66266010339621"/>
    <n v="625.67999999999995"/>
    <n v="443.66399999999999"/>
    <n v="68.255999999999986"/>
    <n v="170.64"/>
    <n v="184"/>
    <n v="20"/>
    <n v="8"/>
    <n v="10"/>
    <n v="11"/>
    <n v="23"/>
    <n v="34"/>
    <n v="23"/>
    <n v="0"/>
    <n v="1"/>
    <n v="3"/>
    <n v="5.997469422184732E-2"/>
    <n v="0"/>
    <n v="58.236915030672321"/>
    <n v="1"/>
    <m/>
    <m/>
    <s v=""/>
    <s v=""/>
    <s v=""/>
    <s v=""/>
    <s v=""/>
    <m/>
    <s v=""/>
    <s v="Ok"/>
  </r>
  <r>
    <s v="IDPsSD18028"/>
    <x v="17"/>
    <x v="17"/>
    <s v="Abu Zabad"/>
    <s v="SD18028"/>
    <n v="26261"/>
    <s v="IDPs"/>
    <n v="11860"/>
    <n v="3"/>
    <n v="4"/>
    <n v="593"/>
    <n v="309.22243821945443"/>
    <n v="283.77756178054557"/>
    <n v="326.15000000000003"/>
    <n v="231.27"/>
    <n v="35.58"/>
    <n v="88.95"/>
    <n v="96"/>
    <n v="11"/>
    <n v="4"/>
    <n v="5"/>
    <n v="6"/>
    <n v="12"/>
    <n v="18"/>
    <n v="12"/>
    <n v="0"/>
    <n v="1"/>
    <n v="2"/>
    <n v="0.05"/>
    <n v="0"/>
    <n v="10134.365115631703"/>
    <n v="1"/>
    <m/>
    <m/>
    <s v=""/>
    <s v=""/>
    <s v=""/>
    <s v=""/>
    <s v=""/>
    <m/>
    <s v="Yes"/>
    <s v="Ok"/>
  </r>
  <r>
    <s v="IDPsSD18029"/>
    <x v="17"/>
    <x v="17"/>
    <s v="Wad Bandah"/>
    <s v="SD18029"/>
    <n v="6300"/>
    <s v="IDPs"/>
    <n v="3668"/>
    <n v="3"/>
    <n v="3"/>
    <n v="0"/>
    <n v="0"/>
    <n v="0"/>
    <n v="0"/>
    <n v="0"/>
    <n v="0"/>
    <n v="0"/>
    <n v="0"/>
    <n v="0"/>
    <n v="0"/>
    <n v="0"/>
    <n v="0"/>
    <n v="0"/>
    <n v="0"/>
    <n v="0"/>
    <n v="0"/>
    <n v="0"/>
    <n v="0"/>
    <n v="0"/>
    <n v="0"/>
    <n v="0"/>
    <n v="1"/>
    <m/>
    <m/>
    <s v=""/>
    <s v=""/>
    <s v="No target"/>
    <s v="No target"/>
    <s v=""/>
    <m/>
    <s v=""/>
    <s v="Flagged"/>
  </r>
  <r>
    <s v="IDPsSD18085"/>
    <x v="17"/>
    <x v="17"/>
    <s v="Keilak"/>
    <s v="SD18085"/>
    <n v="13758"/>
    <s v="IDPs"/>
    <n v="10962"/>
    <n v="3"/>
    <n v="3"/>
    <n v="0"/>
    <n v="0"/>
    <n v="0"/>
    <n v="0"/>
    <n v="0"/>
    <n v="0"/>
    <n v="0"/>
    <n v="0"/>
    <n v="0"/>
    <n v="0"/>
    <n v="0"/>
    <n v="0"/>
    <n v="0"/>
    <n v="0"/>
    <n v="0"/>
    <n v="0"/>
    <n v="0"/>
    <n v="0"/>
    <n v="0"/>
    <n v="0"/>
    <n v="0"/>
    <n v="1"/>
    <m/>
    <m/>
    <s v=""/>
    <s v=""/>
    <s v="No target"/>
    <s v="No target"/>
    <s v=""/>
    <m/>
    <s v=""/>
    <s v="Flagged"/>
  </r>
  <r>
    <s v="IDPsSD18086"/>
    <x v="17"/>
    <x v="17"/>
    <s v="As Salam - WK"/>
    <s v="SD18086"/>
    <n v="31416"/>
    <s v="IDPs"/>
    <n v="20590"/>
    <n v="3"/>
    <n v="4"/>
    <n v="8236"/>
    <n v="4201.3810695823231"/>
    <n v="4034.6189304176769"/>
    <n v="4529.8"/>
    <n v="3212.04"/>
    <n v="494.15999999999997"/>
    <n v="1235.3999999999999"/>
    <n v="1334"/>
    <n v="148"/>
    <n v="56"/>
    <n v="74"/>
    <n v="82"/>
    <n v="165"/>
    <n v="247"/>
    <n v="165"/>
    <n v="0"/>
    <n v="10"/>
    <n v="25"/>
    <n v="0.4"/>
    <n v="10000"/>
    <n v="2141.0630525982469"/>
    <n v="2"/>
    <m/>
    <m/>
    <s v=""/>
    <s v=""/>
    <s v=""/>
    <s v=""/>
    <s v=""/>
    <m/>
    <s v=""/>
    <s v="Flagged"/>
  </r>
  <r>
    <s v="IDPsSD18087"/>
    <x v="17"/>
    <x v="17"/>
    <s v="Abyei"/>
    <s v="SD18087"/>
    <n v="19629"/>
    <s v="IDPs"/>
    <n v="9066"/>
    <n v="3"/>
    <n v="4"/>
    <n v="907"/>
    <n v="464.26176757812499"/>
    <n v="442.73823242187501"/>
    <n v="498.85"/>
    <n v="353.73"/>
    <n v="54.419999999999995"/>
    <n v="136.04999999999998"/>
    <n v="147"/>
    <n v="16"/>
    <n v="6"/>
    <n v="8"/>
    <n v="9"/>
    <n v="18"/>
    <n v="27"/>
    <n v="18"/>
    <n v="0"/>
    <n v="1"/>
    <n v="3"/>
    <n v="0.100044120891242"/>
    <n v="0"/>
    <n v="164690.57000585715"/>
    <n v="1"/>
    <m/>
    <m/>
    <s v=""/>
    <s v=""/>
    <s v="Flagged"/>
    <s v=""/>
    <s v=""/>
    <m/>
    <s v=""/>
    <s v="Flagged"/>
  </r>
  <r>
    <s v="IDPsSD18092"/>
    <x v="17"/>
    <x v="17"/>
    <s v="As Sunut"/>
    <s v="SD18092"/>
    <n v="8359"/>
    <s v="IDPs"/>
    <n v="4314"/>
    <n v="3"/>
    <n v="3"/>
    <n v="0"/>
    <n v="0"/>
    <n v="0"/>
    <n v="0"/>
    <n v="0"/>
    <n v="0"/>
    <n v="0"/>
    <n v="0"/>
    <n v="0"/>
    <n v="0"/>
    <n v="0"/>
    <n v="0"/>
    <n v="0"/>
    <n v="0"/>
    <n v="0"/>
    <n v="0"/>
    <n v="0"/>
    <n v="0"/>
    <n v="0"/>
    <n v="0"/>
    <n v="0"/>
    <n v="1"/>
    <m/>
    <m/>
    <s v=""/>
    <s v=""/>
    <s v="No target"/>
    <s v="No target"/>
    <s v=""/>
    <m/>
    <s v=""/>
    <s v="Flagged"/>
  </r>
  <r>
    <s v="IDPsSD18100"/>
    <x v="17"/>
    <x v="17"/>
    <s v="Babanusa"/>
    <s v="SD18100"/>
    <n v="34417"/>
    <s v="IDPs"/>
    <n v="27581"/>
    <n v="3"/>
    <n v="4"/>
    <n v="1379"/>
    <n v="694.89809650287737"/>
    <n v="684.10190349712263"/>
    <n v="758.45"/>
    <n v="537.81000000000006"/>
    <n v="82.74"/>
    <n v="206.85"/>
    <n v="223"/>
    <n v="25"/>
    <n v="9"/>
    <n v="12"/>
    <n v="14"/>
    <n v="28"/>
    <n v="41"/>
    <n v="28"/>
    <n v="0"/>
    <n v="2"/>
    <n v="4"/>
    <n v="4.9998187157826036E-2"/>
    <n v="0"/>
    <n v="205.5420530494317"/>
    <n v="1"/>
    <m/>
    <m/>
    <s v=""/>
    <s v=""/>
    <s v="Flagged"/>
    <s v=""/>
    <s v=""/>
    <m/>
    <s v=""/>
    <s v="Flagged"/>
  </r>
  <r>
    <s v="IDPsSD18102"/>
    <x v="17"/>
    <x v="17"/>
    <s v="Al Lagowa"/>
    <s v="SD18102"/>
    <n v="19972"/>
    <s v="IDPs"/>
    <n v="15894"/>
    <n v="3"/>
    <n v="4"/>
    <n v="1589"/>
    <n v="809.75720472869909"/>
    <n v="779.24279527130091"/>
    <n v="873.95"/>
    <n v="619.71"/>
    <n v="95.34"/>
    <n v="238.35"/>
    <n v="257"/>
    <n v="29"/>
    <n v="11"/>
    <n v="14"/>
    <n v="16"/>
    <n v="32"/>
    <n v="48"/>
    <n v="32"/>
    <n v="0"/>
    <n v="2"/>
    <n v="5"/>
    <n v="9.9974833270416508E-2"/>
    <n v="0"/>
    <n v="2696.8830210527517"/>
    <n v="1"/>
    <m/>
    <m/>
    <s v=""/>
    <s v=""/>
    <s v=""/>
    <s v=""/>
    <s v=""/>
    <m/>
    <s v="Yes"/>
    <s v="Ok"/>
  </r>
  <r>
    <s v="IDPsSD18103"/>
    <x v="17"/>
    <x v="17"/>
    <s v="Al Dibab"/>
    <s v="SD18103"/>
    <n v="21146"/>
    <s v="IDPs"/>
    <n v="15597"/>
    <n v="3"/>
    <n v="4"/>
    <n v="780"/>
    <n v="386.95336434812208"/>
    <n v="393.04663565187786"/>
    <n v="429.00000000000006"/>
    <n v="304.2"/>
    <n v="46.8"/>
    <n v="117"/>
    <n v="126"/>
    <n v="14"/>
    <n v="5"/>
    <n v="7"/>
    <n v="8"/>
    <n v="16"/>
    <n v="23"/>
    <n v="16"/>
    <n v="0"/>
    <n v="1"/>
    <n v="2"/>
    <n v="5.0009617234083481E-2"/>
    <n v="0"/>
    <n v="18807.097854023003"/>
    <n v="1"/>
    <m/>
    <m/>
    <s v=""/>
    <s v=""/>
    <s v="Flagged"/>
    <s v=""/>
    <s v=""/>
    <m/>
    <s v=""/>
    <s v="Flagged"/>
  </r>
  <r>
    <s v="IDPsSD18104"/>
    <x v="17"/>
    <x v="17"/>
    <s v="Al Idia"/>
    <s v="SD18104"/>
    <n v="96705"/>
    <s v="IDPs"/>
    <n v="39683"/>
    <n v="3"/>
    <n v="4"/>
    <n v="3968"/>
    <n v="2051.5555185997441"/>
    <n v="1916.4444814002557"/>
    <n v="2182.4"/>
    <n v="1547.52"/>
    <n v="238.07999999999998"/>
    <n v="595.19999999999993"/>
    <n v="643"/>
    <n v="71"/>
    <n v="27"/>
    <n v="36"/>
    <n v="40"/>
    <n v="79"/>
    <n v="119"/>
    <n v="79"/>
    <n v="0"/>
    <n v="5"/>
    <n v="12"/>
    <n v="9.9992440087694978E-2"/>
    <n v="0"/>
    <n v="62.804516209548581"/>
    <n v="1"/>
    <m/>
    <m/>
    <s v=""/>
    <s v=""/>
    <s v=""/>
    <s v=""/>
    <s v=""/>
    <m/>
    <s v="Yes"/>
    <s v="Ok"/>
  </r>
  <r>
    <s v="IDPsSD18105"/>
    <x v="17"/>
    <x v="17"/>
    <s v="Al Khiwai"/>
    <s v="SD18105"/>
    <n v="9038"/>
    <s v="IDPs"/>
    <n v="1754"/>
    <n v="3"/>
    <n v="3"/>
    <n v="0"/>
    <n v="0"/>
    <n v="0"/>
    <n v="0"/>
    <n v="0"/>
    <n v="0"/>
    <n v="0"/>
    <n v="0"/>
    <n v="0"/>
    <n v="0"/>
    <n v="0"/>
    <n v="0"/>
    <n v="0"/>
    <n v="0"/>
    <n v="0"/>
    <n v="0"/>
    <n v="0"/>
    <n v="0"/>
    <n v="0"/>
    <n v="0"/>
    <n v="0"/>
    <n v="1"/>
    <m/>
    <m/>
    <s v=""/>
    <s v=""/>
    <s v="No target"/>
    <s v="No target"/>
    <s v=""/>
    <m/>
    <s v=""/>
    <s v="Flagged"/>
  </r>
  <r>
    <s v="IDPsSD18106"/>
    <x v="17"/>
    <x v="17"/>
    <s v="Al Meiram"/>
    <s v="SD18106"/>
    <n v="8023"/>
    <s v="IDPs"/>
    <n v="5917"/>
    <n v="3"/>
    <n v="4"/>
    <n v="592"/>
    <n v="294.21464458855377"/>
    <n v="297.78535541144623"/>
    <n v="325.60000000000002"/>
    <n v="230.88"/>
    <n v="35.519999999999996"/>
    <n v="88.8"/>
    <n v="96"/>
    <n v="11"/>
    <n v="4"/>
    <n v="5"/>
    <n v="6"/>
    <n v="12"/>
    <n v="18"/>
    <n v="12"/>
    <n v="0"/>
    <n v="1"/>
    <n v="2"/>
    <n v="0.10005070136893696"/>
    <n v="0"/>
    <n v="4.2821261051964941"/>
    <n v="1"/>
    <m/>
    <m/>
    <s v=""/>
    <s v=""/>
    <s v=""/>
    <s v=""/>
    <s v=""/>
    <m/>
    <s v="Yes"/>
    <s v="Ok"/>
  </r>
  <r>
    <s v="Non-hosting PopulationSD01001"/>
    <x v="0"/>
    <x v="0"/>
    <s v="Jebel Awlia"/>
    <s v="SD01001"/>
    <n v="1228200"/>
    <s v="Non-hosting Population"/>
    <n v="111846"/>
    <n v="3"/>
    <n v="4"/>
    <n v="69.12"/>
    <n v="32.006663722000226"/>
    <n v="37.113336277999778"/>
    <n v="34.56"/>
    <n v="30.412800000000001"/>
    <n v="4.1471999999999998"/>
    <n v="10.368"/>
    <n v="11"/>
    <n v="1"/>
    <n v="0"/>
    <n v="0"/>
    <n v="1"/>
    <n v="1"/>
    <n v="5"/>
    <n v="0"/>
    <n v="0"/>
    <n v="0"/>
    <n v="0"/>
    <n v="6.179925969636822E-4"/>
    <n v="0"/>
    <n v="892.50550978534534"/>
    <n v="2"/>
    <m/>
    <m/>
    <s v=""/>
    <s v=""/>
    <s v=""/>
    <s v=""/>
    <s v="Yes"/>
    <m/>
    <s v="Yes"/>
    <s v="Ok"/>
  </r>
  <r>
    <s v="Non-hosting PopulationSD01002"/>
    <x v="0"/>
    <x v="0"/>
    <s v="Um Bada"/>
    <s v="SD01002"/>
    <n v="1539537"/>
    <s v="Non-hosting Population"/>
    <n v="344494"/>
    <n v="4"/>
    <n v="4"/>
    <n v="41.22"/>
    <n v="19.05608317675923"/>
    <n v="22.163916823240768"/>
    <n v="20.61"/>
    <n v="18.136800000000001"/>
    <n v="2.4731999999999998"/>
    <n v="6.1829999999999998"/>
    <n v="7"/>
    <n v="1"/>
    <n v="0"/>
    <n v="0"/>
    <n v="0"/>
    <n v="1"/>
    <n v="3"/>
    <n v="0"/>
    <n v="0"/>
    <n v="0"/>
    <n v="0"/>
    <n v="1.1965375304069156E-4"/>
    <n v="0"/>
    <n v="42.305329799855755"/>
    <n v="1"/>
    <m/>
    <m/>
    <s v=""/>
    <s v=""/>
    <s v="Flagged"/>
    <s v=""/>
    <s v=""/>
    <m/>
    <s v=""/>
    <s v="Flagged"/>
  </r>
  <r>
    <s v="Non-hosting PopulationSD01003"/>
    <x v="0"/>
    <x v="0"/>
    <s v="Bahri"/>
    <s v="SD01003"/>
    <n v="397537"/>
    <s v="Non-hosting Population"/>
    <n v="72403"/>
    <n v="4"/>
    <n v="4"/>
    <n v="657"/>
    <n v="310.11402278816325"/>
    <n v="346.88597721183675"/>
    <n v="328.5"/>
    <n v="289.08"/>
    <n v="39.42"/>
    <n v="98.55"/>
    <n v="106"/>
    <n v="12"/>
    <n v="0"/>
    <n v="0"/>
    <n v="7"/>
    <n v="13"/>
    <n v="46"/>
    <n v="0"/>
    <n v="0"/>
    <n v="0"/>
    <n v="0"/>
    <n v="9.0742096321975614E-3"/>
    <n v="0"/>
    <n v="521.00159852039098"/>
    <n v="1"/>
    <m/>
    <m/>
    <s v=""/>
    <s v=""/>
    <s v=""/>
    <s v=""/>
    <s v=""/>
    <m/>
    <s v="Yes"/>
    <s v="Ok"/>
  </r>
  <r>
    <s v="Non-hosting PopulationSD01004"/>
    <x v="0"/>
    <x v="0"/>
    <s v="Sharg An Neel"/>
    <s v="SD01004"/>
    <n v="936418"/>
    <s v="Non-hosting Population"/>
    <n v="170550"/>
    <n v="4"/>
    <n v="4"/>
    <n v="330.65999999999997"/>
    <n v="154.48567989081877"/>
    <n v="176.1743201091812"/>
    <n v="165.32999999999998"/>
    <n v="145.49039999999999"/>
    <n v="19.839599999999997"/>
    <n v="49.598999999999997"/>
    <n v="54"/>
    <n v="6"/>
    <n v="0"/>
    <n v="0"/>
    <n v="3"/>
    <n v="7"/>
    <n v="23"/>
    <n v="0"/>
    <n v="0"/>
    <n v="0"/>
    <n v="0"/>
    <n v="1.9387862796833772E-3"/>
    <n v="0"/>
    <n v="297.71519915450915"/>
    <n v="1"/>
    <m/>
    <m/>
    <s v=""/>
    <s v=""/>
    <s v="Flagged"/>
    <s v=""/>
    <s v=""/>
    <m/>
    <s v=""/>
    <s v="Flagged"/>
  </r>
  <r>
    <s v="Non-hosting PopulationSD01005"/>
    <x v="0"/>
    <x v="0"/>
    <s v="Karrari"/>
    <s v="SD01005"/>
    <n v="1123499"/>
    <s v="Non-hosting Population"/>
    <n v="102311"/>
    <n v="3"/>
    <n v="3"/>
    <n v="185.04"/>
    <n v="87.987507848857746"/>
    <n v="97.052492151142246"/>
    <n v="92.52"/>
    <n v="81.417599999999993"/>
    <n v="11.102399999999999"/>
    <n v="27.755999999999997"/>
    <n v="30"/>
    <n v="3"/>
    <n v="0"/>
    <n v="0"/>
    <n v="2"/>
    <n v="4"/>
    <n v="13"/>
    <n v="0"/>
    <n v="0"/>
    <n v="0"/>
    <n v="0"/>
    <n v="1.8086031804986755E-3"/>
    <n v="0"/>
    <n v="1267.01634456176"/>
    <n v="5"/>
    <m/>
    <s v="Should not be Flagged - target are lower than intersectorial responses"/>
    <s v=""/>
    <s v=""/>
    <s v=""/>
    <s v="Flagged"/>
    <s v=""/>
    <m/>
    <s v=""/>
    <s v="Flagged"/>
  </r>
  <r>
    <s v="Non-hosting PopulationSD01006"/>
    <x v="0"/>
    <x v="0"/>
    <s v="Um Durman"/>
    <s v="SD01006"/>
    <n v="326576"/>
    <s v="Non-hosting Population"/>
    <n v="74349"/>
    <n v="4"/>
    <n v="4"/>
    <n v="316.44"/>
    <n v="149.25439834746928"/>
    <n v="167.18560165253072"/>
    <n v="158.22"/>
    <n v="139.2336"/>
    <n v="18.9864"/>
    <n v="47.466000000000001"/>
    <n v="51"/>
    <n v="6"/>
    <n v="0"/>
    <n v="0"/>
    <n v="3"/>
    <n v="6"/>
    <n v="22"/>
    <n v="0"/>
    <n v="0"/>
    <n v="0"/>
    <n v="0"/>
    <n v="4.2561433240527781E-3"/>
    <n v="0"/>
    <n v="1157.665551912309"/>
    <n v="6"/>
    <m/>
    <m/>
    <s v=""/>
    <s v=""/>
    <s v=""/>
    <s v=""/>
    <s v=""/>
    <m/>
    <s v="Yes"/>
    <s v="Ok"/>
  </r>
  <r>
    <s v="Non-hosting PopulationSD01007"/>
    <x v="0"/>
    <x v="0"/>
    <s v="Khartoum"/>
    <s v="SD01007"/>
    <n v="79748"/>
    <s v="Non-hosting Population"/>
    <n v="18156"/>
    <n v="4"/>
    <n v="4"/>
    <n v="111.6"/>
    <n v="52.258577072904423"/>
    <n v="59.341422927095579"/>
    <n v="55.8"/>
    <n v="49.103999999999999"/>
    <n v="6.6959999999999997"/>
    <n v="16.739999999999998"/>
    <n v="18"/>
    <n v="2"/>
    <n v="0"/>
    <n v="0"/>
    <n v="1"/>
    <n v="2"/>
    <n v="8"/>
    <n v="0"/>
    <n v="0"/>
    <n v="0"/>
    <n v="0"/>
    <n v="6.1467283542630535E-3"/>
    <n v="0"/>
    <n v="1486.2091599392675"/>
    <n v="1"/>
    <m/>
    <m/>
    <s v=""/>
    <s v=""/>
    <s v=""/>
    <s v=""/>
    <s v="Yes"/>
    <m/>
    <s v="Yes"/>
    <s v="Ok"/>
  </r>
  <r>
    <s v="Non-hosting PopulationSD02113"/>
    <x v="1"/>
    <x v="1"/>
    <s v="Dar As Salam"/>
    <s v="SD02113"/>
    <n v="0"/>
    <s v="Non-hosting Population"/>
    <n v="0"/>
    <n v="3"/>
    <n v="4"/>
    <n v="0"/>
    <n v="0"/>
    <n v="0"/>
    <n v="0"/>
    <n v="0"/>
    <n v="0"/>
    <n v="0"/>
    <n v="0"/>
    <n v="0"/>
    <n v="0"/>
    <n v="0"/>
    <n v="0"/>
    <n v="0"/>
    <n v="0"/>
    <n v="0"/>
    <n v="0"/>
    <n v="0"/>
    <n v="0"/>
    <n v="0"/>
    <n v="0"/>
    <n v="66.241631811878293"/>
    <n v="1"/>
    <m/>
    <m/>
    <s v=""/>
    <s v=""/>
    <s v="No target"/>
    <s v="No target"/>
    <s v=""/>
    <m/>
    <s v=""/>
    <s v="Flagged"/>
  </r>
  <r>
    <s v="Non-hosting PopulationSD02114"/>
    <x v="1"/>
    <x v="1"/>
    <s v="Al Fasher"/>
    <s v="SD02114"/>
    <n v="35415"/>
    <s v="Non-hosting Population"/>
    <n v="4979"/>
    <n v="4"/>
    <n v="5"/>
    <n v="1991.5"/>
    <n v="1004.1521460742891"/>
    <n v="987.34785392571087"/>
    <n v="995.75"/>
    <n v="876.26"/>
    <n v="119.49"/>
    <n v="298.72499999999997"/>
    <n v="323"/>
    <n v="36"/>
    <n v="0"/>
    <n v="0"/>
    <n v="20"/>
    <n v="40"/>
    <n v="139"/>
    <n v="0"/>
    <n v="0"/>
    <n v="0"/>
    <n v="0"/>
    <n v="0.399979915645712"/>
    <n v="0"/>
    <n v="2349.6874378070479"/>
    <n v="5"/>
    <m/>
    <m/>
    <s v=""/>
    <s v=""/>
    <s v=""/>
    <s v=""/>
    <s v="Yes"/>
    <m/>
    <s v=""/>
    <s v="Ok"/>
  </r>
  <r>
    <s v="Non-hosting PopulationSD02116"/>
    <x v="1"/>
    <x v="1"/>
    <s v="Al Koma"/>
    <s v="SD02116"/>
    <n v="23429"/>
    <s v="Non-hosting Population"/>
    <n v="164"/>
    <n v="3"/>
    <n v="4"/>
    <n v="16.5"/>
    <n v="8.1967301638364845"/>
    <n v="8.3032698361635155"/>
    <n v="8.25"/>
    <n v="7.26"/>
    <n v="0.99"/>
    <n v="2.4750000000000001"/>
    <n v="3"/>
    <n v="0"/>
    <n v="0"/>
    <n v="0"/>
    <n v="0"/>
    <n v="0"/>
    <n v="1"/>
    <n v="0"/>
    <n v="0"/>
    <n v="0"/>
    <n v="0"/>
    <n v="0.10060975609756098"/>
    <n v="0"/>
    <n v="28.565773358875155"/>
    <n v="1"/>
    <m/>
    <m/>
    <s v=""/>
    <s v=""/>
    <s v=""/>
    <s v=""/>
    <s v=""/>
    <m/>
    <s v="Yes"/>
    <s v="Ok"/>
  </r>
  <r>
    <s v="Non-hosting PopulationSD02117"/>
    <x v="1"/>
    <x v="1"/>
    <s v="Al Malha"/>
    <s v="SD02117"/>
    <n v="121250"/>
    <s v="Non-hosting Population"/>
    <n v="0"/>
    <n v="3"/>
    <n v="4"/>
    <n v="0"/>
    <n v="0"/>
    <n v="0"/>
    <n v="0"/>
    <n v="0"/>
    <n v="0"/>
    <n v="0"/>
    <n v="0"/>
    <n v="0"/>
    <n v="0"/>
    <n v="0"/>
    <n v="0"/>
    <n v="0"/>
    <n v="0"/>
    <n v="0"/>
    <n v="0"/>
    <n v="0"/>
    <n v="0"/>
    <n v="0"/>
    <n v="0"/>
    <n v="302.37444202127722"/>
    <n v="2"/>
    <m/>
    <m/>
    <s v=""/>
    <s v=""/>
    <s v="No target"/>
    <s v="No target"/>
    <s v=""/>
    <m/>
    <s v=""/>
    <s v="Flagged"/>
  </r>
  <r>
    <s v="Non-hosting PopulationSD02118"/>
    <x v="1"/>
    <x v="1"/>
    <s v="As Serief"/>
    <s v="SD02118"/>
    <n v="67234"/>
    <s v="Non-hosting Population"/>
    <n v="0"/>
    <n v="3"/>
    <n v="4"/>
    <n v="0"/>
    <n v="0"/>
    <n v="0"/>
    <n v="0"/>
    <n v="0"/>
    <n v="0"/>
    <n v="0"/>
    <n v="0"/>
    <n v="0"/>
    <n v="0"/>
    <n v="0"/>
    <n v="0"/>
    <n v="0"/>
    <n v="0"/>
    <n v="0"/>
    <n v="0"/>
    <n v="0"/>
    <n v="0"/>
    <n v="0"/>
    <n v="0"/>
    <n v="23.043156414559011"/>
    <n v="1"/>
    <m/>
    <m/>
    <s v=""/>
    <s v=""/>
    <s v="No target"/>
    <s v="No target"/>
    <s v=""/>
    <m/>
    <s v=""/>
    <s v="Flagged"/>
  </r>
  <r>
    <s v="Non-hosting PopulationSD02119"/>
    <x v="1"/>
    <x v="1"/>
    <s v="At Tawisha"/>
    <s v="SD02119"/>
    <n v="145284"/>
    <s v="Non-hosting Population"/>
    <n v="1025"/>
    <n v="3"/>
    <n v="3"/>
    <n v="0"/>
    <n v="0"/>
    <n v="0"/>
    <n v="0"/>
    <n v="0"/>
    <n v="0"/>
    <n v="0"/>
    <n v="0"/>
    <n v="0"/>
    <n v="0"/>
    <n v="0"/>
    <n v="0"/>
    <n v="0"/>
    <n v="0"/>
    <n v="0"/>
    <n v="0"/>
    <n v="0"/>
    <n v="0"/>
    <n v="0"/>
    <n v="0"/>
    <n v="40.504152844970974"/>
    <n v="1"/>
    <m/>
    <m/>
    <s v=""/>
    <s v=""/>
    <s v="No target"/>
    <s v="No target"/>
    <s v=""/>
    <s v="Yes"/>
    <s v=""/>
    <s v="Ok"/>
  </r>
  <r>
    <s v="Non-hosting PopulationSD02120"/>
    <x v="1"/>
    <x v="1"/>
    <s v="Um Baru"/>
    <s v="SD02120"/>
    <n v="161349"/>
    <s v="Non-hosting Population"/>
    <n v="0"/>
    <n v="3"/>
    <n v="4"/>
    <n v="0"/>
    <n v="0"/>
    <n v="0"/>
    <n v="0"/>
    <n v="0"/>
    <n v="0"/>
    <n v="0"/>
    <n v="0"/>
    <n v="0"/>
    <n v="0"/>
    <n v="0"/>
    <n v="0"/>
    <n v="0"/>
    <n v="0"/>
    <n v="0"/>
    <n v="0"/>
    <n v="0"/>
    <n v="0"/>
    <n v="0"/>
    <n v="0"/>
    <n v="52.100159852039106"/>
    <n v="2"/>
    <m/>
    <m/>
    <s v=""/>
    <s v=""/>
    <s v="No target"/>
    <s v="No target"/>
    <s v=""/>
    <m/>
    <s v=""/>
    <s v="Flagged"/>
  </r>
  <r>
    <s v="Non-hosting PopulationSD02124"/>
    <x v="1"/>
    <x v="1"/>
    <s v="Kebkabiya"/>
    <s v="SD02124"/>
    <n v="80175"/>
    <s v="Non-hosting Population"/>
    <n v="17566"/>
    <n v="4"/>
    <n v="4"/>
    <n v="3513"/>
    <n v="1757.7531850704281"/>
    <n v="1755.2468149295719"/>
    <n v="1756.5"/>
    <n v="1545.72"/>
    <n v="210.78"/>
    <n v="526.94999999999993"/>
    <n v="569"/>
    <n v="63"/>
    <n v="0"/>
    <n v="0"/>
    <n v="35"/>
    <n v="70"/>
    <n v="246"/>
    <n v="0"/>
    <n v="0"/>
    <n v="0"/>
    <n v="0"/>
    <n v="0.19998861436866675"/>
    <n v="0"/>
    <n v="229.22581758901433"/>
    <n v="1"/>
    <m/>
    <m/>
    <s v=""/>
    <s v=""/>
    <s v="Flagged"/>
    <s v=""/>
    <s v=""/>
    <m/>
    <s v=""/>
    <s v="Flagged"/>
  </r>
  <r>
    <s v="Non-hosting PopulationSD02126"/>
    <x v="1"/>
    <x v="1"/>
    <s v="Kelemando"/>
    <s v="SD02126"/>
    <n v="9014"/>
    <s v="Non-hosting Population"/>
    <n v="57"/>
    <n v="3"/>
    <n v="4"/>
    <n v="1.5"/>
    <n v="0.76657365127684773"/>
    <n v="0.73342634872315238"/>
    <n v="0.75"/>
    <n v="0.66"/>
    <n v="0.09"/>
    <n v="0.22499999999999998"/>
    <n v="0"/>
    <n v="0"/>
    <n v="0"/>
    <n v="0"/>
    <n v="0"/>
    <n v="0"/>
    <n v="0"/>
    <n v="0"/>
    <n v="0"/>
    <n v="0"/>
    <n v="0"/>
    <n v="2.6315789473684209E-2"/>
    <n v="0"/>
    <n v="56.536116319441291"/>
    <n v="1"/>
    <m/>
    <m/>
    <s v=""/>
    <s v=""/>
    <s v="Flagged"/>
    <s v=""/>
    <s v=""/>
    <m/>
    <s v=""/>
    <s v="Flagged"/>
  </r>
  <r>
    <s v="Non-hosting PopulationSD02128"/>
    <x v="1"/>
    <x v="1"/>
    <s v="Kutum"/>
    <s v="SD02128"/>
    <n v="0"/>
    <s v="Non-hosting Population"/>
    <n v="0"/>
    <n v="3"/>
    <n v="4"/>
    <n v="0"/>
    <n v="0"/>
    <n v="0"/>
    <n v="0"/>
    <n v="0"/>
    <n v="0"/>
    <n v="0"/>
    <n v="0"/>
    <n v="0"/>
    <n v="0"/>
    <n v="0"/>
    <n v="0"/>
    <n v="0"/>
    <n v="0"/>
    <n v="0"/>
    <n v="0"/>
    <n v="0"/>
    <n v="0"/>
    <n v="0"/>
    <n v="0"/>
    <n v="267.30359156087604"/>
    <n v="1"/>
    <m/>
    <m/>
    <s v=""/>
    <s v=""/>
    <s v="No target"/>
    <s v="No target"/>
    <s v=""/>
    <m/>
    <s v="Yes"/>
    <s v="Ok"/>
  </r>
  <r>
    <s v="Non-hosting PopulationSD02129"/>
    <x v="1"/>
    <x v="1"/>
    <s v="Melit"/>
    <s v="SD02129"/>
    <n v="145076"/>
    <s v="Non-hosting Population"/>
    <n v="10076"/>
    <n v="3"/>
    <n v="4"/>
    <n v="214.38"/>
    <n v="108.22221929817209"/>
    <n v="106.1577807018279"/>
    <n v="107.19"/>
    <n v="94.327200000000005"/>
    <n v="12.8628"/>
    <n v="32.156999999999996"/>
    <n v="35"/>
    <n v="4"/>
    <n v="0"/>
    <n v="0"/>
    <n v="2"/>
    <n v="4"/>
    <n v="15"/>
    <n v="0"/>
    <n v="0"/>
    <n v="0"/>
    <n v="0"/>
    <n v="2.1276300119094878E-2"/>
    <n v="0"/>
    <n v="1263.0418466530473"/>
    <n v="1"/>
    <m/>
    <m/>
    <s v=""/>
    <s v=""/>
    <s v="Flagged"/>
    <s v=""/>
    <s v=""/>
    <m/>
    <s v=""/>
    <s v="Flagged"/>
  </r>
  <r>
    <s v="Non-hosting PopulationSD02133"/>
    <x v="1"/>
    <x v="1"/>
    <s v="Saraf Omra"/>
    <s v="SD02133"/>
    <n v="107058"/>
    <s v="Non-hosting Population"/>
    <n v="18084"/>
    <n v="3"/>
    <n v="4"/>
    <n v="3617"/>
    <n v="1825.266700972659"/>
    <n v="1791.7332990273408"/>
    <n v="1808.5"/>
    <n v="1591.48"/>
    <n v="217.01999999999998"/>
    <n v="542.54999999999995"/>
    <n v="586"/>
    <n v="65"/>
    <n v="0"/>
    <n v="0"/>
    <n v="36"/>
    <n v="72"/>
    <n v="253"/>
    <n v="0"/>
    <n v="0"/>
    <n v="0"/>
    <n v="0"/>
    <n v="0.20001105950011058"/>
    <n v="0"/>
    <n v="142.9032955941644"/>
    <n v="1"/>
    <m/>
    <m/>
    <s v=""/>
    <s v=""/>
    <s v="Flagged"/>
    <s v=""/>
    <s v=""/>
    <m/>
    <s v=""/>
    <s v="Flagged"/>
  </r>
  <r>
    <s v="Non-hosting PopulationSD02136"/>
    <x v="1"/>
    <x v="1"/>
    <s v="Um Kadadah"/>
    <s v="SD02136"/>
    <n v="111176"/>
    <s v="Non-hosting Population"/>
    <n v="14249"/>
    <n v="3"/>
    <n v="4"/>
    <n v="1388.7"/>
    <n v="716.63333828585985"/>
    <n v="672.0666617141402"/>
    <n v="694.35"/>
    <n v="611.02800000000002"/>
    <n v="83.322000000000003"/>
    <n v="208.30500000000001"/>
    <n v="225"/>
    <n v="25"/>
    <n v="0"/>
    <n v="0"/>
    <n v="14"/>
    <n v="28"/>
    <n v="97"/>
    <n v="0"/>
    <n v="0"/>
    <n v="0"/>
    <n v="0"/>
    <n v="9.7459470840058959E-2"/>
    <n v="0"/>
    <n v="41.397298442434497"/>
    <n v="1"/>
    <m/>
    <m/>
    <s v=""/>
    <s v=""/>
    <s v=""/>
    <s v=""/>
    <s v=""/>
    <s v="Yes"/>
    <s v="Yes"/>
    <s v="Ok"/>
  </r>
  <r>
    <s v="Non-hosting PopulationSD02168"/>
    <x v="1"/>
    <x v="1"/>
    <s v="Kernoi"/>
    <s v="SD02168"/>
    <n v="141930"/>
    <s v="Non-hosting Population"/>
    <n v="1043"/>
    <n v="3"/>
    <n v="4"/>
    <n v="31.32"/>
    <n v="15.960381976023148"/>
    <n v="15.35961802397685"/>
    <n v="15.66"/>
    <n v="13.780800000000001"/>
    <n v="1.8792"/>
    <n v="4.6979999999999995"/>
    <n v="5"/>
    <n v="1"/>
    <n v="0"/>
    <n v="0"/>
    <n v="0"/>
    <n v="1"/>
    <n v="2"/>
    <n v="0"/>
    <n v="0"/>
    <n v="0"/>
    <n v="0"/>
    <n v="3.0028763183125598E-2"/>
    <n v="0"/>
    <n v="35.353679899597964"/>
    <n v="2"/>
    <m/>
    <m/>
    <s v=""/>
    <s v=""/>
    <s v="Flagged"/>
    <s v=""/>
    <s v=""/>
    <m/>
    <s v=""/>
    <s v="Flagged"/>
  </r>
  <r>
    <s v="Non-hosting PopulationSD02169"/>
    <x v="1"/>
    <x v="1"/>
    <s v="Al Lait"/>
    <s v="SD02169"/>
    <n v="123533"/>
    <s v="Non-hosting Population"/>
    <n v="750"/>
    <n v="3"/>
    <n v="4"/>
    <n v="150"/>
    <n v="76.536579924465769"/>
    <n v="73.463420075534245"/>
    <n v="75"/>
    <n v="66"/>
    <n v="9"/>
    <n v="22.5"/>
    <n v="24"/>
    <n v="3"/>
    <n v="0"/>
    <n v="0"/>
    <n v="2"/>
    <n v="3"/>
    <n v="11"/>
    <n v="0"/>
    <n v="0"/>
    <n v="0"/>
    <n v="0"/>
    <n v="0.2"/>
    <n v="0"/>
    <n v="63.190051020544573"/>
    <n v="3"/>
    <m/>
    <m/>
    <s v=""/>
    <s v=""/>
    <s v=""/>
    <s v=""/>
    <s v=""/>
    <s v="Yes"/>
    <s v=""/>
    <s v="Ok"/>
  </r>
  <r>
    <s v="Non-hosting PopulationSD02170"/>
    <x v="1"/>
    <x v="1"/>
    <s v="Tawila"/>
    <s v="SD02170"/>
    <n v="0"/>
    <s v="Non-hosting Population"/>
    <n v="0"/>
    <n v="4"/>
    <n v="5"/>
    <n v="0"/>
    <n v="0"/>
    <n v="0"/>
    <n v="0"/>
    <n v="0"/>
    <n v="0"/>
    <n v="0"/>
    <n v="0"/>
    <n v="0"/>
    <n v="0"/>
    <n v="0"/>
    <n v="0"/>
    <n v="0"/>
    <n v="0"/>
    <n v="0"/>
    <n v="0"/>
    <n v="0"/>
    <n v="0"/>
    <n v="0"/>
    <n v="0"/>
    <n v="205.7063168558081"/>
    <n v="1"/>
    <m/>
    <m/>
    <s v=""/>
    <s v=""/>
    <s v="No target"/>
    <s v="No target"/>
    <s v=""/>
    <m/>
    <s v=""/>
    <s v="Ok"/>
  </r>
  <r>
    <s v="Non-hosting PopulationSD02171"/>
    <x v="1"/>
    <x v="1"/>
    <s v="At Tina"/>
    <s v="SD02171"/>
    <n v="41449"/>
    <s v="Non-hosting Population"/>
    <n v="2658"/>
    <n v="3"/>
    <n v="4"/>
    <n v="328.32"/>
    <n v="166.52090618357303"/>
    <n v="161.79909381642696"/>
    <n v="164.16"/>
    <n v="144.46080000000001"/>
    <n v="19.699199999999998"/>
    <n v="49.247999999999998"/>
    <n v="53"/>
    <n v="6"/>
    <n v="0"/>
    <n v="0"/>
    <n v="3"/>
    <n v="7"/>
    <n v="23"/>
    <n v="0"/>
    <n v="0"/>
    <n v="0"/>
    <n v="0"/>
    <n v="0.12352144469525959"/>
    <n v="0"/>
    <n v="26.868796723694452"/>
    <n v="3"/>
    <m/>
    <m/>
    <s v=""/>
    <s v=""/>
    <s v="Flagged"/>
    <s v=""/>
    <s v=""/>
    <m/>
    <s v=""/>
    <s v="Flagged"/>
  </r>
  <r>
    <s v="Non-hosting PopulationSD03141"/>
    <x v="2"/>
    <x v="2"/>
    <s v="Al Radoum"/>
    <s v="SD03141"/>
    <n v="35088"/>
    <s v="Non-hosting Population"/>
    <n v="1775"/>
    <n v="3"/>
    <n v="3"/>
    <n v="0"/>
    <n v="0"/>
    <n v="0"/>
    <n v="0"/>
    <n v="0"/>
    <n v="0"/>
    <n v="0"/>
    <n v="0"/>
    <n v="0"/>
    <n v="0"/>
    <n v="0"/>
    <n v="0"/>
    <n v="0"/>
    <n v="0"/>
    <n v="0"/>
    <n v="0"/>
    <n v="0"/>
    <n v="0"/>
    <n v="0"/>
    <n v="0"/>
    <n v="0.44657279873176375"/>
    <n v="1"/>
    <m/>
    <m/>
    <s v=""/>
    <s v=""/>
    <s v="No target"/>
    <s v="No target"/>
    <s v=""/>
    <m/>
    <s v=""/>
    <s v="Flagged"/>
  </r>
  <r>
    <s v="Non-hosting PopulationSD03143"/>
    <x v="2"/>
    <x v="2"/>
    <s v="Ed Al Fursan"/>
    <s v="SD03143"/>
    <n v="145454"/>
    <s v="Non-hosting Population"/>
    <n v="2086"/>
    <n v="3"/>
    <n v="4"/>
    <n v="52"/>
    <n v="25.799619829111304"/>
    <n v="26.2003801708887"/>
    <n v="26"/>
    <n v="22.88"/>
    <n v="3.12"/>
    <n v="7.8"/>
    <n v="8"/>
    <n v="1"/>
    <n v="0"/>
    <n v="0"/>
    <n v="1"/>
    <n v="1"/>
    <n v="4"/>
    <n v="0"/>
    <n v="0"/>
    <n v="0"/>
    <n v="0"/>
    <n v="2.4928092042186004E-2"/>
    <n v="0"/>
    <n v="0"/>
    <n v="1"/>
    <m/>
    <m/>
    <s v=""/>
    <s v=""/>
    <s v="Flagged"/>
    <s v=""/>
    <s v=""/>
    <m/>
    <s v=""/>
    <s v="Flagged"/>
  </r>
  <r>
    <s v="Non-hosting PopulationSD03144"/>
    <x v="2"/>
    <x v="2"/>
    <s v="Kas"/>
    <s v="SD03144"/>
    <n v="17373"/>
    <s v="Non-hosting Population"/>
    <n v="6302"/>
    <n v="4"/>
    <n v="4"/>
    <n v="1260.5"/>
    <n v="629.45368426230209"/>
    <n v="631.04631573769791"/>
    <n v="630.25"/>
    <n v="554.62"/>
    <n v="75.63"/>
    <n v="189.07499999999999"/>
    <n v="204"/>
    <n v="23"/>
    <n v="0"/>
    <n v="0"/>
    <n v="13"/>
    <n v="25"/>
    <n v="88"/>
    <n v="0"/>
    <n v="0"/>
    <n v="0"/>
    <n v="0"/>
    <n v="0.20001586797841955"/>
    <n v="0"/>
    <n v="852.46281549906382"/>
    <n v="2"/>
    <m/>
    <m/>
    <s v=""/>
    <s v=""/>
    <s v="Flagged"/>
    <s v=""/>
    <s v=""/>
    <m/>
    <s v=""/>
    <s v="Flagged"/>
  </r>
  <r>
    <s v="Non-hosting PopulationSD03145"/>
    <x v="2"/>
    <x v="2"/>
    <s v="Mershing"/>
    <s v="SD03145"/>
    <n v="0"/>
    <s v="Non-hosting Population"/>
    <n v="0"/>
    <n v="4"/>
    <n v="4"/>
    <n v="0"/>
    <n v="0"/>
    <n v="0"/>
    <n v="0"/>
    <n v="0"/>
    <n v="0"/>
    <n v="0"/>
    <n v="0"/>
    <n v="0"/>
    <n v="0"/>
    <n v="0"/>
    <n v="0"/>
    <n v="0"/>
    <n v="0"/>
    <n v="0"/>
    <n v="0"/>
    <n v="0"/>
    <n v="0"/>
    <n v="0"/>
    <n v="0"/>
    <n v="12.057465565757621"/>
    <n v="1"/>
    <m/>
    <m/>
    <s v=""/>
    <s v=""/>
    <s v="No target"/>
    <s v="No target"/>
    <s v=""/>
    <m/>
    <s v="Yes"/>
    <s v="Ok"/>
  </r>
  <r>
    <s v="Non-hosting PopulationSD03146"/>
    <x v="2"/>
    <x v="2"/>
    <s v="Um Dafoug"/>
    <s v="SD03146"/>
    <n v="57590"/>
    <s v="Non-hosting Population"/>
    <n v="448"/>
    <n v="3"/>
    <n v="3"/>
    <n v="0"/>
    <n v="0"/>
    <n v="0"/>
    <n v="0"/>
    <n v="0"/>
    <n v="0"/>
    <n v="0"/>
    <n v="0"/>
    <n v="0"/>
    <n v="0"/>
    <n v="0"/>
    <n v="0"/>
    <n v="0"/>
    <n v="0"/>
    <n v="0"/>
    <n v="0"/>
    <n v="0"/>
    <n v="0"/>
    <n v="0"/>
    <n v="0"/>
    <n v="0"/>
    <n v="1"/>
    <m/>
    <m/>
    <s v=""/>
    <s v=""/>
    <s v="No target"/>
    <s v="No target"/>
    <s v=""/>
    <m/>
    <s v=""/>
    <s v="Flagged"/>
  </r>
  <r>
    <s v="Non-hosting PopulationSD03147"/>
    <x v="2"/>
    <x v="2"/>
    <s v="Sharg Aj Jabal"/>
    <s v="SD03147"/>
    <n v="0"/>
    <s v="Non-hosting Population"/>
    <n v="0"/>
    <n v="3"/>
    <n v="4"/>
    <n v="0"/>
    <n v="0"/>
    <n v="0"/>
    <n v="0"/>
    <n v="0"/>
    <n v="0"/>
    <n v="0"/>
    <n v="0"/>
    <n v="0"/>
    <n v="0"/>
    <n v="0"/>
    <n v="0"/>
    <n v="0"/>
    <n v="0"/>
    <n v="0"/>
    <n v="0"/>
    <n v="0"/>
    <n v="0"/>
    <n v="0"/>
    <n v="0"/>
    <n v="679.90708606911028"/>
    <n v="1"/>
    <m/>
    <m/>
    <s v=""/>
    <s v=""/>
    <s v="No target"/>
    <s v="No target"/>
    <s v=""/>
    <m/>
    <s v="Yes"/>
    <s v="Ok"/>
  </r>
  <r>
    <s v="Non-hosting PopulationSD03149"/>
    <x v="2"/>
    <x v="2"/>
    <s v="Tulus"/>
    <s v="SD03149"/>
    <n v="330303"/>
    <s v="Non-hosting Population"/>
    <n v="0"/>
    <n v="3"/>
    <n v="4"/>
    <n v="0"/>
    <n v="0"/>
    <n v="0"/>
    <n v="0"/>
    <n v="0"/>
    <n v="0"/>
    <n v="0"/>
    <n v="0"/>
    <n v="0"/>
    <n v="0"/>
    <n v="0"/>
    <n v="0"/>
    <n v="0"/>
    <n v="0"/>
    <n v="0"/>
    <n v="0"/>
    <n v="0"/>
    <n v="0"/>
    <n v="0"/>
    <n v="0"/>
    <n v="0"/>
    <n v="1"/>
    <m/>
    <m/>
    <s v=""/>
    <s v=""/>
    <s v="No target"/>
    <s v="No target"/>
    <s v=""/>
    <m/>
    <s v=""/>
    <s v="Flagged"/>
  </r>
  <r>
    <s v="Non-hosting PopulationSD03150"/>
    <x v="2"/>
    <x v="2"/>
    <s v="Al Wihda"/>
    <s v="SD03150"/>
    <n v="40368"/>
    <s v="Non-hosting Population"/>
    <n v="3770"/>
    <n v="3"/>
    <n v="4"/>
    <n v="19.079999999999998"/>
    <n v="9.1197165236851916"/>
    <n v="9.9602834763148067"/>
    <n v="9.5399999999999991"/>
    <n v="8.3951999999999991"/>
    <n v="1.1447999999999998"/>
    <n v="2.8619999999999997"/>
    <n v="3"/>
    <n v="0"/>
    <n v="0"/>
    <n v="0"/>
    <n v="0"/>
    <n v="0"/>
    <n v="1"/>
    <n v="0"/>
    <n v="0"/>
    <n v="0"/>
    <n v="0"/>
    <n v="5.061007957559681E-3"/>
    <n v="0"/>
    <n v="70.528730679703216"/>
    <n v="1"/>
    <m/>
    <m/>
    <s v=""/>
    <s v=""/>
    <s v="Flagged"/>
    <s v=""/>
    <s v=""/>
    <m/>
    <s v=""/>
    <s v="Flagged"/>
  </r>
  <r>
    <s v="Non-hosting PopulationSD03151"/>
    <x v="2"/>
    <x v="2"/>
    <s v="Nitega"/>
    <s v="SD03151"/>
    <n v="0"/>
    <s v="Non-hosting Population"/>
    <n v="0"/>
    <n v="3"/>
    <n v="4"/>
    <n v="0"/>
    <n v="0"/>
    <n v="0"/>
    <n v="0"/>
    <n v="0"/>
    <n v="0"/>
    <n v="0"/>
    <n v="0"/>
    <n v="0"/>
    <n v="0"/>
    <n v="0"/>
    <n v="0"/>
    <n v="0"/>
    <n v="0"/>
    <n v="0"/>
    <n v="0"/>
    <n v="0"/>
    <n v="0"/>
    <n v="0"/>
    <n v="0"/>
    <n v="68.414952765706204"/>
    <n v="1"/>
    <m/>
    <m/>
    <s v=""/>
    <s v=""/>
    <s v="No target"/>
    <s v="No target"/>
    <s v=""/>
    <m/>
    <s v="Yes"/>
    <s v="Ok"/>
  </r>
  <r>
    <s v="Non-hosting PopulationSD03153"/>
    <x v="2"/>
    <x v="2"/>
    <s v="Gereida"/>
    <s v="SD03153"/>
    <n v="0"/>
    <s v="Non-hosting Population"/>
    <n v="0"/>
    <n v="3"/>
    <n v="4"/>
    <n v="0"/>
    <n v="0"/>
    <n v="0"/>
    <n v="0"/>
    <n v="0"/>
    <n v="0"/>
    <n v="0"/>
    <n v="0"/>
    <n v="0"/>
    <n v="0"/>
    <n v="0"/>
    <n v="0"/>
    <n v="0"/>
    <n v="0"/>
    <n v="0"/>
    <n v="0"/>
    <n v="0"/>
    <n v="0"/>
    <n v="0"/>
    <n v="0"/>
    <n v="1329.4621075844184"/>
    <n v="2"/>
    <m/>
    <m/>
    <s v=""/>
    <s v=""/>
    <s v="No target"/>
    <s v="No target"/>
    <s v=""/>
    <m/>
    <s v=""/>
    <s v="Flagged"/>
  </r>
  <r>
    <s v="Non-hosting PopulationSD03154"/>
    <x v="2"/>
    <x v="2"/>
    <s v="Shattaya"/>
    <s v="SD03154"/>
    <n v="6230"/>
    <s v="Non-hosting Population"/>
    <n v="396"/>
    <n v="3"/>
    <n v="5"/>
    <n v="0"/>
    <n v="0"/>
    <n v="0"/>
    <n v="0"/>
    <n v="0"/>
    <n v="0"/>
    <n v="0"/>
    <n v="0"/>
    <n v="0"/>
    <n v="0"/>
    <n v="0"/>
    <n v="0"/>
    <n v="0"/>
    <n v="0"/>
    <n v="0"/>
    <n v="0"/>
    <n v="0"/>
    <n v="0"/>
    <n v="0"/>
    <n v="0"/>
    <n v="83.55377064271299"/>
    <n v="1"/>
    <m/>
    <m/>
    <s v=""/>
    <s v=""/>
    <s v="No target"/>
    <s v="No target"/>
    <s v=""/>
    <m/>
    <s v=""/>
    <s v="Ok"/>
  </r>
  <r>
    <s v="Non-hosting PopulationSD03156"/>
    <x v="2"/>
    <x v="2"/>
    <s v="As Sunta"/>
    <s v="SD03156"/>
    <n v="0"/>
    <s v="Non-hosting Population"/>
    <n v="0"/>
    <n v="3"/>
    <n v="4"/>
    <n v="0"/>
    <n v="0"/>
    <n v="0"/>
    <n v="0"/>
    <n v="0"/>
    <n v="0"/>
    <n v="0"/>
    <n v="0"/>
    <n v="0"/>
    <n v="0"/>
    <n v="0"/>
    <n v="0"/>
    <n v="0"/>
    <n v="0"/>
    <n v="0"/>
    <n v="0"/>
    <n v="0"/>
    <n v="0"/>
    <n v="0"/>
    <n v="0"/>
    <n v="0"/>
    <n v="1"/>
    <m/>
    <m/>
    <s v=""/>
    <s v=""/>
    <s v="No target"/>
    <s v="No target"/>
    <s v=""/>
    <m/>
    <s v="Yes"/>
    <s v="Ok"/>
  </r>
  <r>
    <s v="Non-hosting PopulationSD03157"/>
    <x v="2"/>
    <x v="2"/>
    <s v="Kubum"/>
    <s v="SD03157"/>
    <n v="214438"/>
    <s v="Non-hosting Population"/>
    <n v="1627"/>
    <n v="3"/>
    <n v="4"/>
    <n v="40.5"/>
    <n v="20.602563000283727"/>
    <n v="19.897436999716273"/>
    <n v="20.25"/>
    <n v="17.82"/>
    <n v="2.4299999999999997"/>
    <n v="6.0750000000000002"/>
    <n v="7"/>
    <n v="1"/>
    <n v="0"/>
    <n v="0"/>
    <n v="0"/>
    <n v="1"/>
    <n v="3"/>
    <n v="0"/>
    <n v="0"/>
    <n v="0"/>
    <n v="0"/>
    <n v="2.4892440073755379E-2"/>
    <n v="0"/>
    <n v="11.744864606645386"/>
    <n v="1"/>
    <m/>
    <m/>
    <s v=""/>
    <s v=""/>
    <s v="Flagged"/>
    <s v=""/>
    <s v=""/>
    <m/>
    <s v=""/>
    <s v="Flagged"/>
  </r>
  <r>
    <s v="Non-hosting PopulationSD03158"/>
    <x v="2"/>
    <x v="2"/>
    <s v="Rehaid Albirdi"/>
    <s v="SD03158"/>
    <n v="195095"/>
    <s v="Non-hosting Population"/>
    <n v="46809"/>
    <n v="4"/>
    <n v="4"/>
    <n v="2001.6"/>
    <n v="1014.1641979113432"/>
    <n v="987.43580208865671"/>
    <n v="1000.8"/>
    <n v="880.70399999999995"/>
    <n v="120.09599999999999"/>
    <n v="300.23999999999995"/>
    <n v="324"/>
    <n v="36"/>
    <n v="0"/>
    <n v="0"/>
    <n v="20"/>
    <n v="40"/>
    <n v="140"/>
    <n v="0"/>
    <n v="10"/>
    <n v="0"/>
    <n v="0"/>
    <n v="4.2761007498557969E-2"/>
    <n v="0"/>
    <n v="0"/>
    <n v="1"/>
    <m/>
    <m/>
    <s v=""/>
    <s v=""/>
    <s v=""/>
    <s v=""/>
    <s v=""/>
    <m/>
    <s v="Yes"/>
    <s v="Ok"/>
  </r>
  <r>
    <s v="Non-hosting PopulationSD03159"/>
    <x v="2"/>
    <x v="2"/>
    <s v="Kateila"/>
    <s v="SD03159"/>
    <n v="85750"/>
    <s v="Non-hosting Population"/>
    <n v="10134"/>
    <n v="3"/>
    <n v="3"/>
    <n v="0"/>
    <n v="0"/>
    <n v="0"/>
    <n v="0"/>
    <n v="0"/>
    <n v="0"/>
    <n v="0"/>
    <n v="0"/>
    <n v="0"/>
    <n v="0"/>
    <n v="0"/>
    <n v="0"/>
    <n v="0"/>
    <n v="0"/>
    <n v="0"/>
    <n v="0"/>
    <n v="0"/>
    <n v="0"/>
    <n v="0"/>
    <n v="0"/>
    <n v="74.428799788627288"/>
    <n v="1"/>
    <m/>
    <m/>
    <s v=""/>
    <s v=""/>
    <s v="No target"/>
    <s v="No target"/>
    <s v=""/>
    <m/>
    <s v=""/>
    <s v="Flagged"/>
  </r>
  <r>
    <s v="Non-hosting PopulationSD03161"/>
    <x v="2"/>
    <x v="2"/>
    <s v="Buram"/>
    <s v="SD03161"/>
    <n v="0"/>
    <s v="Non-hosting Population"/>
    <n v="0"/>
    <n v="3"/>
    <n v="4"/>
    <n v="0"/>
    <n v="0"/>
    <n v="0"/>
    <n v="0"/>
    <n v="0"/>
    <n v="0"/>
    <n v="0"/>
    <n v="0"/>
    <n v="0"/>
    <n v="0"/>
    <n v="0"/>
    <n v="0"/>
    <n v="0"/>
    <n v="0"/>
    <n v="0"/>
    <n v="0"/>
    <n v="0"/>
    <n v="0"/>
    <n v="0"/>
    <n v="0"/>
    <n v="126.54384540062412"/>
    <n v="1"/>
    <m/>
    <m/>
    <s v=""/>
    <s v=""/>
    <s v="No target"/>
    <s v="No target"/>
    <s v=""/>
    <m/>
    <s v=""/>
    <s v="Flagged"/>
  </r>
  <r>
    <s v="Non-hosting PopulationSD03162"/>
    <x v="2"/>
    <x v="2"/>
    <s v="Beliel"/>
    <s v="SD03162"/>
    <n v="0"/>
    <s v="Non-hosting Population"/>
    <n v="0"/>
    <n v="4"/>
    <n v="4"/>
    <n v="0"/>
    <n v="0"/>
    <n v="0"/>
    <n v="0"/>
    <n v="0"/>
    <n v="0"/>
    <n v="0"/>
    <n v="0"/>
    <n v="0"/>
    <n v="0"/>
    <n v="0"/>
    <n v="0"/>
    <n v="0"/>
    <n v="0"/>
    <n v="0"/>
    <n v="0"/>
    <n v="0"/>
    <n v="0"/>
    <n v="0"/>
    <n v="0"/>
    <n v="1872.1224868433001"/>
    <n v="2"/>
    <m/>
    <m/>
    <s v=""/>
    <s v=""/>
    <s v="No target"/>
    <s v="No target"/>
    <s v="Yes"/>
    <m/>
    <s v=""/>
    <s v="Ok"/>
  </r>
  <r>
    <s v="Non-hosting PopulationSD03164"/>
    <x v="2"/>
    <x v="2"/>
    <s v="Nyala Shimal"/>
    <s v="SD03164"/>
    <n v="0"/>
    <s v="Non-hosting Population"/>
    <n v="0"/>
    <n v="4"/>
    <n v="5"/>
    <n v="0"/>
    <n v="0"/>
    <n v="0"/>
    <n v="0"/>
    <n v="0"/>
    <n v="0"/>
    <n v="0"/>
    <n v="0"/>
    <n v="0"/>
    <n v="0"/>
    <n v="0"/>
    <n v="0"/>
    <n v="0"/>
    <n v="0"/>
    <n v="0"/>
    <n v="0"/>
    <n v="0"/>
    <n v="0"/>
    <n v="0"/>
    <n v="0"/>
    <n v="352.62876763855837"/>
    <n v="3"/>
    <m/>
    <m/>
    <s v=""/>
    <s v=""/>
    <s v="No target"/>
    <s v="No target"/>
    <s v="Yes"/>
    <m/>
    <s v=""/>
    <s v="Ok"/>
  </r>
  <r>
    <s v="Non-hosting PopulationSD03166"/>
    <x v="2"/>
    <x v="2"/>
    <s v="As Salam - SD"/>
    <s v="SD03166"/>
    <n v="74097"/>
    <s v="Non-hosting Population"/>
    <n v="4037"/>
    <n v="3"/>
    <n v="4"/>
    <n v="355.14"/>
    <n v="179.15418220024955"/>
    <n v="175.98581779975046"/>
    <n v="177.57"/>
    <n v="156.26159999999999"/>
    <n v="21.308399999999999"/>
    <n v="53.270999999999994"/>
    <n v="58"/>
    <n v="6"/>
    <n v="0"/>
    <n v="0"/>
    <n v="4"/>
    <n v="7"/>
    <n v="25"/>
    <n v="0"/>
    <n v="0"/>
    <n v="0"/>
    <n v="0"/>
    <n v="8.7971265791429276E-2"/>
    <n v="0"/>
    <n v="507.12807023979093"/>
    <n v="3"/>
    <m/>
    <m/>
    <s v=""/>
    <s v=""/>
    <s v="Flagged"/>
    <s v=""/>
    <s v=""/>
    <m/>
    <s v=""/>
    <s v="Flagged"/>
  </r>
  <r>
    <s v="Non-hosting PopulationSD03167"/>
    <x v="2"/>
    <x v="2"/>
    <s v="Nyala Janoub"/>
    <s v="SD03167"/>
    <n v="0"/>
    <s v="Non-hosting Population"/>
    <n v="0"/>
    <n v="3"/>
    <n v="4"/>
    <n v="0"/>
    <n v="0"/>
    <n v="0"/>
    <n v="0"/>
    <n v="0"/>
    <n v="0"/>
    <n v="0"/>
    <n v="0"/>
    <n v="0"/>
    <n v="0"/>
    <n v="0"/>
    <n v="0"/>
    <n v="0"/>
    <n v="0"/>
    <n v="0"/>
    <n v="0"/>
    <n v="0"/>
    <n v="0"/>
    <n v="0"/>
    <n v="0"/>
    <n v="220.83024897285716"/>
    <n v="4"/>
    <m/>
    <m/>
    <s v=""/>
    <s v=""/>
    <s v="No target"/>
    <s v="No target"/>
    <s v="Yes"/>
    <m/>
    <s v=""/>
    <s v="Ok"/>
  </r>
  <r>
    <s v="Non-hosting PopulationSD03172"/>
    <x v="2"/>
    <x v="2"/>
    <s v="Damso"/>
    <s v="SD03172"/>
    <n v="162828"/>
    <s v="Non-hosting Population"/>
    <n v="4862"/>
    <n v="3"/>
    <n v="3"/>
    <n v="0"/>
    <n v="0"/>
    <n v="0"/>
    <n v="0"/>
    <n v="0"/>
    <n v="0"/>
    <n v="0"/>
    <n v="0"/>
    <n v="0"/>
    <n v="0"/>
    <n v="0"/>
    <n v="0"/>
    <n v="0"/>
    <n v="0"/>
    <n v="0"/>
    <n v="0"/>
    <n v="0"/>
    <n v="0"/>
    <n v="0"/>
    <n v="0"/>
    <n v="10.286060130788291"/>
    <n v="1"/>
    <m/>
    <m/>
    <s v=""/>
    <s v=""/>
    <s v="No target"/>
    <s v="No target"/>
    <s v=""/>
    <m/>
    <s v=""/>
    <s v="Flagged"/>
  </r>
  <r>
    <s v="Non-hosting PopulationSD04111"/>
    <x v="3"/>
    <x v="3"/>
    <s v="Beida"/>
    <s v="SD04111"/>
    <n v="58928"/>
    <s v="Non-hosting Population"/>
    <n v="4059"/>
    <n v="3"/>
    <n v="4"/>
    <n v="87.3"/>
    <n v="44.455479136602285"/>
    <n v="42.844520863397712"/>
    <n v="43.65"/>
    <n v="38.411999999999999"/>
    <n v="5.2379999999999995"/>
    <n v="13.094999999999999"/>
    <n v="14"/>
    <n v="2"/>
    <n v="0"/>
    <n v="0"/>
    <n v="1"/>
    <n v="2"/>
    <n v="6"/>
    <n v="0"/>
    <n v="0"/>
    <n v="0"/>
    <n v="0"/>
    <n v="2.1507760532150776E-2"/>
    <n v="0"/>
    <n v="36.261711257019215"/>
    <n v="1"/>
    <m/>
    <m/>
    <s v=""/>
    <s v=""/>
    <s v="Flagged"/>
    <s v=""/>
    <s v=""/>
    <m/>
    <s v=""/>
    <s v="Flagged"/>
  </r>
  <r>
    <s v="Non-hosting PopulationSD04115"/>
    <x v="3"/>
    <x v="3"/>
    <s v="Ag Geneina"/>
    <s v="SD04115"/>
    <n v="54780"/>
    <s v="Non-hosting Population"/>
    <n v="2721"/>
    <n v="3"/>
    <n v="4"/>
    <n v="544"/>
    <n v="269.0943917487798"/>
    <n v="274.9056082512202"/>
    <n v="272"/>
    <n v="239.36"/>
    <n v="32.64"/>
    <n v="81.599999999999994"/>
    <n v="88"/>
    <n v="10"/>
    <n v="0"/>
    <n v="0"/>
    <n v="5"/>
    <n v="11"/>
    <n v="38"/>
    <n v="0"/>
    <n v="0"/>
    <n v="0"/>
    <n v="0"/>
    <n v="0.19992649761117237"/>
    <n v="0"/>
    <n v="3832.4728729560388"/>
    <n v="5"/>
    <m/>
    <m/>
    <s v=""/>
    <s v=""/>
    <s v="Flagged"/>
    <s v=""/>
    <s v=""/>
    <m/>
    <s v=""/>
    <s v="Flagged"/>
  </r>
  <r>
    <s v="Non-hosting PopulationSD04121"/>
    <x v="3"/>
    <x v="3"/>
    <s v="Foro Baranga"/>
    <s v="SD04121"/>
    <n v="13732"/>
    <s v="Non-hosting Population"/>
    <n v="3240"/>
    <n v="3"/>
    <n v="5"/>
    <n v="648"/>
    <n v="325.03595559845564"/>
    <n v="322.96404440154441"/>
    <n v="324"/>
    <n v="285.12"/>
    <n v="38.879999999999995"/>
    <n v="97.2"/>
    <n v="105"/>
    <n v="12"/>
    <n v="0"/>
    <n v="0"/>
    <n v="6"/>
    <n v="13"/>
    <n v="45"/>
    <n v="0"/>
    <n v="0"/>
    <n v="0"/>
    <n v="0"/>
    <n v="0.2"/>
    <n v="0"/>
    <n v="832.44146835592312"/>
    <n v="3"/>
    <m/>
    <m/>
    <s v=""/>
    <s v=""/>
    <s v=""/>
    <s v=""/>
    <s v=""/>
    <m/>
    <s v=""/>
    <s v="Ok"/>
  </r>
  <r>
    <s v="Non-hosting PopulationSD04122"/>
    <x v="3"/>
    <x v="3"/>
    <s v="Habila - WD"/>
    <s v="SD04122"/>
    <n v="0"/>
    <s v="Non-hosting Population"/>
    <n v="0"/>
    <n v="3"/>
    <n v="4"/>
    <n v="0"/>
    <n v="0"/>
    <n v="0"/>
    <n v="0"/>
    <n v="0"/>
    <n v="0"/>
    <n v="0"/>
    <n v="0"/>
    <n v="0"/>
    <n v="0"/>
    <n v="0"/>
    <n v="0"/>
    <n v="0"/>
    <n v="0"/>
    <n v="0"/>
    <n v="0"/>
    <n v="0"/>
    <n v="0"/>
    <n v="0"/>
    <n v="0"/>
    <n v="434.51533316600614"/>
    <n v="2"/>
    <m/>
    <m/>
    <s v=""/>
    <s v=""/>
    <s v="No target"/>
    <s v="No target"/>
    <s v=""/>
    <m/>
    <s v="Yes"/>
    <s v="Ok"/>
  </r>
  <r>
    <s v="Non-hosting PopulationSD04123"/>
    <x v="3"/>
    <x v="3"/>
    <s v="Jebel Moon"/>
    <s v="SD04123"/>
    <n v="0"/>
    <s v="Non-hosting Population"/>
    <n v="0"/>
    <n v="3"/>
    <n v="5"/>
    <n v="0"/>
    <n v="0"/>
    <n v="0"/>
    <n v="0"/>
    <n v="0"/>
    <n v="0"/>
    <n v="0"/>
    <n v="0"/>
    <n v="0"/>
    <n v="0"/>
    <n v="0"/>
    <n v="0"/>
    <n v="0"/>
    <n v="0"/>
    <n v="0"/>
    <n v="0"/>
    <n v="0"/>
    <n v="0"/>
    <n v="0"/>
    <n v="0"/>
    <n v="1001.0078141172062"/>
    <n v="2"/>
    <m/>
    <m/>
    <s v=""/>
    <s v=""/>
    <s v="No target"/>
    <s v="No target"/>
    <s v=""/>
    <m/>
    <s v=""/>
    <s v="Ok"/>
  </r>
  <r>
    <s v="Non-hosting PopulationSD04125"/>
    <x v="3"/>
    <x v="3"/>
    <s v="Kereneik"/>
    <s v="SD04125"/>
    <n v="45483"/>
    <s v="Non-hosting Population"/>
    <n v="4450"/>
    <n v="3"/>
    <n v="4"/>
    <n v="111.5"/>
    <n v="56.097727466431117"/>
    <n v="55.402272533568876"/>
    <n v="55.75"/>
    <n v="49.06"/>
    <n v="6.6899999999999995"/>
    <n v="16.724999999999998"/>
    <n v="18"/>
    <n v="2"/>
    <n v="0"/>
    <n v="0"/>
    <n v="1"/>
    <n v="2"/>
    <n v="8"/>
    <n v="0"/>
    <n v="0"/>
    <n v="0"/>
    <n v="0"/>
    <n v="2.50561797752809E-2"/>
    <n v="0"/>
    <n v="1346.4169881762678"/>
    <n v="3"/>
    <m/>
    <m/>
    <s v=""/>
    <s v=""/>
    <s v=""/>
    <s v=""/>
    <s v="Yes"/>
    <m/>
    <s v=""/>
    <s v="Ok"/>
  </r>
  <r>
    <s v="Non-hosting PopulationSD04127"/>
    <x v="3"/>
    <x v="3"/>
    <s v="Kulbus"/>
    <s v="SD04127"/>
    <n v="0"/>
    <s v="Non-hosting Population"/>
    <n v="0"/>
    <n v="3"/>
    <n v="4"/>
    <n v="0"/>
    <n v="0"/>
    <n v="0"/>
    <n v="0"/>
    <n v="0"/>
    <n v="0"/>
    <n v="0"/>
    <n v="0"/>
    <n v="0"/>
    <n v="0"/>
    <n v="0"/>
    <n v="0"/>
    <n v="0"/>
    <n v="0"/>
    <n v="0"/>
    <n v="0"/>
    <n v="0"/>
    <n v="0"/>
    <n v="0"/>
    <n v="0"/>
    <n v="3690.5371517591266"/>
    <n v="2"/>
    <m/>
    <m/>
    <s v=""/>
    <s v=""/>
    <s v="No target"/>
    <s v="No target"/>
    <s v=""/>
    <m/>
    <s v="Yes"/>
    <s v="Ok"/>
  </r>
  <r>
    <s v="Non-hosting PopulationSD04134"/>
    <x v="3"/>
    <x v="3"/>
    <s v="Sirba"/>
    <s v="SD04134"/>
    <n v="1123"/>
    <s v="Non-hosting Population"/>
    <n v="0"/>
    <n v="3"/>
    <n v="4"/>
    <n v="0"/>
    <n v="0"/>
    <n v="0"/>
    <n v="0"/>
    <n v="0"/>
    <n v="0"/>
    <n v="0"/>
    <n v="0"/>
    <n v="0"/>
    <n v="0"/>
    <n v="0"/>
    <n v="0"/>
    <n v="0"/>
    <n v="0"/>
    <n v="0"/>
    <n v="0"/>
    <n v="0"/>
    <n v="0"/>
    <n v="0"/>
    <n v="0"/>
    <n v="474.70688505186484"/>
    <n v="5"/>
    <m/>
    <m/>
    <s v=""/>
    <s v=""/>
    <s v="No target"/>
    <s v="No target"/>
    <s v="Yes"/>
    <m/>
    <s v=""/>
    <s v="Ok"/>
  </r>
  <r>
    <s v="Non-hosting PopulationSD05139"/>
    <x v="4"/>
    <x v="4"/>
    <s v="Adila"/>
    <s v="SD05139"/>
    <n v="152418"/>
    <s v="Non-hosting Population"/>
    <n v="9759"/>
    <n v="3"/>
    <n v="3"/>
    <n v="412.91999999999996"/>
    <n v="201.52562435034119"/>
    <n v="211.39437564965877"/>
    <n v="206.45999999999998"/>
    <n v="181.6848"/>
    <n v="24.775199999999998"/>
    <n v="61.937999999999988"/>
    <n v="67"/>
    <n v="7"/>
    <n v="0"/>
    <n v="0"/>
    <n v="4"/>
    <n v="8"/>
    <n v="29"/>
    <n v="0"/>
    <n v="0"/>
    <n v="0"/>
    <n v="0"/>
    <n v="4.231171226560098E-2"/>
    <n v="0"/>
    <n v="413.37755402603597"/>
    <n v="2"/>
    <m/>
    <m/>
    <s v=""/>
    <s v=""/>
    <s v=""/>
    <s v="Flagged"/>
    <s v=""/>
    <m/>
    <s v=""/>
    <s v="Flagged"/>
  </r>
  <r>
    <s v="Non-hosting PopulationSD05140"/>
    <x v="4"/>
    <x v="4"/>
    <s v="Abu Jabrah"/>
    <s v="SD05140"/>
    <n v="91830"/>
    <s v="Non-hosting Population"/>
    <n v="0"/>
    <n v="3"/>
    <n v="3"/>
    <n v="0"/>
    <n v="0"/>
    <n v="0"/>
    <n v="0"/>
    <n v="0"/>
    <n v="0"/>
    <n v="0"/>
    <n v="0"/>
    <n v="0"/>
    <n v="0"/>
    <n v="0"/>
    <n v="0"/>
    <n v="0"/>
    <n v="0"/>
    <n v="0"/>
    <n v="0"/>
    <n v="0"/>
    <n v="0"/>
    <n v="0"/>
    <n v="0"/>
    <n v="80.293789211971117"/>
    <n v="1"/>
    <m/>
    <m/>
    <s v=""/>
    <s v=""/>
    <s v="No target"/>
    <s v="No target"/>
    <s v=""/>
    <m/>
    <s v=""/>
    <s v="Flagged"/>
  </r>
  <r>
    <s v="Non-hosting PopulationSD05142"/>
    <x v="4"/>
    <x v="4"/>
    <s v="Ad Du'ayn"/>
    <s v="SD05142"/>
    <n v="0"/>
    <s v="Non-hosting Population"/>
    <n v="0"/>
    <n v="3"/>
    <n v="3"/>
    <n v="0"/>
    <n v="0"/>
    <n v="0"/>
    <n v="0"/>
    <n v="0"/>
    <n v="0"/>
    <n v="0"/>
    <n v="0"/>
    <n v="0"/>
    <n v="0"/>
    <n v="0"/>
    <n v="0"/>
    <n v="0"/>
    <n v="0"/>
    <n v="0"/>
    <n v="0"/>
    <n v="0"/>
    <n v="0"/>
    <n v="0"/>
    <n v="0"/>
    <n v="1575.3004332862542"/>
    <n v="4"/>
    <m/>
    <m/>
    <s v=""/>
    <s v=""/>
    <s v="No target"/>
    <s v="No target"/>
    <s v=""/>
    <m/>
    <s v=""/>
    <s v="Flagged"/>
  </r>
  <r>
    <s v="Non-hosting PopulationSD05148"/>
    <x v="4"/>
    <x v="4"/>
    <s v="Shia'ria"/>
    <s v="SD05148"/>
    <n v="0"/>
    <s v="Non-hosting Population"/>
    <n v="0"/>
    <n v="3"/>
    <n v="5"/>
    <n v="0"/>
    <n v="0"/>
    <n v="0"/>
    <n v="0"/>
    <n v="0"/>
    <n v="0"/>
    <n v="0"/>
    <n v="0"/>
    <n v="0"/>
    <n v="0"/>
    <n v="0"/>
    <n v="0"/>
    <n v="0"/>
    <n v="0"/>
    <n v="0"/>
    <n v="0"/>
    <n v="0"/>
    <n v="0"/>
    <n v="0"/>
    <n v="0"/>
    <n v="433.20538628972628"/>
    <n v="1"/>
    <m/>
    <m/>
    <s v=""/>
    <s v=""/>
    <s v="No target"/>
    <s v="No target"/>
    <s v=""/>
    <m/>
    <s v=""/>
    <s v="Ok"/>
  </r>
  <r>
    <s v="Non-hosting PopulationSD05152"/>
    <x v="4"/>
    <x v="4"/>
    <s v="Al Firdous"/>
    <s v="SD05152"/>
    <n v="105960"/>
    <s v="Non-hosting Population"/>
    <n v="2373"/>
    <n v="3"/>
    <n v="3"/>
    <n v="118.5"/>
    <n v="60.662738266038119"/>
    <n v="57.837261733961881"/>
    <n v="59.25"/>
    <n v="52.14"/>
    <n v="7.1099999999999994"/>
    <n v="17.774999999999999"/>
    <n v="19"/>
    <n v="2"/>
    <n v="0"/>
    <n v="0"/>
    <n v="1"/>
    <n v="2"/>
    <n v="8"/>
    <n v="0"/>
    <n v="0"/>
    <n v="0"/>
    <n v="0"/>
    <n v="4.9936788874841972E-2"/>
    <n v="0"/>
    <n v="215.6946617874419"/>
    <n v="2"/>
    <m/>
    <m/>
    <s v=""/>
    <s v=""/>
    <s v=""/>
    <s v=""/>
    <s v="Yes"/>
    <m/>
    <s v=""/>
    <s v="Ok"/>
  </r>
  <r>
    <s v="Non-hosting PopulationSD05155"/>
    <x v="4"/>
    <x v="4"/>
    <s v="Abu Karinka"/>
    <s v="SD05155"/>
    <n v="225032"/>
    <s v="Non-hosting Population"/>
    <n v="1614"/>
    <n v="3"/>
    <n v="3"/>
    <n v="0"/>
    <n v="0"/>
    <n v="0"/>
    <n v="0"/>
    <n v="0"/>
    <n v="0"/>
    <n v="0"/>
    <n v="0"/>
    <n v="0"/>
    <n v="0"/>
    <n v="0"/>
    <n v="0"/>
    <n v="0"/>
    <n v="0"/>
    <n v="0"/>
    <n v="0"/>
    <n v="0"/>
    <n v="0"/>
    <n v="0"/>
    <n v="0"/>
    <n v="344.94771550037206"/>
    <n v="1"/>
    <m/>
    <m/>
    <s v=""/>
    <s v=""/>
    <s v="No target"/>
    <s v="No target"/>
    <s v=""/>
    <m/>
    <s v=""/>
    <s v="Flagged"/>
  </r>
  <r>
    <s v="Non-hosting PopulationSD05160"/>
    <x v="4"/>
    <x v="4"/>
    <s v="Bahr Al Arab"/>
    <s v="SD05160"/>
    <n v="217630"/>
    <s v="Non-hosting Population"/>
    <n v="2431"/>
    <n v="3"/>
    <n v="3"/>
    <n v="0"/>
    <n v="0"/>
    <n v="0"/>
    <n v="0"/>
    <n v="0"/>
    <n v="0"/>
    <n v="0"/>
    <n v="0"/>
    <n v="0"/>
    <n v="0"/>
    <n v="0"/>
    <n v="0"/>
    <n v="0"/>
    <n v="0"/>
    <n v="0"/>
    <n v="0"/>
    <n v="0"/>
    <n v="0"/>
    <n v="0"/>
    <n v="0"/>
    <n v="41.992728840743517"/>
    <n v="1"/>
    <m/>
    <m/>
    <s v=""/>
    <s v=""/>
    <s v="No target"/>
    <s v="No target"/>
    <s v=""/>
    <m/>
    <s v=""/>
    <s v="Flagged"/>
  </r>
  <r>
    <s v="Non-hosting PopulationSD05163"/>
    <x v="4"/>
    <x v="4"/>
    <s v="Assalaya"/>
    <s v="SD05163"/>
    <n v="206551"/>
    <s v="Non-hosting Population"/>
    <n v="3225"/>
    <n v="3"/>
    <n v="3"/>
    <n v="0"/>
    <n v="0"/>
    <n v="0"/>
    <n v="0"/>
    <n v="0"/>
    <n v="0"/>
    <n v="0"/>
    <n v="0"/>
    <n v="0"/>
    <n v="0"/>
    <n v="0"/>
    <n v="0"/>
    <n v="0"/>
    <n v="0"/>
    <n v="0"/>
    <n v="0"/>
    <n v="0"/>
    <n v="0"/>
    <n v="0"/>
    <n v="0"/>
    <n v="98.201358441114849"/>
    <n v="1"/>
    <m/>
    <m/>
    <s v=""/>
    <s v=""/>
    <s v="No target"/>
    <s v="No target"/>
    <s v=""/>
    <m/>
    <s v=""/>
    <s v="Flagged"/>
  </r>
  <r>
    <s v="Non-hosting PopulationSD05165"/>
    <x v="4"/>
    <x v="4"/>
    <s v="Yassin"/>
    <s v="SD05165"/>
    <n v="0"/>
    <s v="Non-hosting Population"/>
    <n v="0"/>
    <n v="3"/>
    <n v="4"/>
    <n v="0"/>
    <n v="0"/>
    <n v="0"/>
    <n v="0"/>
    <n v="0"/>
    <n v="0"/>
    <n v="0"/>
    <n v="0"/>
    <n v="0"/>
    <n v="0"/>
    <n v="0"/>
    <n v="0"/>
    <n v="0"/>
    <n v="0"/>
    <n v="0"/>
    <n v="0"/>
    <n v="0"/>
    <n v="0"/>
    <n v="0"/>
    <n v="0"/>
    <n v="699.37766009381517"/>
    <n v="1"/>
    <m/>
    <m/>
    <s v=""/>
    <s v=""/>
    <s v="No target"/>
    <s v="No target"/>
    <s v=""/>
    <m/>
    <s v=""/>
    <s v="Flagged"/>
  </r>
  <r>
    <s v="Non-hosting PopulationSD06110"/>
    <x v="5"/>
    <x v="5"/>
    <s v="Azum"/>
    <s v="SD06110"/>
    <n v="0"/>
    <s v="Non-hosting Population"/>
    <n v="0"/>
    <n v="3"/>
    <n v="4"/>
    <n v="0"/>
    <n v="0"/>
    <n v="0"/>
    <n v="0"/>
    <n v="0"/>
    <n v="0"/>
    <n v="0"/>
    <n v="0"/>
    <n v="0"/>
    <n v="0"/>
    <n v="0"/>
    <n v="0"/>
    <n v="0"/>
    <n v="0"/>
    <n v="0"/>
    <n v="0"/>
    <n v="0"/>
    <n v="0"/>
    <n v="0"/>
    <n v="0"/>
    <n v="957.74979568005597"/>
    <n v="1"/>
    <m/>
    <m/>
    <s v=""/>
    <s v=""/>
    <s v="No target"/>
    <s v="No target"/>
    <s v=""/>
    <m/>
    <s v=""/>
    <s v="Flagged"/>
  </r>
  <r>
    <s v="Non-hosting PopulationSD06112"/>
    <x v="5"/>
    <x v="5"/>
    <s v="Bendasi"/>
    <s v="SD06112"/>
    <n v="13133"/>
    <s v="Non-hosting Population"/>
    <n v="117"/>
    <n v="3"/>
    <n v="4"/>
    <n v="3"/>
    <n v="1.564139463972757"/>
    <n v="1.435860536027243"/>
    <n v="1.5"/>
    <n v="1.32"/>
    <n v="0.18"/>
    <n v="0.44999999999999996"/>
    <n v="0"/>
    <n v="0"/>
    <n v="0"/>
    <n v="0"/>
    <n v="0"/>
    <n v="0"/>
    <n v="0"/>
    <n v="0"/>
    <n v="0"/>
    <n v="0"/>
    <n v="0"/>
    <n v="2.564102564102564E-2"/>
    <n v="0"/>
    <n v="650.19510919349034"/>
    <n v="2"/>
    <m/>
    <m/>
    <s v=""/>
    <s v=""/>
    <s v="Flagged"/>
    <s v=""/>
    <s v=""/>
    <m/>
    <s v=""/>
    <s v="Flagged"/>
  </r>
  <r>
    <s v="Non-hosting PopulationSD06130"/>
    <x v="5"/>
    <x v="5"/>
    <s v="Mukjar"/>
    <s v="SD06130"/>
    <n v="0"/>
    <s v="Non-hosting Population"/>
    <n v="0"/>
    <n v="3"/>
    <n v="4"/>
    <n v="0"/>
    <n v="0"/>
    <n v="0"/>
    <n v="0"/>
    <n v="0"/>
    <n v="0"/>
    <n v="0"/>
    <n v="0"/>
    <n v="0"/>
    <n v="0"/>
    <n v="0"/>
    <n v="0"/>
    <n v="0"/>
    <n v="0"/>
    <n v="0"/>
    <n v="0"/>
    <n v="0"/>
    <n v="0"/>
    <n v="0"/>
    <n v="0"/>
    <n v="178.62911949270548"/>
    <n v="2"/>
    <m/>
    <m/>
    <s v=""/>
    <s v=""/>
    <s v="No target"/>
    <s v="No target"/>
    <s v="Yes"/>
    <m/>
    <s v="Yes"/>
    <s v="Ok"/>
  </r>
  <r>
    <s v="Non-hosting PopulationSD06131"/>
    <x v="5"/>
    <x v="5"/>
    <s v="Gharb Jabal Marrah"/>
    <s v="SD06131"/>
    <n v="0"/>
    <s v="Non-hosting Population"/>
    <n v="0"/>
    <n v="3"/>
    <n v="4"/>
    <n v="0"/>
    <n v="0"/>
    <n v="0"/>
    <n v="0"/>
    <n v="0"/>
    <n v="0"/>
    <n v="0"/>
    <n v="0"/>
    <n v="0"/>
    <n v="0"/>
    <n v="0"/>
    <n v="0"/>
    <n v="0"/>
    <n v="0"/>
    <n v="0"/>
    <n v="0"/>
    <n v="0"/>
    <n v="0"/>
    <n v="0"/>
    <n v="0"/>
    <n v="564.20007391771037"/>
    <n v="2"/>
    <m/>
    <m/>
    <s v=""/>
    <s v=""/>
    <s v="No target"/>
    <s v="No target"/>
    <s v="Yes"/>
    <m/>
    <s v=""/>
    <s v="Ok"/>
  </r>
  <r>
    <s v="Non-hosting PopulationSD06132"/>
    <x v="5"/>
    <x v="5"/>
    <s v="Shamal Jabal Marrah"/>
    <s v="SD06132"/>
    <n v="0"/>
    <s v="Non-hosting Population"/>
    <n v="0"/>
    <n v="3"/>
    <n v="4"/>
    <n v="0"/>
    <n v="0"/>
    <n v="0"/>
    <n v="0"/>
    <n v="0"/>
    <n v="0"/>
    <n v="0"/>
    <n v="0"/>
    <n v="0"/>
    <n v="0"/>
    <n v="0"/>
    <n v="0"/>
    <n v="0"/>
    <n v="0"/>
    <n v="0"/>
    <n v="0"/>
    <n v="0"/>
    <n v="0"/>
    <n v="0"/>
    <n v="0"/>
    <n v="468.87166714843647"/>
    <n v="2"/>
    <m/>
    <m/>
    <s v=""/>
    <s v=""/>
    <s v="No target"/>
    <s v="No target"/>
    <s v="Yes"/>
    <m/>
    <s v="Yes"/>
    <s v="Ok"/>
  </r>
  <r>
    <s v="Non-hosting PopulationSD06135"/>
    <x v="5"/>
    <x v="5"/>
    <s v="Um Dukhun"/>
    <s v="SD06135"/>
    <n v="0"/>
    <s v="Non-hosting Population"/>
    <n v="0"/>
    <n v="3"/>
    <n v="4"/>
    <n v="0"/>
    <n v="0"/>
    <n v="0"/>
    <n v="0"/>
    <n v="0"/>
    <n v="0"/>
    <n v="0"/>
    <n v="0"/>
    <n v="0"/>
    <n v="0"/>
    <n v="0"/>
    <n v="0"/>
    <n v="0"/>
    <n v="0"/>
    <n v="0"/>
    <n v="0"/>
    <n v="0"/>
    <n v="0"/>
    <n v="0"/>
    <n v="0"/>
    <n v="2606.4965685977277"/>
    <n v="3"/>
    <m/>
    <m/>
    <s v=""/>
    <s v=""/>
    <s v="No target"/>
    <s v="No target"/>
    <s v="Yes"/>
    <m/>
    <s v=""/>
    <s v="Ok"/>
  </r>
  <r>
    <s v="Non-hosting PopulationSD06137"/>
    <x v="5"/>
    <x v="5"/>
    <s v="Wadi Salih"/>
    <s v="SD06137"/>
    <n v="0"/>
    <s v="Non-hosting Population"/>
    <n v="0"/>
    <n v="3"/>
    <n v="4"/>
    <n v="0"/>
    <n v="0"/>
    <n v="0"/>
    <n v="0"/>
    <n v="0"/>
    <n v="0"/>
    <n v="0"/>
    <n v="0"/>
    <n v="0"/>
    <n v="0"/>
    <n v="0"/>
    <n v="0"/>
    <n v="0"/>
    <n v="0"/>
    <n v="0"/>
    <n v="0"/>
    <n v="0"/>
    <n v="0"/>
    <n v="0"/>
    <n v="0"/>
    <n v="836.05870802565039"/>
    <n v="1"/>
    <m/>
    <m/>
    <s v=""/>
    <s v=""/>
    <s v="No target"/>
    <s v="No target"/>
    <s v="Yes"/>
    <m/>
    <s v="Yes"/>
    <s v="Ok"/>
  </r>
  <r>
    <s v="Non-hosting PopulationSD06138"/>
    <x v="5"/>
    <x v="5"/>
    <s v="Zalingi"/>
    <s v="SD06138"/>
    <n v="0"/>
    <s v="Non-hosting Population"/>
    <n v="0"/>
    <n v="4"/>
    <n v="4"/>
    <n v="0"/>
    <n v="0"/>
    <n v="0"/>
    <n v="0"/>
    <n v="0"/>
    <n v="0"/>
    <n v="0"/>
    <n v="0"/>
    <n v="0"/>
    <n v="0"/>
    <n v="0"/>
    <n v="0"/>
    <n v="0"/>
    <n v="0"/>
    <n v="0"/>
    <n v="0"/>
    <n v="0"/>
    <n v="0"/>
    <n v="0"/>
    <n v="0"/>
    <n v="1759.8838567620501"/>
    <n v="3"/>
    <m/>
    <m/>
    <s v=""/>
    <s v=""/>
    <s v="No target"/>
    <s v="No target"/>
    <s v=""/>
    <m/>
    <s v="Yes"/>
    <s v="Ok"/>
  </r>
  <r>
    <s v="Non-hosting PopulationSD06139"/>
    <x v="5"/>
    <x v="5"/>
    <s v="Wasat Jabal Marrah"/>
    <s v="SD06139"/>
    <n v="0"/>
    <s v="Non-hosting Population"/>
    <n v="0"/>
    <n v="3"/>
    <n v="4"/>
    <n v="0"/>
    <n v="0"/>
    <n v="0"/>
    <n v="0"/>
    <n v="0"/>
    <n v="0"/>
    <n v="0"/>
    <n v="0"/>
    <n v="0"/>
    <n v="0"/>
    <n v="0"/>
    <n v="0"/>
    <n v="0"/>
    <n v="0"/>
    <n v="0"/>
    <n v="0"/>
    <n v="0"/>
    <n v="0"/>
    <n v="0"/>
    <n v="0"/>
    <n v="1843.8246571636639"/>
    <n v="2"/>
    <m/>
    <m/>
    <s v=""/>
    <s v=""/>
    <s v="No target"/>
    <s v="No target"/>
    <s v="Yes"/>
    <m/>
    <s v=""/>
    <s v="Ok"/>
  </r>
  <r>
    <s v="Non-hosting PopulationSD07088"/>
    <x v="6"/>
    <x v="6"/>
    <s v="Abu Jubayhah"/>
    <s v="SD07088"/>
    <n v="17941"/>
    <s v="Non-hosting Population"/>
    <n v="908"/>
    <n v="3"/>
    <n v="4"/>
    <n v="45.5"/>
    <n v="23.45266901138336"/>
    <n v="22.04733098861664"/>
    <n v="22.75"/>
    <n v="20.02"/>
    <n v="2.73"/>
    <n v="6.8250000000000002"/>
    <n v="7"/>
    <n v="1"/>
    <n v="0"/>
    <n v="0"/>
    <n v="0"/>
    <n v="1"/>
    <n v="3"/>
    <n v="0"/>
    <n v="0"/>
    <n v="0"/>
    <n v="0"/>
    <n v="5.0110132158590309E-2"/>
    <n v="0"/>
    <n v="3515.2424424969513"/>
    <n v="1"/>
    <m/>
    <m/>
    <s v=""/>
    <s v=""/>
    <s v="Flagged"/>
    <s v=""/>
    <s v=""/>
    <m/>
    <s v=""/>
    <s v="Flagged"/>
  </r>
  <r>
    <s v="Non-hosting PopulationSD07089"/>
    <x v="6"/>
    <x v="6"/>
    <s v="Talawdi"/>
    <s v="SD07089"/>
    <n v="0"/>
    <s v="Non-hosting Population"/>
    <n v="0"/>
    <n v="3"/>
    <n v="4"/>
    <n v="0"/>
    <n v="0"/>
    <n v="0"/>
    <n v="0"/>
    <n v="0"/>
    <n v="0"/>
    <n v="0"/>
    <n v="0"/>
    <n v="0"/>
    <n v="0"/>
    <n v="0"/>
    <n v="0"/>
    <n v="0"/>
    <n v="0"/>
    <n v="0"/>
    <n v="0"/>
    <n v="0"/>
    <n v="0"/>
    <n v="0"/>
    <n v="0"/>
    <n v="856.67548556710017"/>
    <n v="1"/>
    <m/>
    <m/>
    <s v=""/>
    <s v=""/>
    <s v="No target"/>
    <s v="No target"/>
    <s v=""/>
    <m/>
    <s v=""/>
    <s v="Flagged"/>
  </r>
  <r>
    <s v="Non-hosting PopulationSD07090"/>
    <x v="6"/>
    <x v="6"/>
    <s v="Abassiya"/>
    <s v="SD07090"/>
    <n v="0"/>
    <s v="Non-hosting Population"/>
    <n v="0"/>
    <n v="4"/>
    <n v="4"/>
    <n v="0"/>
    <n v="0"/>
    <n v="0"/>
    <n v="0"/>
    <n v="0"/>
    <n v="0"/>
    <n v="0"/>
    <n v="0"/>
    <n v="0"/>
    <n v="0"/>
    <n v="0"/>
    <n v="0"/>
    <n v="0"/>
    <n v="0"/>
    <n v="0"/>
    <n v="0"/>
    <n v="0"/>
    <n v="0"/>
    <n v="0"/>
    <n v="0"/>
    <n v="881.78776261578298"/>
    <n v="2"/>
    <m/>
    <m/>
    <s v=""/>
    <s v=""/>
    <s v="No target"/>
    <s v="No target"/>
    <s v=""/>
    <m/>
    <s v=""/>
    <s v="Flagged"/>
  </r>
  <r>
    <s v="Non-hosting PopulationSD07091"/>
    <x v="6"/>
    <x v="6"/>
    <s v="Um Durein"/>
    <s v="SD07091"/>
    <n v="71757"/>
    <s v="Non-hosting Population"/>
    <n v="9802"/>
    <n v="3"/>
    <n v="4"/>
    <n v="0"/>
    <n v="0"/>
    <n v="0"/>
    <n v="0"/>
    <n v="0"/>
    <n v="0"/>
    <n v="0"/>
    <n v="0"/>
    <n v="0"/>
    <n v="0"/>
    <n v="0"/>
    <n v="0"/>
    <n v="0"/>
    <n v="0"/>
    <n v="0"/>
    <n v="0"/>
    <n v="0"/>
    <n v="0"/>
    <n v="0"/>
    <n v="0"/>
    <n v="74.428799788627288"/>
    <n v="1"/>
    <m/>
    <m/>
    <s v=""/>
    <s v=""/>
    <s v="No target"/>
    <s v="No target"/>
    <s v=""/>
    <m/>
    <s v=""/>
    <s v="Flagged"/>
  </r>
  <r>
    <s v="Non-hosting PopulationSD07093"/>
    <x v="6"/>
    <x v="6"/>
    <s v="Ar Rashad"/>
    <s v="SD07093"/>
    <n v="2418"/>
    <s v="Non-hosting Population"/>
    <n v="0"/>
    <n v="3"/>
    <n v="4"/>
    <n v="0"/>
    <n v="0"/>
    <n v="0"/>
    <n v="0"/>
    <n v="0"/>
    <n v="0"/>
    <n v="0"/>
    <n v="0"/>
    <n v="0"/>
    <n v="0"/>
    <n v="0"/>
    <n v="0"/>
    <n v="0"/>
    <n v="0"/>
    <n v="0"/>
    <n v="0"/>
    <n v="0"/>
    <n v="0"/>
    <n v="0"/>
    <n v="0"/>
    <n v="787.30784416409949"/>
    <n v="1"/>
    <m/>
    <m/>
    <s v=""/>
    <s v=""/>
    <s v="No target"/>
    <s v="No target"/>
    <s v=""/>
    <m/>
    <s v=""/>
    <s v="Flagged"/>
  </r>
  <r>
    <s v="Non-hosting PopulationSD07094"/>
    <x v="6"/>
    <x v="6"/>
    <s v="Al Quoz"/>
    <s v="SD07094"/>
    <n v="59917"/>
    <s v="Non-hosting Population"/>
    <n v="471"/>
    <n v="3"/>
    <n v="4"/>
    <n v="23.5"/>
    <n v="12.226520650009633"/>
    <n v="11.273479349990366"/>
    <n v="11.75"/>
    <n v="10.34"/>
    <n v="1.41"/>
    <n v="3.5249999999999999"/>
    <n v="4"/>
    <n v="0"/>
    <n v="0"/>
    <n v="0"/>
    <n v="0"/>
    <n v="0"/>
    <n v="2"/>
    <n v="0"/>
    <n v="0"/>
    <n v="0"/>
    <n v="0"/>
    <n v="4.9893842887473464E-2"/>
    <n v="0"/>
    <n v="0"/>
    <n v="1"/>
    <m/>
    <m/>
    <s v=""/>
    <s v=""/>
    <s v="Flagged"/>
    <s v=""/>
    <s v=""/>
    <m/>
    <s v=""/>
    <s v="Flagged"/>
  </r>
  <r>
    <s v="Non-hosting PopulationSD07095"/>
    <x v="6"/>
    <x v="6"/>
    <s v="Dilling"/>
    <s v="SD07095"/>
    <n v="27905"/>
    <s v="Non-hosting Population"/>
    <n v="565"/>
    <n v="3"/>
    <n v="4"/>
    <n v="113"/>
    <n v="58.646772508345862"/>
    <n v="54.353227491654138"/>
    <n v="56.5"/>
    <n v="49.72"/>
    <n v="6.7799999999999994"/>
    <n v="16.95"/>
    <n v="18"/>
    <n v="2"/>
    <n v="0"/>
    <n v="0"/>
    <n v="1"/>
    <n v="2"/>
    <n v="8"/>
    <n v="0"/>
    <n v="0"/>
    <n v="0"/>
    <n v="0"/>
    <n v="0.2"/>
    <n v="0"/>
    <n v="322.88701924302291"/>
    <n v="2"/>
    <m/>
    <m/>
    <s v=""/>
    <s v=""/>
    <s v=""/>
    <s v=""/>
    <s v="Yes"/>
    <m/>
    <s v=""/>
    <s v="Ok"/>
  </r>
  <r>
    <s v="Non-hosting PopulationSD07096"/>
    <x v="6"/>
    <x v="6"/>
    <s v="Heiban"/>
    <s v="SD07096"/>
    <n v="138054"/>
    <s v="Non-hosting Population"/>
    <n v="18858"/>
    <n v="3"/>
    <n v="4"/>
    <n v="0"/>
    <n v="0"/>
    <n v="0"/>
    <n v="0"/>
    <n v="0"/>
    <n v="0"/>
    <n v="0"/>
    <n v="0"/>
    <n v="0"/>
    <n v="0"/>
    <n v="0"/>
    <n v="0"/>
    <n v="0"/>
    <n v="0"/>
    <n v="0"/>
    <n v="0"/>
    <n v="0"/>
    <n v="0"/>
    <n v="0"/>
    <n v="0"/>
    <n v="1511.8424385864707"/>
    <n v="1"/>
    <m/>
    <m/>
    <s v=""/>
    <s v=""/>
    <s v="No target"/>
    <s v="No target"/>
    <s v=""/>
    <m/>
    <s v=""/>
    <s v="Flagged"/>
  </r>
  <r>
    <s v="Non-hosting PopulationSD07097"/>
    <x v="6"/>
    <x v="6"/>
    <s v="Ar Reif Ash Shargi"/>
    <s v="SD07097"/>
    <n v="0"/>
    <s v="Non-hosting Population"/>
    <n v="0"/>
    <n v="3"/>
    <n v="4"/>
    <n v="0"/>
    <n v="0"/>
    <n v="0"/>
    <n v="0"/>
    <n v="0"/>
    <n v="0"/>
    <n v="0"/>
    <n v="0"/>
    <n v="0"/>
    <n v="0"/>
    <n v="0"/>
    <n v="0"/>
    <n v="0"/>
    <n v="0"/>
    <n v="0"/>
    <n v="0"/>
    <n v="0"/>
    <n v="0"/>
    <n v="0"/>
    <n v="0"/>
    <n v="315.26551014466747"/>
    <n v="1"/>
    <m/>
    <m/>
    <s v=""/>
    <s v=""/>
    <s v="No target"/>
    <s v="No target"/>
    <s v=""/>
    <m/>
    <s v=""/>
    <s v="Flagged"/>
  </r>
  <r>
    <s v="Non-hosting PopulationSD07098"/>
    <x v="6"/>
    <x v="6"/>
    <s v="Kadugli"/>
    <s v="SD07098"/>
    <n v="240"/>
    <s v="Non-hosting Population"/>
    <n v="8"/>
    <n v="3"/>
    <n v="4"/>
    <n v="1.5"/>
    <n v="0.76001016025492996"/>
    <n v="0.73998983974506993"/>
    <n v="0.75"/>
    <n v="0.66"/>
    <n v="0.09"/>
    <n v="0.22499999999999998"/>
    <n v="0"/>
    <n v="0"/>
    <n v="0"/>
    <n v="0"/>
    <n v="0"/>
    <n v="0"/>
    <n v="0"/>
    <n v="0"/>
    <n v="0"/>
    <n v="0"/>
    <n v="0"/>
    <n v="0.1875"/>
    <n v="0"/>
    <n v="445.17353729573756"/>
    <n v="3"/>
    <m/>
    <m/>
    <s v=""/>
    <s v=""/>
    <s v=""/>
    <s v=""/>
    <s v="Yes"/>
    <m/>
    <s v=""/>
    <s v="Ok"/>
  </r>
  <r>
    <s v="Non-hosting PopulationSD07099"/>
    <x v="6"/>
    <x v="6"/>
    <s v="Al Buram"/>
    <s v="SD07099"/>
    <n v="97552"/>
    <s v="Non-hosting Population"/>
    <n v="17767"/>
    <n v="4"/>
    <n v="4"/>
    <n v="0"/>
    <n v="0"/>
    <n v="0"/>
    <n v="0"/>
    <n v="0"/>
    <n v="0"/>
    <n v="0"/>
    <n v="0"/>
    <n v="0"/>
    <n v="0"/>
    <n v="0"/>
    <n v="0"/>
    <n v="0"/>
    <n v="0"/>
    <n v="0"/>
    <n v="0"/>
    <n v="0"/>
    <n v="0"/>
    <n v="0"/>
    <n v="0"/>
    <n v="516.44655597332701"/>
    <n v="1"/>
    <m/>
    <m/>
    <s v=""/>
    <s v=""/>
    <s v="No target"/>
    <s v="No target"/>
    <s v=""/>
    <m/>
    <s v=""/>
    <s v="Flagged"/>
  </r>
  <r>
    <s v="Non-hosting PopulationSD07103"/>
    <x v="6"/>
    <x v="6"/>
    <s v="Habila - SK"/>
    <s v="SD07103"/>
    <n v="0"/>
    <s v="Non-hosting Population"/>
    <n v="0"/>
    <n v="4"/>
    <n v="4"/>
    <n v="0"/>
    <n v="0"/>
    <n v="0"/>
    <n v="0"/>
    <n v="0"/>
    <n v="0"/>
    <n v="0"/>
    <n v="0"/>
    <n v="0"/>
    <n v="0"/>
    <n v="0"/>
    <n v="0"/>
    <n v="0"/>
    <n v="0"/>
    <n v="0"/>
    <n v="0"/>
    <n v="0"/>
    <n v="0"/>
    <n v="0"/>
    <n v="0"/>
    <n v="67.432492608496332"/>
    <n v="2"/>
    <m/>
    <m/>
    <s v=""/>
    <s v=""/>
    <s v="No target"/>
    <s v="No target"/>
    <s v=""/>
    <m/>
    <s v="Yes"/>
    <s v="Ok"/>
  </r>
  <r>
    <s v="Non-hosting PopulationSD07104"/>
    <x v="6"/>
    <x v="6"/>
    <s v="Abu Kershola"/>
    <s v="SD07104"/>
    <n v="0"/>
    <s v="Non-hosting Population"/>
    <n v="0"/>
    <n v="3"/>
    <n v="4"/>
    <n v="0"/>
    <n v="0"/>
    <n v="0"/>
    <n v="0"/>
    <n v="0"/>
    <n v="0"/>
    <n v="0"/>
    <n v="0"/>
    <n v="0"/>
    <n v="0"/>
    <n v="0"/>
    <n v="0"/>
    <n v="0"/>
    <n v="0"/>
    <n v="0"/>
    <n v="0"/>
    <n v="0"/>
    <n v="0"/>
    <n v="0"/>
    <n v="0"/>
    <n v="181.39787084484243"/>
    <n v="1"/>
    <m/>
    <m/>
    <s v=""/>
    <s v=""/>
    <s v="No target"/>
    <s v="No target"/>
    <s v=""/>
    <m/>
    <s v=""/>
    <s v="Flagged"/>
  </r>
  <r>
    <s v="Non-hosting PopulationSD07105"/>
    <x v="6"/>
    <x v="6"/>
    <s v="Al Leri"/>
    <s v="SD07105"/>
    <n v="11654"/>
    <s v="Non-hosting Population"/>
    <n v="66"/>
    <n v="3"/>
    <n v="4"/>
    <n v="3.5"/>
    <n v="1.8318309859154929"/>
    <n v="1.6681690140845071"/>
    <n v="1.75"/>
    <n v="1.54"/>
    <n v="0.21"/>
    <n v="0.52500000000000002"/>
    <n v="1"/>
    <n v="0"/>
    <n v="0"/>
    <n v="0"/>
    <n v="0"/>
    <n v="0"/>
    <n v="0"/>
    <n v="0"/>
    <n v="0"/>
    <n v="0"/>
    <n v="0"/>
    <n v="5.3030303030303032E-2"/>
    <n v="0"/>
    <n v="2655.2474324592786"/>
    <n v="1"/>
    <m/>
    <m/>
    <s v=""/>
    <s v=""/>
    <s v="Flagged"/>
    <s v=""/>
    <s v=""/>
    <m/>
    <s v=""/>
    <s v="Flagged"/>
  </r>
  <r>
    <s v="Non-hosting PopulationSD07106"/>
    <x v="6"/>
    <x v="6"/>
    <s v="At Tadamon - SK"/>
    <s v="SD07106"/>
    <n v="44539"/>
    <s v="Non-hosting Population"/>
    <n v="2918"/>
    <n v="3"/>
    <n v="4"/>
    <n v="8.4599999999999991"/>
    <n v="4.3296273328960702"/>
    <n v="4.1303726671039289"/>
    <n v="4.2299999999999995"/>
    <n v="3.7223999999999995"/>
    <n v="0.50759999999999994"/>
    <n v="1.2689999999999999"/>
    <n v="1"/>
    <n v="0"/>
    <n v="0"/>
    <n v="0"/>
    <n v="0"/>
    <n v="0"/>
    <n v="1"/>
    <n v="0"/>
    <n v="0"/>
    <n v="0"/>
    <n v="0"/>
    <n v="2.8992460589444824E-3"/>
    <n v="0"/>
    <n v="1028.4571554792519"/>
    <n v="1"/>
    <m/>
    <m/>
    <s v=""/>
    <s v=""/>
    <s v="Flagged"/>
    <s v=""/>
    <s v=""/>
    <m/>
    <s v=""/>
    <s v="Flagged"/>
  </r>
  <r>
    <s v="Non-hosting PopulationSD07107"/>
    <x v="6"/>
    <x v="6"/>
    <s v="Delami"/>
    <s v="SD07107"/>
    <n v="5586"/>
    <s v="Non-hosting Population"/>
    <n v="94"/>
    <n v="3"/>
    <n v="4"/>
    <n v="4.5"/>
    <n v="2.2431674148402427"/>
    <n v="2.2568325851597573"/>
    <n v="2.25"/>
    <n v="1.98"/>
    <n v="0.27"/>
    <n v="0.67499999999999993"/>
    <n v="1"/>
    <n v="0"/>
    <n v="0"/>
    <n v="0"/>
    <n v="0"/>
    <n v="0"/>
    <n v="0"/>
    <n v="0"/>
    <n v="0"/>
    <n v="0"/>
    <n v="0"/>
    <n v="4.7872340425531915E-2"/>
    <n v="0"/>
    <n v="34.237247902768551"/>
    <n v="1"/>
    <m/>
    <m/>
    <s v=""/>
    <s v=""/>
    <s v="Flagged"/>
    <s v=""/>
    <s v=""/>
    <m/>
    <s v=""/>
    <s v="Flagged"/>
  </r>
  <r>
    <s v="Non-hosting PopulationSD07108"/>
    <x v="6"/>
    <x v="6"/>
    <s v="Ghadeer"/>
    <s v="SD07108"/>
    <n v="0"/>
    <s v="Non-hosting Population"/>
    <n v="0"/>
    <n v="3"/>
    <n v="4"/>
    <n v="0"/>
    <n v="0"/>
    <n v="0"/>
    <n v="0"/>
    <n v="0"/>
    <n v="0"/>
    <n v="0"/>
    <n v="0"/>
    <n v="0"/>
    <n v="0"/>
    <n v="0"/>
    <n v="0"/>
    <n v="0"/>
    <n v="0"/>
    <n v="0"/>
    <n v="0"/>
    <n v="0"/>
    <n v="0"/>
    <n v="0"/>
    <n v="0"/>
    <n v="975.76156522890381"/>
    <n v="1"/>
    <m/>
    <m/>
    <s v=""/>
    <s v=""/>
    <s v="No target"/>
    <s v="No target"/>
    <s v=""/>
    <m/>
    <s v="Yes"/>
    <s v="Ok"/>
  </r>
  <r>
    <s v="Non-hosting PopulationSD08104"/>
    <x v="7"/>
    <x v="7"/>
    <s v="Baw"/>
    <s v="SD08104"/>
    <n v="5384"/>
    <s v="Non-hosting Population"/>
    <n v="1839"/>
    <n v="4"/>
    <n v="4"/>
    <n v="92"/>
    <n v="46.47676015273781"/>
    <n v="45.523239847262197"/>
    <n v="46"/>
    <n v="40.479999999999997"/>
    <n v="5.52"/>
    <n v="13.799999999999999"/>
    <n v="15"/>
    <n v="2"/>
    <n v="0"/>
    <n v="0"/>
    <n v="1"/>
    <n v="2"/>
    <n v="6"/>
    <n v="0"/>
    <n v="0"/>
    <n v="0"/>
    <n v="0"/>
    <n v="5.0027188689505168E-2"/>
    <n v="0"/>
    <n v="685.75718973249639"/>
    <n v="1"/>
    <m/>
    <m/>
    <s v=""/>
    <s v=""/>
    <s v="Flagged"/>
    <s v=""/>
    <s v=""/>
    <m/>
    <s v=""/>
    <s v="Flagged"/>
  </r>
  <r>
    <s v="Non-hosting PopulationSD08105"/>
    <x v="7"/>
    <x v="7"/>
    <s v="Ed Damazine"/>
    <s v="SD08105"/>
    <n v="21850"/>
    <s v="Non-hosting Population"/>
    <n v="542"/>
    <n v="3"/>
    <n v="3"/>
    <n v="54"/>
    <n v="27.116885609485625"/>
    <n v="26.883114390514372"/>
    <n v="27"/>
    <n v="23.76"/>
    <n v="3.2399999999999998"/>
    <n v="8.1"/>
    <n v="9"/>
    <n v="1"/>
    <n v="0"/>
    <n v="0"/>
    <n v="1"/>
    <n v="1"/>
    <n v="4"/>
    <n v="0"/>
    <n v="0"/>
    <n v="0"/>
    <n v="0"/>
    <n v="9.9630996309963096E-2"/>
    <n v="0"/>
    <n v="3556.1782823806966"/>
    <n v="5"/>
    <m/>
    <m/>
    <s v=""/>
    <s v=""/>
    <s v=""/>
    <s v="Flagged"/>
    <s v=""/>
    <m/>
    <s v=""/>
    <s v="Flagged"/>
  </r>
  <r>
    <s v="Non-hosting PopulationSD08106"/>
    <x v="7"/>
    <x v="7"/>
    <s v="Al Kurmuk"/>
    <s v="SD08106"/>
    <n v="45211"/>
    <s v="Non-hosting Population"/>
    <n v="3921"/>
    <n v="3"/>
    <n v="4"/>
    <n v="784"/>
    <n v="386.52312776688495"/>
    <n v="397.47687223311505"/>
    <n v="392"/>
    <n v="344.96"/>
    <n v="47.04"/>
    <n v="117.6"/>
    <n v="127"/>
    <n v="14"/>
    <n v="0"/>
    <n v="0"/>
    <n v="8"/>
    <n v="16"/>
    <n v="55"/>
    <n v="0"/>
    <n v="0"/>
    <n v="0"/>
    <n v="0"/>
    <n v="0.19994899260392757"/>
    <n v="0"/>
    <n v="1588.1319583698137"/>
    <n v="2"/>
    <m/>
    <m/>
    <s v=""/>
    <s v=""/>
    <s v="Flagged"/>
    <s v=""/>
    <s v=""/>
    <m/>
    <s v=""/>
    <s v="Flagged"/>
  </r>
  <r>
    <s v="Non-hosting PopulationSD08107"/>
    <x v="7"/>
    <x v="7"/>
    <s v="Ar Rusayris"/>
    <s v="SD08107"/>
    <n v="21633"/>
    <s v="Non-hosting Population"/>
    <n v="315"/>
    <n v="2"/>
    <n v="3"/>
    <n v="0"/>
    <n v="0"/>
    <n v="0"/>
    <n v="0"/>
    <n v="0"/>
    <n v="0"/>
    <n v="0"/>
    <n v="0"/>
    <n v="0"/>
    <n v="0"/>
    <n v="0"/>
    <n v="0"/>
    <n v="0"/>
    <n v="0"/>
    <n v="0"/>
    <n v="0"/>
    <n v="0"/>
    <n v="0"/>
    <n v="0"/>
    <n v="0"/>
    <n v="2285.9614994280255"/>
    <n v="2"/>
    <m/>
    <m/>
    <s v=""/>
    <s v=""/>
    <s v="No target"/>
    <s v="No target"/>
    <s v=""/>
    <m/>
    <s v=""/>
    <s v="Flagged"/>
  </r>
  <r>
    <s v="Non-hosting PopulationSD08108"/>
    <x v="7"/>
    <x v="7"/>
    <s v="At Tadamon - BN"/>
    <s v="SD08108"/>
    <n v="41064"/>
    <s v="Non-hosting Population"/>
    <n v="2597"/>
    <n v="3"/>
    <n v="4"/>
    <n v="130"/>
    <n v="65.112515413070284"/>
    <n v="64.887484586929716"/>
    <n v="65"/>
    <n v="57.2"/>
    <n v="7.8"/>
    <n v="19.5"/>
    <n v="21"/>
    <n v="2"/>
    <n v="0"/>
    <n v="0"/>
    <n v="1"/>
    <n v="3"/>
    <n v="9"/>
    <n v="0"/>
    <n v="0"/>
    <n v="0"/>
    <n v="0"/>
    <n v="5.0057758952637657E-2"/>
    <n v="0"/>
    <n v="994.94930981441189"/>
    <n v="1"/>
    <m/>
    <m/>
    <s v=""/>
    <s v=""/>
    <s v="Flagged"/>
    <s v=""/>
    <s v=""/>
    <m/>
    <s v=""/>
    <s v="Flagged"/>
  </r>
  <r>
    <s v="Non-hosting PopulationSD08109"/>
    <x v="7"/>
    <x v="7"/>
    <s v="Geisan"/>
    <s v="SD08109"/>
    <n v="9554"/>
    <s v="Non-hosting Population"/>
    <n v="1070"/>
    <n v="3"/>
    <n v="3"/>
    <n v="107"/>
    <n v="53.973439094655525"/>
    <n v="53.026560905344482"/>
    <n v="53.5"/>
    <n v="47.08"/>
    <n v="6.42"/>
    <n v="16.05"/>
    <n v="17"/>
    <n v="2"/>
    <n v="0"/>
    <n v="0"/>
    <n v="1"/>
    <n v="2"/>
    <n v="7"/>
    <n v="0"/>
    <n v="0"/>
    <n v="0"/>
    <n v="0"/>
    <n v="0.1"/>
    <n v="0"/>
    <n v="759.24818664378699"/>
    <n v="2"/>
    <m/>
    <m/>
    <s v=""/>
    <s v=""/>
    <s v=""/>
    <s v="Flagged"/>
    <s v=""/>
    <m/>
    <s v=""/>
    <s v="Flagged"/>
  </r>
  <r>
    <s v="Non-hosting PopulationSD08110"/>
    <x v="7"/>
    <x v="7"/>
    <s v="Wad Al Mahi"/>
    <s v="SD08110"/>
    <n v="11722"/>
    <s v="Non-hosting Population"/>
    <n v="441"/>
    <n v="3"/>
    <n v="3"/>
    <n v="44"/>
    <n v="21.964057507987221"/>
    <n v="22.035942492012779"/>
    <n v="22"/>
    <n v="19.36"/>
    <n v="2.6399999999999997"/>
    <n v="6.6"/>
    <n v="7"/>
    <n v="1"/>
    <n v="0"/>
    <n v="0"/>
    <n v="0"/>
    <n v="1"/>
    <n v="3"/>
    <n v="0"/>
    <n v="0"/>
    <n v="0"/>
    <n v="0"/>
    <n v="9.9773242630385492E-2"/>
    <n v="0"/>
    <n v="623.34119822975356"/>
    <n v="2"/>
    <m/>
    <m/>
    <s v=""/>
    <s v=""/>
    <s v=""/>
    <s v="Flagged"/>
    <s v=""/>
    <m/>
    <s v=""/>
    <s v="Flagged"/>
  </r>
  <r>
    <s v="Non-hosting PopulationSD09044"/>
    <x v="8"/>
    <x v="8"/>
    <s v="Ad Diwaim"/>
    <s v="SD09044"/>
    <n v="375452"/>
    <s v="Non-hosting Population"/>
    <n v="17598"/>
    <n v="3"/>
    <n v="4"/>
    <n v="880"/>
    <n v="465.14697829618353"/>
    <n v="414.85302170381647"/>
    <n v="440"/>
    <n v="387.2"/>
    <n v="52.8"/>
    <n v="132"/>
    <n v="143"/>
    <n v="16"/>
    <n v="0"/>
    <n v="0"/>
    <n v="9"/>
    <n v="18"/>
    <n v="62"/>
    <n v="0"/>
    <n v="0"/>
    <n v="0"/>
    <n v="0"/>
    <n v="5.0005682463916352E-2"/>
    <n v="0"/>
    <n v="1485.4053289015503"/>
    <n v="2"/>
    <m/>
    <m/>
    <s v=""/>
    <s v=""/>
    <s v="Flagged"/>
    <s v=""/>
    <s v=""/>
    <m/>
    <s v=""/>
    <s v="Flagged"/>
  </r>
  <r>
    <s v="Non-hosting PopulationSD09045"/>
    <x v="8"/>
    <x v="8"/>
    <s v="Um Rimta"/>
    <s v="SD09045"/>
    <n v="169137"/>
    <s v="Non-hosting Population"/>
    <n v="2185"/>
    <n v="3"/>
    <n v="3"/>
    <n v="0"/>
    <n v="0"/>
    <n v="0"/>
    <n v="0"/>
    <n v="0"/>
    <n v="0"/>
    <n v="0"/>
    <n v="0"/>
    <n v="0"/>
    <n v="0"/>
    <n v="0"/>
    <n v="0"/>
    <n v="0"/>
    <n v="0"/>
    <n v="0"/>
    <n v="0"/>
    <n v="0"/>
    <n v="0"/>
    <n v="0"/>
    <n v="0"/>
    <n v="96.05780900720238"/>
    <n v="1"/>
    <m/>
    <m/>
    <s v=""/>
    <s v=""/>
    <s v="No target"/>
    <s v="No target"/>
    <s v=""/>
    <m/>
    <s v=""/>
    <s v="Flagged"/>
  </r>
  <r>
    <s v="Non-hosting PopulationSD09046"/>
    <x v="8"/>
    <x v="8"/>
    <s v="Rabak"/>
    <s v="SD09046"/>
    <n v="230501"/>
    <s v="Non-hosting Population"/>
    <n v="64824"/>
    <n v="4"/>
    <n v="3"/>
    <n v="9284.94"/>
    <n v="4856.0725812362552"/>
    <n v="4428.8674187637462"/>
    <n v="4642.47"/>
    <n v="4085.3736000000004"/>
    <n v="557.09640000000002"/>
    <n v="1392.741"/>
    <n v="1504"/>
    <n v="167"/>
    <n v="0"/>
    <n v="0"/>
    <n v="93"/>
    <n v="186"/>
    <n v="650"/>
    <n v="0"/>
    <n v="0"/>
    <n v="0"/>
    <n v="0"/>
    <n v="0.14323306182895224"/>
    <n v="0"/>
    <n v="1239.5818889596721"/>
    <n v="4"/>
    <m/>
    <m/>
    <s v=""/>
    <s v=""/>
    <s v=""/>
    <s v="Flagged"/>
    <s v=""/>
    <m/>
    <s v=""/>
    <s v="Flagged"/>
  </r>
  <r>
    <s v="Non-hosting PopulationSD09047"/>
    <x v="8"/>
    <x v="8"/>
    <s v="Kosti"/>
    <s v="SD09047"/>
    <n v="132550"/>
    <s v="Non-hosting Population"/>
    <n v="7272"/>
    <n v="3"/>
    <n v="3"/>
    <n v="727"/>
    <n v="382.94342950714628"/>
    <n v="344.05657049285372"/>
    <n v="363.5"/>
    <n v="319.88"/>
    <n v="43.62"/>
    <n v="109.05"/>
    <n v="118"/>
    <n v="13"/>
    <n v="0"/>
    <n v="0"/>
    <n v="7"/>
    <n v="15"/>
    <n v="51"/>
    <n v="0"/>
    <n v="0"/>
    <n v="0"/>
    <n v="0"/>
    <n v="9.997249724972497E-2"/>
    <n v="0"/>
    <n v="1041.9138824810357"/>
    <n v="6"/>
    <m/>
    <m/>
    <s v=""/>
    <s v=""/>
    <s v=""/>
    <s v="Flagged"/>
    <s v=""/>
    <m/>
    <s v=""/>
    <s v="Flagged"/>
  </r>
  <r>
    <s v="Non-hosting PopulationSD09048"/>
    <x v="8"/>
    <x v="8"/>
    <s v="Tendalti"/>
    <s v="SD09048"/>
    <n v="196952"/>
    <s v="Non-hosting Population"/>
    <n v="8031"/>
    <n v="3"/>
    <n v="3"/>
    <n v="106.74"/>
    <n v="56.437090432392061"/>
    <n v="50.302909567607927"/>
    <n v="53.37"/>
    <n v="46.965599999999995"/>
    <n v="6.4043999999999999"/>
    <n v="16.010999999999999"/>
    <n v="17"/>
    <n v="2"/>
    <n v="0"/>
    <n v="0"/>
    <n v="1"/>
    <n v="2"/>
    <n v="7"/>
    <n v="0"/>
    <n v="0"/>
    <n v="0"/>
    <n v="0"/>
    <n v="1.329099738513261E-2"/>
    <n v="0"/>
    <n v="110.1546236871684"/>
    <n v="3"/>
    <m/>
    <m/>
    <s v=""/>
    <s v=""/>
    <s v=""/>
    <s v="Flagged"/>
    <s v=""/>
    <m/>
    <s v=""/>
    <s v="Flagged"/>
  </r>
  <r>
    <s v="Non-hosting PopulationSD09049"/>
    <x v="8"/>
    <x v="8"/>
    <s v="As Salam / Ar Rawat"/>
    <s v="SD09049"/>
    <n v="0"/>
    <s v="Non-hosting Population"/>
    <n v="0"/>
    <n v="3"/>
    <n v="3"/>
    <n v="0"/>
    <n v="0"/>
    <n v="0"/>
    <n v="0"/>
    <n v="0"/>
    <n v="0"/>
    <n v="0"/>
    <n v="0"/>
    <n v="0"/>
    <n v="0"/>
    <n v="0"/>
    <n v="0"/>
    <n v="0"/>
    <n v="0"/>
    <n v="0"/>
    <n v="0"/>
    <n v="0"/>
    <n v="0"/>
    <n v="0"/>
    <n v="0"/>
    <n v="699.92843321225109"/>
    <n v="4"/>
    <m/>
    <m/>
    <s v=""/>
    <s v=""/>
    <s v="No target"/>
    <s v="No target"/>
    <s v=""/>
    <m/>
    <s v=""/>
    <s v="Flagged"/>
  </r>
  <r>
    <s v="Non-hosting PopulationSD09050"/>
    <x v="8"/>
    <x v="8"/>
    <s v="Al Gitaina"/>
    <s v="SD09050"/>
    <n v="340156"/>
    <s v="Non-hosting Population"/>
    <n v="8372"/>
    <n v="3"/>
    <n v="4"/>
    <n v="89.28"/>
    <n v="46.186404871194377"/>
    <n v="43.093595128805617"/>
    <n v="44.64"/>
    <n v="39.283200000000001"/>
    <n v="5.3567999999999998"/>
    <n v="13.391999999999999"/>
    <n v="14"/>
    <n v="2"/>
    <n v="0"/>
    <n v="0"/>
    <n v="1"/>
    <n v="2"/>
    <n v="6"/>
    <n v="0"/>
    <n v="0"/>
    <n v="0"/>
    <n v="0"/>
    <n v="1.0664118490205448E-2"/>
    <n v="0"/>
    <n v="149.97403157408399"/>
    <n v="1"/>
    <m/>
    <m/>
    <s v=""/>
    <s v=""/>
    <s v="Flagged"/>
    <s v=""/>
    <s v=""/>
    <m/>
    <s v=""/>
    <s v="Flagged"/>
  </r>
  <r>
    <s v="Non-hosting PopulationSD09051"/>
    <x v="8"/>
    <x v="8"/>
    <s v="Aj Jabalain"/>
    <s v="SD09051"/>
    <n v="0"/>
    <s v="Non-hosting Population"/>
    <n v="0"/>
    <n v="4"/>
    <n v="4"/>
    <n v="0"/>
    <n v="0"/>
    <n v="0"/>
    <n v="0"/>
    <n v="0"/>
    <n v="0"/>
    <n v="0"/>
    <n v="0"/>
    <n v="0"/>
    <n v="0"/>
    <n v="0"/>
    <n v="0"/>
    <n v="0"/>
    <n v="0"/>
    <n v="0"/>
    <n v="0"/>
    <n v="0"/>
    <n v="0"/>
    <n v="0"/>
    <n v="0"/>
    <n v="795.07821086203217"/>
    <n v="3"/>
    <m/>
    <m/>
    <s v=""/>
    <s v=""/>
    <s v="No target"/>
    <s v="No target"/>
    <s v=""/>
    <m/>
    <s v=""/>
    <s v="Flagged"/>
  </r>
  <r>
    <s v="Non-hosting PopulationSD09052"/>
    <x v="8"/>
    <x v="8"/>
    <s v="Guli"/>
    <s v="SD09052"/>
    <n v="196991"/>
    <s v="Non-hosting Population"/>
    <n v="11871"/>
    <n v="3"/>
    <n v="4"/>
    <n v="151.01999999999998"/>
    <n v="78.312150151255651"/>
    <n v="72.707849848744331"/>
    <n v="75.509999999999991"/>
    <n v="66.448799999999991"/>
    <n v="9.0611999999999977"/>
    <n v="22.652999999999995"/>
    <n v="24"/>
    <n v="3"/>
    <n v="0"/>
    <n v="0"/>
    <n v="2"/>
    <n v="3"/>
    <n v="11"/>
    <n v="0"/>
    <n v="0"/>
    <n v="0"/>
    <n v="0"/>
    <n v="1.2721758908263835E-2"/>
    <n v="0"/>
    <n v="759.18864360395605"/>
    <n v="1"/>
    <m/>
    <m/>
    <s v=""/>
    <s v=""/>
    <s v="Flagged"/>
    <s v=""/>
    <s v=""/>
    <m/>
    <s v=""/>
    <s v="Flagged"/>
  </r>
  <r>
    <s v="Non-hosting PopulationSD10063"/>
    <x v="9"/>
    <x v="9"/>
    <s v="Dordieb"/>
    <s v="SD10063"/>
    <n v="74775"/>
    <s v="Non-hosting Population"/>
    <n v="7316"/>
    <n v="3"/>
    <n v="3"/>
    <n v="76.86"/>
    <n v="35.107958725654584"/>
    <n v="41.752041274345409"/>
    <n v="38.43"/>
    <n v="33.818399999999997"/>
    <n v="4.6116000000000001"/>
    <n v="11.529"/>
    <n v="12"/>
    <n v="1"/>
    <n v="0"/>
    <n v="0"/>
    <n v="1"/>
    <n v="2"/>
    <n v="5"/>
    <n v="0"/>
    <n v="0"/>
    <n v="0"/>
    <n v="0"/>
    <n v="1.0505740841990158E-2"/>
    <n v="0"/>
    <n v="453.56910591189472"/>
    <n v="1"/>
    <m/>
    <m/>
    <s v=""/>
    <s v=""/>
    <s v=""/>
    <s v="Flagged"/>
    <s v=""/>
    <m/>
    <s v=""/>
    <s v="Flagged"/>
  </r>
  <r>
    <s v="Non-hosting PopulationSD10064"/>
    <x v="9"/>
    <x v="9"/>
    <s v="Port Sudan"/>
    <s v="SD10064"/>
    <n v="95444"/>
    <s v="Non-hosting Population"/>
    <n v="12957"/>
    <n v="3"/>
    <n v="3"/>
    <n v="2591.5"/>
    <n v="1300.3811865869211"/>
    <n v="1291.1188134130787"/>
    <n v="1295.75"/>
    <n v="1140.26"/>
    <n v="155.48999999999998"/>
    <n v="388.72499999999997"/>
    <n v="420"/>
    <n v="47"/>
    <n v="0"/>
    <n v="0"/>
    <n v="26"/>
    <n v="52"/>
    <n v="181"/>
    <n v="0"/>
    <n v="13"/>
    <n v="0"/>
    <n v="0"/>
    <n v="0.20000771783591881"/>
    <n v="0"/>
    <n v="1764.7068429883529"/>
    <n v="8"/>
    <m/>
    <m/>
    <s v=""/>
    <s v=""/>
    <s v=""/>
    <s v="Flagged"/>
    <s v=""/>
    <m/>
    <s v=""/>
    <s v="Flagged"/>
  </r>
  <r>
    <s v="Non-hosting PopulationSD10065"/>
    <x v="9"/>
    <x v="9"/>
    <s v="Tawkar"/>
    <s v="SD10065"/>
    <n v="215869"/>
    <s v="Non-hosting Population"/>
    <n v="0"/>
    <n v="3"/>
    <n v="3"/>
    <n v="0"/>
    <n v="0"/>
    <n v="0"/>
    <n v="0"/>
    <n v="0"/>
    <n v="0"/>
    <n v="0"/>
    <n v="0"/>
    <n v="0"/>
    <n v="0"/>
    <n v="0"/>
    <n v="0"/>
    <n v="0"/>
    <n v="0"/>
    <n v="0"/>
    <n v="0"/>
    <n v="0"/>
    <n v="0"/>
    <n v="0"/>
    <n v="0"/>
    <n v="682.21437886255774"/>
    <n v="4"/>
    <m/>
    <m/>
    <s v=""/>
    <s v=""/>
    <s v="No target"/>
    <s v="No target"/>
    <s v=""/>
    <m/>
    <s v=""/>
    <s v="Flagged"/>
  </r>
  <r>
    <s v="Non-hosting PopulationSD10066"/>
    <x v="9"/>
    <x v="9"/>
    <s v="Hala'ib"/>
    <s v="SD10066"/>
    <n v="32794"/>
    <s v="Non-hosting Population"/>
    <n v="231"/>
    <n v="3"/>
    <n v="3"/>
    <n v="0"/>
    <n v="0"/>
    <n v="0"/>
    <n v="0"/>
    <n v="0"/>
    <n v="0"/>
    <n v="0"/>
    <n v="0"/>
    <n v="0"/>
    <n v="0"/>
    <n v="0"/>
    <n v="0"/>
    <n v="0"/>
    <n v="0"/>
    <n v="0"/>
    <n v="0"/>
    <n v="0"/>
    <n v="0"/>
    <n v="0"/>
    <n v="0"/>
    <n v="47.053887226370172"/>
    <n v="1"/>
    <m/>
    <m/>
    <s v=""/>
    <s v=""/>
    <s v="No target"/>
    <s v="No target"/>
    <s v=""/>
    <m/>
    <s v=""/>
    <s v="Flagged"/>
  </r>
  <r>
    <s v="Non-hosting PopulationSD10067"/>
    <x v="9"/>
    <x v="9"/>
    <s v="Jubayt Elma'aadin"/>
    <s v="SD10067"/>
    <n v="128554"/>
    <s v="Non-hosting Population"/>
    <n v="31882"/>
    <n v="4"/>
    <n v="3"/>
    <n v="25.919999999999998"/>
    <n v="11.754584259051393"/>
    <n v="14.165415740948605"/>
    <n v="12.959999999999999"/>
    <n v="11.4048"/>
    <n v="1.5551999999999999"/>
    <n v="3.8879999999999995"/>
    <n v="4"/>
    <n v="0"/>
    <n v="0"/>
    <n v="0"/>
    <n v="0"/>
    <n v="1"/>
    <n v="2"/>
    <n v="0"/>
    <n v="0"/>
    <n v="0"/>
    <n v="0"/>
    <n v="8.1299792986638223E-4"/>
    <n v="0"/>
    <n v="135.57950169496348"/>
    <n v="1"/>
    <m/>
    <m/>
    <s v=""/>
    <s v=""/>
    <s v=""/>
    <s v="Flagged"/>
    <s v=""/>
    <m/>
    <s v=""/>
    <s v="Flagged"/>
  </r>
  <r>
    <s v="Non-hosting PopulationSD10068"/>
    <x v="9"/>
    <x v="9"/>
    <s v="Sawakin"/>
    <s v="SD10068"/>
    <n v="99558"/>
    <s v="Non-hosting Population"/>
    <n v="1511"/>
    <n v="3"/>
    <n v="3"/>
    <n v="171.9"/>
    <n v="81.681795975642501"/>
    <n v="90.218204024357505"/>
    <n v="85.95"/>
    <n v="75.63600000000001"/>
    <n v="10.314"/>
    <n v="25.785"/>
    <n v="28"/>
    <n v="3"/>
    <n v="0"/>
    <n v="0"/>
    <n v="2"/>
    <n v="3"/>
    <n v="12"/>
    <n v="0"/>
    <n v="0"/>
    <n v="0"/>
    <n v="0"/>
    <n v="0.11376571806750496"/>
    <n v="0"/>
    <n v="304.07141865645792"/>
    <n v="2"/>
    <m/>
    <m/>
    <s v=""/>
    <s v=""/>
    <s v=""/>
    <s v="Flagged"/>
    <s v=""/>
    <m/>
    <s v=""/>
    <s v="Flagged"/>
  </r>
  <r>
    <s v="Non-hosting PopulationSD10069"/>
    <x v="9"/>
    <x v="9"/>
    <s v="Al Ganab"/>
    <s v="SD10069"/>
    <n v="152066"/>
    <s v="Non-hosting Population"/>
    <n v="5167"/>
    <n v="3"/>
    <n v="3"/>
    <n v="22.86"/>
    <n v="10.578327674580182"/>
    <n v="12.281672325419818"/>
    <n v="11.43"/>
    <n v="10.058400000000001"/>
    <n v="1.3715999999999999"/>
    <n v="3.4289999999999998"/>
    <n v="4"/>
    <n v="0"/>
    <n v="0"/>
    <n v="0"/>
    <n v="0"/>
    <n v="0"/>
    <n v="2"/>
    <n v="0"/>
    <n v="0"/>
    <n v="0"/>
    <n v="0"/>
    <n v="4.4242306947938842E-3"/>
    <n v="0"/>
    <n v="1170.2142475566714"/>
    <n v="4"/>
    <m/>
    <m/>
    <s v=""/>
    <s v=""/>
    <s v=""/>
    <s v="Flagged"/>
    <s v=""/>
    <m/>
    <s v=""/>
    <s v="Flagged"/>
  </r>
  <r>
    <s v="Non-hosting PopulationSD10070"/>
    <x v="9"/>
    <x v="9"/>
    <s v="Haya"/>
    <s v="SD10070"/>
    <n v="351047"/>
    <s v="Non-hosting Population"/>
    <n v="26640"/>
    <n v="3"/>
    <n v="3"/>
    <n v="0"/>
    <n v="0"/>
    <n v="0"/>
    <n v="0"/>
    <n v="0"/>
    <n v="0"/>
    <n v="0"/>
    <n v="0"/>
    <n v="0"/>
    <n v="0"/>
    <n v="0"/>
    <n v="0"/>
    <n v="0"/>
    <n v="0"/>
    <n v="0"/>
    <n v="0"/>
    <n v="0"/>
    <n v="0"/>
    <n v="0"/>
    <n v="0"/>
    <n v="590.81581272212338"/>
    <n v="1"/>
    <m/>
    <m/>
    <s v=""/>
    <s v=""/>
    <s v="No target"/>
    <s v="No target"/>
    <s v=""/>
    <m/>
    <s v=""/>
    <s v="Flagged"/>
  </r>
  <r>
    <s v="Non-hosting PopulationSD10071"/>
    <x v="9"/>
    <x v="9"/>
    <s v="Sinkat"/>
    <s v="SD10071"/>
    <n v="221441"/>
    <s v="Non-hosting Population"/>
    <n v="0"/>
    <n v="3"/>
    <n v="3"/>
    <n v="0"/>
    <n v="0"/>
    <n v="0"/>
    <n v="0"/>
    <n v="0"/>
    <n v="0"/>
    <n v="0"/>
    <n v="0"/>
    <n v="0"/>
    <n v="0"/>
    <n v="0"/>
    <n v="0"/>
    <n v="0"/>
    <n v="0"/>
    <n v="0"/>
    <n v="0"/>
    <n v="0"/>
    <n v="0"/>
    <n v="0"/>
    <n v="0"/>
    <n v="475.43628728979343"/>
    <n v="2"/>
    <m/>
    <m/>
    <s v=""/>
    <s v=""/>
    <s v="No target"/>
    <s v="No target"/>
    <s v=""/>
    <m/>
    <s v=""/>
    <s v="Flagged"/>
  </r>
  <r>
    <s v="Non-hosting PopulationSD10072"/>
    <x v="9"/>
    <x v="9"/>
    <s v="Agig"/>
    <s v="SD10072"/>
    <n v="102649"/>
    <s v="Non-hosting Population"/>
    <n v="21757"/>
    <n v="4"/>
    <n v="4"/>
    <n v="4.1399999999999997"/>
    <n v="1.9825244732199971"/>
    <n v="2.1574755267800025"/>
    <n v="2.0699999999999998"/>
    <n v="1.8215999999999999"/>
    <n v="0.24839999999999998"/>
    <n v="0.62099999999999989"/>
    <n v="1"/>
    <n v="0"/>
    <n v="0"/>
    <n v="0"/>
    <n v="0"/>
    <n v="0"/>
    <n v="0"/>
    <n v="0"/>
    <n v="0"/>
    <n v="0"/>
    <n v="0"/>
    <n v="1.902835868915751E-4"/>
    <n v="0"/>
    <n v="544.93790053241355"/>
    <n v="1"/>
    <m/>
    <m/>
    <s v=""/>
    <s v=""/>
    <s v="Flagged"/>
    <s v=""/>
    <s v=""/>
    <m/>
    <s v=""/>
    <s v="Flagged"/>
  </r>
  <r>
    <s v="Non-hosting PopulationSD11052"/>
    <x v="10"/>
    <x v="10"/>
    <s v="Halfa Aj Jadeedah"/>
    <s v="SD11052"/>
    <n v="247045"/>
    <s v="Non-hosting Population"/>
    <n v="16302"/>
    <n v="3"/>
    <n v="3"/>
    <n v="1012.68"/>
    <n v="528.12355076007054"/>
    <n v="484.55644923992941"/>
    <n v="506.34"/>
    <n v="445.57919999999996"/>
    <n v="60.760799999999996"/>
    <n v="151.90199999999999"/>
    <n v="164"/>
    <n v="18"/>
    <n v="0"/>
    <n v="0"/>
    <n v="10"/>
    <n v="20"/>
    <n v="71"/>
    <n v="0"/>
    <n v="0"/>
    <n v="0"/>
    <n v="0"/>
    <n v="6.2119985277880013E-2"/>
    <n v="0"/>
    <n v="1455.7380093058034"/>
    <n v="3"/>
    <m/>
    <m/>
    <s v=""/>
    <s v=""/>
    <s v=""/>
    <s v="Flagged"/>
    <s v=""/>
    <m/>
    <s v=""/>
    <s v="Flagged"/>
  </r>
  <r>
    <s v="Non-hosting PopulationSD11053"/>
    <x v="10"/>
    <x v="10"/>
    <s v="Madeinat Kassala"/>
    <s v="SD11053"/>
    <n v="242374"/>
    <s v="Non-hosting Population"/>
    <n v="22792"/>
    <n v="3"/>
    <n v="3"/>
    <n v="5433.3"/>
    <n v="2811.6427480981079"/>
    <n v="2621.6572519018923"/>
    <n v="2716.65"/>
    <n v="2390.652"/>
    <n v="325.99799999999999"/>
    <n v="814.995"/>
    <n v="880"/>
    <n v="98"/>
    <n v="0"/>
    <n v="0"/>
    <n v="54"/>
    <n v="109"/>
    <n v="380"/>
    <n v="0"/>
    <n v="27"/>
    <n v="0"/>
    <n v="0"/>
    <n v="0.23838627588627589"/>
    <n v="0"/>
    <n v="1932.9159305106507"/>
    <n v="7"/>
    <m/>
    <m/>
    <s v=""/>
    <s v=""/>
    <s v=""/>
    <s v="Flagged"/>
    <s v=""/>
    <m/>
    <s v=""/>
    <s v="Flagged"/>
  </r>
  <r>
    <s v="Non-hosting PopulationSD11054"/>
    <x v="10"/>
    <x v="10"/>
    <s v="Reifi Gharb Kassala"/>
    <s v="SD11054"/>
    <n v="117423"/>
    <s v="Non-hosting Population"/>
    <n v="5259"/>
    <n v="3"/>
    <n v="3"/>
    <n v="0"/>
    <n v="0"/>
    <n v="0"/>
    <n v="0"/>
    <n v="0"/>
    <n v="0"/>
    <n v="0"/>
    <n v="0"/>
    <n v="0"/>
    <n v="0"/>
    <n v="0"/>
    <n v="0"/>
    <n v="0"/>
    <n v="0"/>
    <n v="0"/>
    <n v="0"/>
    <n v="0"/>
    <n v="0"/>
    <n v="0"/>
    <n v="0"/>
    <n v="293.78535852566966"/>
    <n v="1"/>
    <m/>
    <m/>
    <s v=""/>
    <s v=""/>
    <s v="No target"/>
    <s v="No target"/>
    <s v=""/>
    <m/>
    <s v=""/>
    <s v="Flagged"/>
  </r>
  <r>
    <s v="Non-hosting PopulationSD11055"/>
    <x v="10"/>
    <x v="10"/>
    <s v="Reifi Aroma"/>
    <s v="SD11055"/>
    <n v="139771"/>
    <s v="Non-hosting Population"/>
    <n v="2233"/>
    <n v="3"/>
    <n v="3"/>
    <n v="78.11999999999999"/>
    <n v="36.865415533858439"/>
    <n v="41.254584466141552"/>
    <n v="39.059999999999995"/>
    <n v="34.372799999999998"/>
    <n v="4.6871999999999989"/>
    <n v="11.717999999999998"/>
    <n v="13"/>
    <n v="1"/>
    <n v="0"/>
    <n v="0"/>
    <n v="1"/>
    <n v="2"/>
    <n v="5"/>
    <n v="0"/>
    <n v="0"/>
    <n v="0"/>
    <n v="0"/>
    <n v="3.498432601880877E-2"/>
    <n v="0"/>
    <n v="176.30694093930032"/>
    <n v="1"/>
    <m/>
    <m/>
    <s v=""/>
    <s v=""/>
    <s v=""/>
    <s v="Flagged"/>
    <s v=""/>
    <m/>
    <s v=""/>
    <s v="Flagged"/>
  </r>
  <r>
    <s v="Non-hosting PopulationSD11056"/>
    <x v="10"/>
    <x v="10"/>
    <s v="Reifi Kassla"/>
    <s v="SD11056"/>
    <n v="204328"/>
    <s v="Non-hosting Population"/>
    <n v="26783"/>
    <n v="3"/>
    <n v="3"/>
    <n v="368.46"/>
    <n v="176.26998314719333"/>
    <n v="192.19001685280665"/>
    <n v="184.23"/>
    <n v="162.1224"/>
    <n v="22.107599999999998"/>
    <n v="55.268999999999998"/>
    <n v="60"/>
    <n v="7"/>
    <n v="0"/>
    <n v="0"/>
    <n v="4"/>
    <n v="7"/>
    <n v="26"/>
    <n v="0"/>
    <n v="0"/>
    <n v="0"/>
    <n v="0"/>
    <n v="1.3757234066385392E-2"/>
    <n v="0"/>
    <n v="286.5211076662996"/>
    <n v="2"/>
    <m/>
    <m/>
    <s v=""/>
    <s v=""/>
    <s v=""/>
    <s v="Flagged"/>
    <s v=""/>
    <m/>
    <s v=""/>
    <s v="Flagged"/>
  </r>
  <r>
    <s v="Non-hosting PopulationSD11057"/>
    <x v="10"/>
    <x v="10"/>
    <s v="Reifi Shamal Ad Delta"/>
    <s v="SD11057"/>
    <n v="119528"/>
    <s v="Non-hosting Population"/>
    <n v="0"/>
    <n v="2"/>
    <n v="3"/>
    <n v="0"/>
    <n v="0"/>
    <n v="0"/>
    <n v="0"/>
    <n v="0"/>
    <n v="0"/>
    <n v="0"/>
    <n v="0"/>
    <n v="0"/>
    <n v="0"/>
    <n v="0"/>
    <n v="0"/>
    <n v="0"/>
    <n v="0"/>
    <n v="0"/>
    <n v="0"/>
    <n v="0"/>
    <n v="0"/>
    <n v="0"/>
    <n v="0"/>
    <n v="1295.1355451219035"/>
    <n v="1"/>
    <m/>
    <m/>
    <s v=""/>
    <s v=""/>
    <s v="No target"/>
    <s v="No target"/>
    <s v=""/>
    <m/>
    <s v=""/>
    <s v="Flagged"/>
  </r>
  <r>
    <s v="Non-hosting PopulationSD11058"/>
    <x v="10"/>
    <x v="10"/>
    <s v="Reifi Hamashkureib"/>
    <s v="SD11058"/>
    <n v="311316"/>
    <s v="Non-hosting Population"/>
    <n v="7208"/>
    <n v="3"/>
    <n v="4"/>
    <n v="3.42"/>
    <n v="1.4060884410286576"/>
    <n v="2.0139115589713423"/>
    <n v="1.71"/>
    <n v="1.5047999999999999"/>
    <n v="0.20519999999999999"/>
    <n v="0.51300000000000001"/>
    <n v="1"/>
    <n v="0"/>
    <n v="0"/>
    <n v="0"/>
    <n v="0"/>
    <n v="0"/>
    <n v="0"/>
    <n v="0"/>
    <n v="0"/>
    <n v="0"/>
    <n v="0"/>
    <n v="4.7447280799112098E-4"/>
    <n v="0"/>
    <n v="2261.9209970962988"/>
    <n v="1"/>
    <m/>
    <m/>
    <s v=""/>
    <s v=""/>
    <s v="Flagged"/>
    <s v=""/>
    <s v=""/>
    <m/>
    <s v=""/>
    <s v="Flagged"/>
  </r>
  <r>
    <s v="Non-hosting PopulationSD11059"/>
    <x v="10"/>
    <x v="10"/>
    <s v="Reifi Telkok"/>
    <s v="SD11059"/>
    <n v="345502"/>
    <s v="Non-hosting Population"/>
    <n v="0"/>
    <n v="3"/>
    <n v="3"/>
    <n v="0"/>
    <n v="0"/>
    <n v="0"/>
    <n v="0"/>
    <n v="0"/>
    <n v="0"/>
    <n v="0"/>
    <n v="0"/>
    <n v="0"/>
    <n v="0"/>
    <n v="0"/>
    <n v="0"/>
    <n v="0"/>
    <n v="0"/>
    <n v="0"/>
    <n v="0"/>
    <n v="0"/>
    <n v="0"/>
    <n v="0"/>
    <n v="0"/>
    <n v="1069.3036808032505"/>
    <n v="1"/>
    <m/>
    <m/>
    <s v=""/>
    <s v=""/>
    <s v="No target"/>
    <s v="No target"/>
    <s v=""/>
    <m/>
    <s v=""/>
    <s v="Flagged"/>
  </r>
  <r>
    <s v="Non-hosting PopulationSD11060"/>
    <x v="10"/>
    <x v="10"/>
    <s v="Reifi Khashm Elgirba"/>
    <s v="SD11060"/>
    <n v="99211"/>
    <s v="Non-hosting Population"/>
    <n v="729"/>
    <n v="2"/>
    <n v="3"/>
    <n v="0"/>
    <n v="0"/>
    <n v="0"/>
    <n v="0"/>
    <n v="0"/>
    <n v="0"/>
    <n v="0"/>
    <n v="0"/>
    <n v="0"/>
    <n v="0"/>
    <n v="0"/>
    <n v="0"/>
    <n v="0"/>
    <n v="0"/>
    <n v="0"/>
    <n v="0"/>
    <n v="0"/>
    <n v="0"/>
    <n v="0"/>
    <n v="0"/>
    <n v="378.27693204571932"/>
    <n v="5"/>
    <m/>
    <m/>
    <s v=""/>
    <s v=""/>
    <s v="No target"/>
    <s v="No target"/>
    <s v=""/>
    <m/>
    <s v=""/>
    <s v="Flagged"/>
  </r>
  <r>
    <s v="Non-hosting PopulationSD11061"/>
    <x v="10"/>
    <x v="10"/>
    <s v="Reifi Wad Elhilaiw"/>
    <s v="SD11061"/>
    <n v="0"/>
    <s v="Non-hosting Population"/>
    <n v="0"/>
    <n v="3"/>
    <n v="3"/>
    <n v="0"/>
    <n v="0"/>
    <n v="0"/>
    <n v="0"/>
    <n v="0"/>
    <n v="0"/>
    <n v="0"/>
    <n v="0"/>
    <n v="0"/>
    <n v="0"/>
    <n v="0"/>
    <n v="0"/>
    <n v="0"/>
    <n v="0"/>
    <n v="0"/>
    <n v="0"/>
    <n v="0"/>
    <n v="0"/>
    <n v="0"/>
    <n v="0"/>
    <n v="1231.7519792219084"/>
    <n v="4"/>
    <m/>
    <m/>
    <s v=""/>
    <s v=""/>
    <s v="No target"/>
    <s v="No target"/>
    <s v=""/>
    <m/>
    <s v=""/>
    <s v="Flagged"/>
  </r>
  <r>
    <s v="Non-hosting PopulationSD11062"/>
    <x v="10"/>
    <x v="10"/>
    <s v="Reifi Nahr Atbara"/>
    <s v="SD11062"/>
    <n v="199129"/>
    <s v="Non-hosting Population"/>
    <n v="37375"/>
    <n v="4"/>
    <n v="3"/>
    <n v="252.35999999999999"/>
    <n v="131.44422207533421"/>
    <n v="120.91577792466576"/>
    <n v="126.17999999999999"/>
    <n v="111.0384"/>
    <n v="15.141599999999999"/>
    <n v="37.853999999999999"/>
    <n v="41"/>
    <n v="5"/>
    <n v="0"/>
    <n v="0"/>
    <n v="3"/>
    <n v="5"/>
    <n v="18"/>
    <n v="0"/>
    <n v="0"/>
    <n v="0"/>
    <n v="0"/>
    <n v="6.7521070234113712E-3"/>
    <n v="0"/>
    <n v="993.19279013940024"/>
    <n v="1"/>
    <m/>
    <m/>
    <s v=""/>
    <s v=""/>
    <s v=""/>
    <s v="Flagged"/>
    <s v=""/>
    <m/>
    <s v=""/>
    <s v="Flagged"/>
  </r>
  <r>
    <s v="Non-hosting PopulationSD12073"/>
    <x v="11"/>
    <x v="11"/>
    <s v="Al Butanah"/>
    <s v="SD12073"/>
    <n v="116926"/>
    <s v="Non-hosting Population"/>
    <n v="0"/>
    <n v="3"/>
    <n v="3"/>
    <n v="0"/>
    <n v="0"/>
    <n v="0"/>
    <n v="0"/>
    <n v="0"/>
    <n v="0"/>
    <n v="0"/>
    <n v="0"/>
    <n v="0"/>
    <n v="0"/>
    <n v="0"/>
    <n v="0"/>
    <n v="0"/>
    <n v="0"/>
    <n v="0"/>
    <n v="0"/>
    <n v="0"/>
    <n v="0"/>
    <n v="0"/>
    <n v="0"/>
    <n v="829.56851668408206"/>
    <n v="2"/>
    <m/>
    <m/>
    <s v=""/>
    <s v=""/>
    <s v="No target"/>
    <s v="No target"/>
    <s v=""/>
    <m/>
    <s v=""/>
    <s v="Flagged"/>
  </r>
  <r>
    <s v="Non-hosting PopulationSD12074"/>
    <x v="11"/>
    <x v="11"/>
    <s v="Al Fao"/>
    <s v="SD12074"/>
    <n v="270964"/>
    <s v="Non-hosting Population"/>
    <n v="0"/>
    <n v="3"/>
    <n v="3"/>
    <n v="0"/>
    <n v="0"/>
    <n v="0"/>
    <n v="0"/>
    <n v="0"/>
    <n v="0"/>
    <n v="0"/>
    <n v="0"/>
    <n v="0"/>
    <n v="0"/>
    <n v="0"/>
    <n v="0"/>
    <n v="0"/>
    <n v="0"/>
    <n v="0"/>
    <n v="0"/>
    <n v="0"/>
    <n v="0"/>
    <n v="0"/>
    <n v="0"/>
    <n v="2916.9390925160919"/>
    <n v="2"/>
    <m/>
    <m/>
    <s v=""/>
    <s v=""/>
    <s v="No target"/>
    <s v="No target"/>
    <s v=""/>
    <m/>
    <s v=""/>
    <s v="Flagged"/>
  </r>
  <r>
    <s v="Non-hosting PopulationSD12075"/>
    <x v="11"/>
    <x v="11"/>
    <s v="Al Fashaga"/>
    <s v="SD12075"/>
    <n v="0"/>
    <s v="Non-hosting Population"/>
    <n v="0"/>
    <n v="3"/>
    <n v="4"/>
    <n v="0"/>
    <n v="0"/>
    <n v="0"/>
    <n v="0"/>
    <n v="0"/>
    <n v="0"/>
    <n v="0"/>
    <n v="0"/>
    <n v="0"/>
    <n v="0"/>
    <n v="0"/>
    <n v="0"/>
    <n v="0"/>
    <n v="0"/>
    <n v="0"/>
    <n v="0"/>
    <n v="0"/>
    <n v="0"/>
    <n v="0"/>
    <n v="0"/>
    <n v="1096.3362208864801"/>
    <n v="3"/>
    <m/>
    <m/>
    <s v=""/>
    <s v=""/>
    <s v="No target"/>
    <s v="No target"/>
    <s v=""/>
    <m/>
    <s v=""/>
    <s v="Flagged"/>
  </r>
  <r>
    <s v="Non-hosting PopulationSD12076"/>
    <x v="11"/>
    <x v="11"/>
    <s v="Al Qureisha"/>
    <s v="SD12076"/>
    <n v="107308"/>
    <s v="Non-hosting Population"/>
    <n v="2308"/>
    <n v="3"/>
    <n v="3"/>
    <n v="223.38"/>
    <n v="117.14692764268524"/>
    <n v="106.23307235731474"/>
    <n v="111.69"/>
    <n v="98.287199999999999"/>
    <n v="13.402799999999999"/>
    <n v="33.506999999999998"/>
    <n v="36"/>
    <n v="4"/>
    <n v="0"/>
    <n v="0"/>
    <n v="2"/>
    <n v="4"/>
    <n v="16"/>
    <n v="0"/>
    <n v="0"/>
    <n v="0"/>
    <n v="0"/>
    <n v="9.6785095320623918E-2"/>
    <n v="0"/>
    <n v="698.51428601626708"/>
    <n v="2"/>
    <m/>
    <m/>
    <s v=""/>
    <s v=""/>
    <s v=""/>
    <s v="Flagged"/>
    <s v=""/>
    <m/>
    <s v=""/>
    <s v="Flagged"/>
  </r>
  <r>
    <s v="Non-hosting PopulationSD12077"/>
    <x v="11"/>
    <x v="11"/>
    <s v="Basundah"/>
    <s v="SD12077"/>
    <n v="32481"/>
    <s v="Non-hosting Population"/>
    <n v="5100"/>
    <n v="3"/>
    <n v="3"/>
    <n v="1530"/>
    <n v="797.56729371337951"/>
    <n v="732.4327062866206"/>
    <n v="765"/>
    <n v="673.2"/>
    <n v="91.8"/>
    <n v="229.5"/>
    <n v="248"/>
    <n v="28"/>
    <n v="0"/>
    <n v="0"/>
    <n v="15"/>
    <n v="31"/>
    <n v="107"/>
    <n v="0"/>
    <n v="0"/>
    <n v="0"/>
    <n v="0"/>
    <n v="0.3"/>
    <n v="0"/>
    <n v="995.85734117183313"/>
    <n v="2"/>
    <m/>
    <m/>
    <s v=""/>
    <s v=""/>
    <s v=""/>
    <s v="Flagged"/>
    <s v=""/>
    <m/>
    <s v=""/>
    <s v="Flagged"/>
  </r>
  <r>
    <s v="Non-hosting PopulationSD12078"/>
    <x v="11"/>
    <x v="11"/>
    <s v="Al Galabat Al Gharbyah - Kassab"/>
    <s v="SD12078"/>
    <n v="158588"/>
    <s v="Non-hosting Population"/>
    <n v="1224"/>
    <n v="3"/>
    <n v="4"/>
    <n v="245"/>
    <n v="126.8800591491931"/>
    <n v="118.1199408508069"/>
    <n v="122.5"/>
    <n v="107.8"/>
    <n v="14.7"/>
    <n v="36.75"/>
    <n v="40"/>
    <n v="4"/>
    <n v="0"/>
    <n v="0"/>
    <n v="2"/>
    <n v="5"/>
    <n v="17"/>
    <n v="0"/>
    <n v="0"/>
    <n v="0"/>
    <n v="0"/>
    <n v="0.20016339869281047"/>
    <n v="0"/>
    <n v="1460.2037372931211"/>
    <n v="7"/>
    <m/>
    <m/>
    <s v=""/>
    <s v=""/>
    <s v="Flagged"/>
    <s v=""/>
    <s v=""/>
    <m/>
    <s v=""/>
    <s v="Flagged"/>
  </r>
  <r>
    <s v="Non-hosting PopulationSD12079"/>
    <x v="11"/>
    <x v="11"/>
    <s v="Gala'a Al Nahal"/>
    <s v="SD12079"/>
    <n v="116487"/>
    <s v="Non-hosting Population"/>
    <n v="13458"/>
    <n v="3"/>
    <n v="3"/>
    <n v="412.02"/>
    <n v="215.79646563655589"/>
    <n v="196.22353436344406"/>
    <n v="206.01"/>
    <n v="181.28879999999998"/>
    <n v="24.7212"/>
    <n v="61.802999999999997"/>
    <n v="67"/>
    <n v="7"/>
    <n v="0"/>
    <n v="0"/>
    <n v="4"/>
    <n v="8"/>
    <n v="29"/>
    <n v="0"/>
    <n v="0"/>
    <n v="0"/>
    <n v="0"/>
    <n v="3.0615247436469012E-2"/>
    <n v="0"/>
    <n v="766.92923878197337"/>
    <n v="2"/>
    <m/>
    <m/>
    <s v=""/>
    <s v=""/>
    <s v=""/>
    <s v="Flagged"/>
    <s v=""/>
    <m/>
    <s v=""/>
    <s v="Flagged"/>
  </r>
  <r>
    <s v="Non-hosting PopulationSD12080"/>
    <x v="11"/>
    <x v="11"/>
    <s v="Madeinat Al Gedaref"/>
    <s v="SD12080"/>
    <n v="396010"/>
    <s v="Non-hosting Population"/>
    <n v="8941"/>
    <n v="3"/>
    <n v="3"/>
    <n v="2682.5"/>
    <n v="1375.0589170439587"/>
    <n v="1307.4410829560413"/>
    <n v="1341.25"/>
    <n v="1180.3"/>
    <n v="160.94999999999999"/>
    <n v="402.375"/>
    <n v="435"/>
    <n v="48"/>
    <n v="0"/>
    <n v="0"/>
    <n v="27"/>
    <n v="54"/>
    <n v="188"/>
    <n v="0"/>
    <n v="0"/>
    <n v="0"/>
    <n v="0"/>
    <n v="0.30002236886254335"/>
    <n v="0"/>
    <n v="1642.1821527763148"/>
    <n v="10"/>
    <m/>
    <m/>
    <s v=""/>
    <s v=""/>
    <s v=""/>
    <s v="Flagged"/>
    <s v=""/>
    <m/>
    <s v=""/>
    <s v="Flagged"/>
  </r>
  <r>
    <s v="Non-hosting PopulationSD12081"/>
    <x v="11"/>
    <x v="11"/>
    <s v="Wasat Al Gedaref"/>
    <s v="SD12081"/>
    <n v="177476"/>
    <s v="Non-hosting Population"/>
    <n v="13782"/>
    <n v="3"/>
    <n v="3"/>
    <n v="351.9"/>
    <n v="179.53574601785255"/>
    <n v="172.36425398214743"/>
    <n v="175.95"/>
    <n v="154.83599999999998"/>
    <n v="21.113999999999997"/>
    <n v="52.784999999999997"/>
    <n v="57"/>
    <n v="6"/>
    <n v="0"/>
    <n v="0"/>
    <n v="4"/>
    <n v="7"/>
    <n v="25"/>
    <n v="0"/>
    <n v="0"/>
    <n v="0"/>
    <n v="0"/>
    <n v="2.5533304309969525E-2"/>
    <n v="0"/>
    <n v="1765.6744173856052"/>
    <n v="5"/>
    <m/>
    <m/>
    <s v=""/>
    <s v=""/>
    <s v=""/>
    <s v="Flagged"/>
    <s v=""/>
    <m/>
    <s v=""/>
    <s v="Flagged"/>
  </r>
  <r>
    <s v="Non-hosting PopulationSD12082"/>
    <x v="11"/>
    <x v="11"/>
    <s v="Al Mafaza"/>
    <s v="SD12082"/>
    <n v="0"/>
    <s v="Non-hosting Population"/>
    <n v="0"/>
    <n v="3"/>
    <n v="3"/>
    <n v="0"/>
    <n v="0"/>
    <n v="0"/>
    <n v="0"/>
    <n v="0"/>
    <n v="0"/>
    <n v="0"/>
    <n v="0"/>
    <n v="0"/>
    <n v="0"/>
    <n v="0"/>
    <n v="0"/>
    <n v="0"/>
    <n v="0"/>
    <n v="0"/>
    <n v="0"/>
    <n v="0"/>
    <n v="0"/>
    <n v="0"/>
    <n v="0"/>
    <n v="244.90052282449923"/>
    <n v="6"/>
    <m/>
    <m/>
    <s v=""/>
    <s v=""/>
    <s v="No target"/>
    <s v="No target"/>
    <s v=""/>
    <m/>
    <s v=""/>
    <s v="Flagged"/>
  </r>
  <r>
    <s v="Non-hosting PopulationSD12083"/>
    <x v="11"/>
    <x v="11"/>
    <s v="Galabat Ash-Shargiah"/>
    <s v="SD12083"/>
    <n v="135437"/>
    <s v="Non-hosting Population"/>
    <n v="0"/>
    <n v="3"/>
    <n v="3"/>
    <n v="0"/>
    <n v="0"/>
    <n v="0"/>
    <n v="0"/>
    <n v="0"/>
    <n v="0"/>
    <n v="0"/>
    <n v="0"/>
    <n v="0"/>
    <n v="0"/>
    <n v="0"/>
    <n v="0"/>
    <n v="0"/>
    <n v="0"/>
    <n v="0"/>
    <n v="0"/>
    <n v="0"/>
    <n v="0"/>
    <n v="0"/>
    <n v="0"/>
    <n v="1276.8558318938167"/>
    <n v="2"/>
    <m/>
    <m/>
    <s v=""/>
    <s v=""/>
    <s v="No target"/>
    <s v="No target"/>
    <s v=""/>
    <m/>
    <s v=""/>
    <s v="Flagged"/>
  </r>
  <r>
    <s v="Non-hosting PopulationSD12084"/>
    <x v="11"/>
    <x v="11"/>
    <s v="Ar Rahad"/>
    <s v="SD12084"/>
    <n v="203193"/>
    <s v="Non-hosting Population"/>
    <n v="4948"/>
    <n v="3"/>
    <n v="3"/>
    <n v="989.5"/>
    <n v="512.60010463373669"/>
    <n v="476.89989536626331"/>
    <n v="494.75"/>
    <n v="435.38"/>
    <n v="59.37"/>
    <n v="148.42499999999998"/>
    <n v="160"/>
    <n v="18"/>
    <n v="0"/>
    <n v="0"/>
    <n v="10"/>
    <n v="20"/>
    <n v="69"/>
    <n v="0"/>
    <n v="0"/>
    <n v="0"/>
    <n v="0"/>
    <n v="0.19997978981406628"/>
    <n v="0"/>
    <n v="417.09899401546733"/>
    <n v="2"/>
    <m/>
    <m/>
    <s v=""/>
    <s v=""/>
    <s v=""/>
    <s v="Flagged"/>
    <s v=""/>
    <m/>
    <s v=""/>
    <s v="Flagged"/>
  </r>
  <r>
    <s v="Non-hosting PopulationSD13023"/>
    <x v="12"/>
    <x v="12"/>
    <s v="Um Rawaba"/>
    <s v="SD13023"/>
    <n v="521374"/>
    <s v="Non-hosting Population"/>
    <n v="3043"/>
    <n v="3"/>
    <n v="4"/>
    <n v="76"/>
    <n v="40.327535715699071"/>
    <n v="35.672464284300922"/>
    <n v="38"/>
    <n v="33.44"/>
    <n v="4.5599999999999996"/>
    <n v="11.4"/>
    <n v="12"/>
    <n v="1"/>
    <n v="0"/>
    <n v="0"/>
    <n v="1"/>
    <n v="2"/>
    <n v="5"/>
    <n v="0"/>
    <n v="0"/>
    <n v="0"/>
    <n v="0"/>
    <n v="2.4975353269799539E-2"/>
    <n v="0"/>
    <n v="16.761365712398867"/>
    <n v="1"/>
    <m/>
    <m/>
    <s v=""/>
    <s v=""/>
    <s v=""/>
    <s v=""/>
    <s v=""/>
    <m/>
    <s v="Yes"/>
    <s v="Ok"/>
  </r>
  <r>
    <s v="Non-hosting PopulationSD13024"/>
    <x v="12"/>
    <x v="12"/>
    <s v="Sheikan"/>
    <s v="SD13024"/>
    <n v="782222"/>
    <s v="Non-hosting Population"/>
    <n v="78126"/>
    <n v="3"/>
    <n v="4"/>
    <n v="1503.36"/>
    <n v="774.22815903277046"/>
    <n v="729.13184096722932"/>
    <n v="751.68"/>
    <n v="661.47839999999997"/>
    <n v="90.201599999999985"/>
    <n v="225.50399999999999"/>
    <n v="244"/>
    <n v="27"/>
    <n v="0"/>
    <n v="0"/>
    <n v="15"/>
    <n v="30"/>
    <n v="105"/>
    <n v="0"/>
    <n v="0"/>
    <n v="0"/>
    <n v="0"/>
    <n v="1.9242761692650334E-2"/>
    <n v="0"/>
    <n v="673.78903872648516"/>
    <n v="2"/>
    <m/>
    <m/>
    <s v=""/>
    <s v=""/>
    <s v=""/>
    <s v=""/>
    <s v="Yes"/>
    <m/>
    <s v=""/>
    <s v="Ok"/>
  </r>
  <r>
    <s v="Non-hosting PopulationSD13025"/>
    <x v="12"/>
    <x v="12"/>
    <s v="Soudari"/>
    <s v="SD13025"/>
    <n v="418610"/>
    <s v="Non-hosting Population"/>
    <n v="0"/>
    <n v="3"/>
    <n v="3"/>
    <n v="0"/>
    <n v="0"/>
    <n v="0"/>
    <n v="0"/>
    <n v="0"/>
    <n v="0"/>
    <n v="0"/>
    <n v="0"/>
    <n v="0"/>
    <n v="0"/>
    <n v="0"/>
    <n v="0"/>
    <n v="0"/>
    <n v="0"/>
    <n v="0"/>
    <n v="0"/>
    <n v="0"/>
    <n v="0"/>
    <n v="0"/>
    <n v="0"/>
    <n v="20.467919941872506"/>
    <n v="1"/>
    <m/>
    <m/>
    <s v=""/>
    <s v=""/>
    <s v="No target"/>
    <s v="No target"/>
    <s v=""/>
    <m/>
    <s v=""/>
    <s v="Flagged"/>
  </r>
  <r>
    <s v="Non-hosting PopulationSD13026"/>
    <x v="12"/>
    <x v="12"/>
    <s v="Bara"/>
    <s v="SD13026"/>
    <n v="270876"/>
    <s v="Non-hosting Population"/>
    <n v="3499"/>
    <n v="3"/>
    <n v="4"/>
    <n v="87.5"/>
    <n v="46.695435494142565"/>
    <n v="40.804564505857442"/>
    <n v="43.75"/>
    <n v="38.5"/>
    <n v="5.25"/>
    <n v="13.125"/>
    <n v="14"/>
    <n v="2"/>
    <n v="0"/>
    <n v="0"/>
    <n v="1"/>
    <n v="2"/>
    <n v="6"/>
    <n v="0"/>
    <n v="0"/>
    <n v="0"/>
    <n v="0"/>
    <n v="2.500714489854244E-2"/>
    <n v="0"/>
    <n v="297.71519915450915"/>
    <n v="1"/>
    <m/>
    <m/>
    <s v=""/>
    <s v=""/>
    <s v="Flagged"/>
    <s v=""/>
    <s v=""/>
    <m/>
    <s v=""/>
    <s v="Flagged"/>
  </r>
  <r>
    <s v="Non-hosting PopulationSD13027"/>
    <x v="12"/>
    <x v="12"/>
    <s v="Gebrat Al Sheikh"/>
    <s v="SD13027"/>
    <n v="342808"/>
    <s v="Non-hosting Population"/>
    <n v="0"/>
    <n v="3"/>
    <n v="3"/>
    <n v="0"/>
    <n v="0"/>
    <n v="0"/>
    <n v="0"/>
    <n v="0"/>
    <n v="0"/>
    <n v="0"/>
    <n v="0"/>
    <n v="0"/>
    <n v="0"/>
    <n v="0"/>
    <n v="0"/>
    <n v="0"/>
    <n v="0"/>
    <n v="0"/>
    <n v="0"/>
    <n v="0"/>
    <n v="0"/>
    <n v="0"/>
    <n v="0"/>
    <n v="0"/>
    <n v="1"/>
    <m/>
    <m/>
    <s v=""/>
    <s v=""/>
    <s v="No target"/>
    <s v="No target"/>
    <s v=""/>
    <m/>
    <s v=""/>
    <s v="Flagged"/>
  </r>
  <r>
    <s v="Non-hosting PopulationSD13028"/>
    <x v="12"/>
    <x v="12"/>
    <s v="Um Dam Haj Ahmed"/>
    <s v="SD13028"/>
    <n v="209716"/>
    <s v="Non-hosting Population"/>
    <n v="2690"/>
    <n v="3"/>
    <n v="4"/>
    <n v="39.42"/>
    <n v="21.344261086206611"/>
    <n v="18.075738913793391"/>
    <n v="19.71"/>
    <n v="17.344799999999999"/>
    <n v="2.3652000000000002"/>
    <n v="5.9130000000000003"/>
    <n v="6"/>
    <n v="1"/>
    <n v="0"/>
    <n v="0"/>
    <n v="0"/>
    <n v="1"/>
    <n v="3"/>
    <n v="0"/>
    <n v="0"/>
    <n v="0"/>
    <n v="0"/>
    <n v="1.4654275092936804E-2"/>
    <n v="0"/>
    <n v="347.28477981373493"/>
    <n v="1"/>
    <m/>
    <m/>
    <s v=""/>
    <s v=""/>
    <s v="Flagged"/>
    <s v=""/>
    <s v=""/>
    <m/>
    <s v=""/>
    <s v="Flagged"/>
  </r>
  <r>
    <s v="Non-hosting PopulationSD13029"/>
    <x v="12"/>
    <x v="12"/>
    <s v="Gharb Bara"/>
    <s v="SD13029"/>
    <n v="280767"/>
    <s v="Non-hosting Population"/>
    <n v="6957"/>
    <n v="3"/>
    <n v="4"/>
    <n v="22.5"/>
    <n v="12.026094644661503"/>
    <n v="10.473905355338498"/>
    <n v="11.25"/>
    <n v="9.9"/>
    <n v="1.3499999999999999"/>
    <n v="3.375"/>
    <n v="4"/>
    <n v="0"/>
    <n v="0"/>
    <n v="0"/>
    <n v="0"/>
    <n v="0"/>
    <n v="2"/>
    <n v="0"/>
    <n v="0"/>
    <n v="0"/>
    <n v="0"/>
    <n v="3.2341526520051748E-3"/>
    <n v="0"/>
    <n v="18.309484748002312"/>
    <n v="1"/>
    <m/>
    <m/>
    <s v=""/>
    <s v=""/>
    <s v="Flagged"/>
    <s v=""/>
    <s v=""/>
    <m/>
    <s v=""/>
    <s v="Flagged"/>
  </r>
  <r>
    <s v="Non-hosting PopulationSD13030"/>
    <x v="12"/>
    <x v="12"/>
    <s v="Ar Rahad"/>
    <s v="SD13030"/>
    <n v="197595"/>
    <s v="Non-hosting Population"/>
    <n v="12583"/>
    <n v="3"/>
    <n v="5"/>
    <n v="190.72799999999998"/>
    <n v="101.15407464988064"/>
    <n v="89.573925350119339"/>
    <n v="95.36399999999999"/>
    <n v="83.92031999999999"/>
    <n v="11.443679999999999"/>
    <n v="28.609199999999998"/>
    <n v="31"/>
    <n v="3"/>
    <n v="0"/>
    <n v="0"/>
    <n v="2"/>
    <n v="4"/>
    <n v="13"/>
    <n v="0"/>
    <n v="0"/>
    <n v="0"/>
    <n v="0"/>
    <n v="1.5157593578637843E-2"/>
    <n v="0"/>
    <n v="549.28454244006946"/>
    <n v="0"/>
    <m/>
    <m/>
    <s v=""/>
    <s v=""/>
    <s v=""/>
    <s v=""/>
    <s v=""/>
    <m/>
    <s v=""/>
    <s v="Ok"/>
  </r>
  <r>
    <s v="Non-hosting PopulationSD14037"/>
    <x v="13"/>
    <x v="13"/>
    <s v="Abu Hujar"/>
    <s v="SD14037"/>
    <n v="152131"/>
    <s v="Non-hosting Population"/>
    <n v="6927"/>
    <n v="3"/>
    <n v="3"/>
    <n v="20.52"/>
    <n v="10.517679575120388"/>
    <n v="10.002320424879612"/>
    <n v="10.26"/>
    <n v="9.0288000000000004"/>
    <n v="1.2311999999999999"/>
    <n v="3.0779999999999998"/>
    <n v="3"/>
    <n v="0"/>
    <n v="0"/>
    <n v="0"/>
    <n v="0"/>
    <n v="0"/>
    <n v="1"/>
    <n v="0"/>
    <n v="0"/>
    <n v="0"/>
    <n v="0"/>
    <n v="2.9623213512343003E-3"/>
    <n v="0"/>
    <n v="1473.6902358148204"/>
    <n v="3"/>
    <m/>
    <m/>
    <s v=""/>
    <s v=""/>
    <s v=""/>
    <s v="Flagged"/>
    <s v=""/>
    <m/>
    <s v=""/>
    <s v="Flagged"/>
  </r>
  <r>
    <s v="Non-hosting PopulationSD14038"/>
    <x v="13"/>
    <x v="13"/>
    <s v="Sennar"/>
    <s v="SD14038"/>
    <n v="273531"/>
    <s v="Non-hosting Population"/>
    <n v="49818"/>
    <n v="4"/>
    <n v="4"/>
    <n v="480.78"/>
    <n v="252.96147552301474"/>
    <n v="227.81852447698523"/>
    <n v="240.39"/>
    <n v="211.54319999999998"/>
    <n v="28.846799999999998"/>
    <n v="72.11699999999999"/>
    <n v="78"/>
    <n v="9"/>
    <n v="0"/>
    <n v="0"/>
    <n v="5"/>
    <n v="10"/>
    <n v="34"/>
    <n v="0"/>
    <n v="0"/>
    <n v="0"/>
    <n v="0"/>
    <n v="9.6507286522943513E-3"/>
    <n v="0"/>
    <n v="2885.0091374067711"/>
    <n v="4"/>
    <m/>
    <m/>
    <s v=""/>
    <s v=""/>
    <s v="Flagged"/>
    <s v=""/>
    <s v=""/>
    <m/>
    <s v=""/>
    <s v="Flagged"/>
  </r>
  <r>
    <s v="Non-hosting PopulationSD14039"/>
    <x v="13"/>
    <x v="13"/>
    <s v="Ad Dali"/>
    <s v="SD14039"/>
    <n v="47908"/>
    <s v="Non-hosting Population"/>
    <n v="4363"/>
    <n v="3"/>
    <n v="4"/>
    <n v="52.559999999999995"/>
    <n v="27.13185466278858"/>
    <n v="25.428145337211411"/>
    <n v="26.279999999999998"/>
    <n v="23.126399999999997"/>
    <n v="3.1535999999999995"/>
    <n v="7.8839999999999986"/>
    <n v="9"/>
    <n v="1"/>
    <n v="0"/>
    <n v="0"/>
    <n v="1"/>
    <n v="1"/>
    <n v="4"/>
    <n v="0"/>
    <n v="0"/>
    <n v="0"/>
    <n v="0"/>
    <n v="1.2046756818702726E-2"/>
    <n v="0"/>
    <n v="1116.4319968294094"/>
    <n v="2"/>
    <m/>
    <m/>
    <s v=""/>
    <s v=""/>
    <s v="Flagged"/>
    <s v=""/>
    <s v=""/>
    <m/>
    <s v=""/>
    <s v="Flagged"/>
  </r>
  <r>
    <s v="Non-hosting PopulationSD14040"/>
    <x v="13"/>
    <x v="13"/>
    <s v="Ad Dinder"/>
    <s v="SD14040"/>
    <n v="228846"/>
    <s v="Non-hosting Population"/>
    <n v="20840"/>
    <n v="3"/>
    <n v="3"/>
    <n v="53.46"/>
    <n v="27.84895406863685"/>
    <n v="25.611045931363151"/>
    <n v="26.73"/>
    <n v="23.522400000000001"/>
    <n v="3.2075999999999998"/>
    <n v="8.0190000000000001"/>
    <n v="9"/>
    <n v="1"/>
    <n v="0"/>
    <n v="0"/>
    <n v="1"/>
    <n v="1"/>
    <n v="4"/>
    <n v="0"/>
    <n v="0"/>
    <n v="0"/>
    <n v="0"/>
    <n v="2.5652591170825336E-3"/>
    <n v="0"/>
    <n v="1116.4319968294094"/>
    <n v="2"/>
    <m/>
    <m/>
    <s v=""/>
    <s v=""/>
    <s v=""/>
    <s v="Flagged"/>
    <s v=""/>
    <m/>
    <s v=""/>
    <s v="Flagged"/>
  </r>
  <r>
    <s v="Non-hosting PopulationSD14041"/>
    <x v="13"/>
    <x v="13"/>
    <s v="As Suki"/>
    <s v="SD14041"/>
    <n v="255865"/>
    <s v="Non-hosting Population"/>
    <n v="23301"/>
    <n v="3"/>
    <n v="3"/>
    <n v="62.46"/>
    <n v="32.985673540127927"/>
    <n v="29.474326459872078"/>
    <n v="31.23"/>
    <n v="27.482400000000002"/>
    <n v="3.7475999999999998"/>
    <n v="9.3689999999999998"/>
    <n v="10"/>
    <n v="1"/>
    <n v="0"/>
    <n v="0"/>
    <n v="1"/>
    <n v="1"/>
    <n v="4"/>
    <n v="0"/>
    <n v="0"/>
    <n v="0"/>
    <n v="0"/>
    <n v="2.6805716492854384E-3"/>
    <n v="0"/>
    <n v="481.34593399301042"/>
    <n v="3"/>
    <m/>
    <m/>
    <s v=""/>
    <s v=""/>
    <s v=""/>
    <s v="Flagged"/>
    <s v=""/>
    <m/>
    <s v=""/>
    <s v="Flagged"/>
  </r>
  <r>
    <s v="Non-hosting PopulationSD14042"/>
    <x v="13"/>
    <x v="13"/>
    <s v="Sharg Sennar"/>
    <s v="SD14042"/>
    <n v="302576"/>
    <s v="Non-hosting Population"/>
    <n v="27554"/>
    <n v="3"/>
    <n v="3"/>
    <n v="0"/>
    <n v="0"/>
    <n v="0"/>
    <n v="0"/>
    <n v="0"/>
    <n v="0"/>
    <n v="0"/>
    <n v="0"/>
    <n v="0"/>
    <n v="0"/>
    <n v="0"/>
    <n v="0"/>
    <n v="0"/>
    <n v="0"/>
    <n v="0"/>
    <n v="0"/>
    <n v="0"/>
    <n v="0"/>
    <n v="0"/>
    <n v="0"/>
    <n v="2979.7867710576088"/>
    <n v="1"/>
    <m/>
    <m/>
    <s v=""/>
    <s v=""/>
    <s v="No target"/>
    <s v="No target"/>
    <s v=""/>
    <m/>
    <s v=""/>
    <s v="Flagged"/>
  </r>
  <r>
    <s v="Non-hosting PopulationSD14043"/>
    <x v="13"/>
    <x v="13"/>
    <s v="Sinja"/>
    <s v="SD14043"/>
    <n v="166149"/>
    <s v="Non-hosting Population"/>
    <n v="15130"/>
    <n v="3"/>
    <n v="3"/>
    <n v="62.46"/>
    <n v="32.215700461393986"/>
    <n v="30.244299538606022"/>
    <n v="31.23"/>
    <n v="27.482400000000002"/>
    <n v="3.7475999999999998"/>
    <n v="9.3689999999999998"/>
    <n v="10"/>
    <n v="1"/>
    <n v="0"/>
    <n v="0"/>
    <n v="1"/>
    <n v="1"/>
    <n v="4"/>
    <n v="0"/>
    <n v="0"/>
    <n v="0"/>
    <n v="0"/>
    <n v="4.1282220753469925E-3"/>
    <n v="0"/>
    <n v="501.65011057534792"/>
    <n v="3"/>
    <m/>
    <m/>
    <s v=""/>
    <s v=""/>
    <s v=""/>
    <s v="Flagged"/>
    <s v=""/>
    <m/>
    <s v=""/>
    <s v="Flagged"/>
  </r>
  <r>
    <s v="Non-hosting PopulationSD15030"/>
    <x v="14"/>
    <x v="14"/>
    <s v="Medani Al Kubra"/>
    <s v="SD15030"/>
    <n v="214843"/>
    <s v="Non-hosting Population"/>
    <n v="58694"/>
    <n v="4"/>
    <n v="4"/>
    <n v="98.46"/>
    <n v="49.901179864169833"/>
    <n v="48.55882013583016"/>
    <n v="49.23"/>
    <n v="43.322399999999995"/>
    <n v="5.9075999999999995"/>
    <n v="14.768999999999998"/>
    <n v="16"/>
    <n v="2"/>
    <n v="0"/>
    <n v="0"/>
    <n v="1"/>
    <n v="2"/>
    <n v="7"/>
    <n v="0"/>
    <n v="0"/>
    <n v="0"/>
    <n v="0"/>
    <n v="1.6775138855760383E-3"/>
    <n v="0"/>
    <n v="36.127739417399688"/>
    <n v="1"/>
    <m/>
    <m/>
    <s v=""/>
    <s v=""/>
    <s v=""/>
    <s v=""/>
    <s v="Yes"/>
    <m/>
    <s v=""/>
    <s v="Ok"/>
  </r>
  <r>
    <s v="Non-hosting PopulationSD15031"/>
    <x v="14"/>
    <x v="14"/>
    <s v="Janub Aj Jazirah"/>
    <s v="SD15031"/>
    <n v="754177"/>
    <s v="Non-hosting Population"/>
    <n v="171697"/>
    <n v="4"/>
    <n v="4"/>
    <n v="104.58"/>
    <n v="54.390722483059406"/>
    <n v="50.189277516940592"/>
    <n v="52.29"/>
    <n v="46.0152"/>
    <n v="6.2747999999999999"/>
    <n v="15.686999999999999"/>
    <n v="17"/>
    <n v="2"/>
    <n v="0"/>
    <n v="0"/>
    <n v="1"/>
    <n v="2"/>
    <n v="7"/>
    <n v="0"/>
    <n v="0"/>
    <n v="0"/>
    <n v="0"/>
    <n v="6.0909625677792851E-4"/>
    <n v="0"/>
    <n v="164.56207633265495"/>
    <n v="1"/>
    <m/>
    <m/>
    <s v=""/>
    <s v=""/>
    <s v="Flagged"/>
    <s v=""/>
    <s v=""/>
    <m/>
    <s v=""/>
    <s v="Flagged"/>
  </r>
  <r>
    <s v="Non-hosting PopulationSD15032"/>
    <x v="14"/>
    <x v="14"/>
    <s v="Um Algura"/>
    <s v="SD15032"/>
    <n v="295661"/>
    <s v="Non-hosting Population"/>
    <n v="67311"/>
    <n v="4"/>
    <n v="4"/>
    <n v="139.13999999999999"/>
    <n v="72.467375156611098"/>
    <n v="66.672624843388888"/>
    <n v="69.569999999999993"/>
    <n v="61.221599999999995"/>
    <n v="8.348399999999998"/>
    <n v="20.870999999999999"/>
    <n v="23"/>
    <n v="3"/>
    <n v="0"/>
    <n v="0"/>
    <n v="1"/>
    <n v="3"/>
    <n v="10"/>
    <n v="0"/>
    <n v="0"/>
    <n v="0"/>
    <n v="0"/>
    <n v="2.0671212728974458E-3"/>
    <n v="0"/>
    <n v="57.548347996566619"/>
    <n v="1"/>
    <m/>
    <m/>
    <s v=""/>
    <s v=""/>
    <s v="Flagged"/>
    <s v=""/>
    <s v=""/>
    <m/>
    <s v=""/>
    <s v="Flagged"/>
  </r>
  <r>
    <s v="Non-hosting PopulationSD15033"/>
    <x v="14"/>
    <x v="14"/>
    <s v="Sharg Aj Jazirah"/>
    <s v="SD15033"/>
    <n v="599444"/>
    <s v="Non-hosting Population"/>
    <n v="136471"/>
    <n v="4"/>
    <n v="4"/>
    <n v="134.28"/>
    <n v="70.385987119229924"/>
    <n v="63.894012880770077"/>
    <n v="67.14"/>
    <n v="59.083199999999998"/>
    <n v="8.0567999999999991"/>
    <n v="20.141999999999999"/>
    <n v="22"/>
    <n v="2"/>
    <n v="0"/>
    <n v="0"/>
    <n v="1"/>
    <n v="3"/>
    <n v="9"/>
    <n v="0"/>
    <n v="0"/>
    <n v="0"/>
    <n v="0"/>
    <n v="9.8394530706157361E-4"/>
    <n v="0"/>
    <n v="242.78674491050222"/>
    <n v="1"/>
    <m/>
    <m/>
    <s v=""/>
    <s v=""/>
    <s v="Flagged"/>
    <s v=""/>
    <s v=""/>
    <m/>
    <s v=""/>
    <s v="Flagged"/>
  </r>
  <r>
    <s v="Non-hosting PopulationSD15034"/>
    <x v="14"/>
    <x v="14"/>
    <s v="Al Hasahisa"/>
    <s v="SD15034"/>
    <n v="790733"/>
    <s v="Non-hosting Population"/>
    <n v="180020"/>
    <n v="4"/>
    <n v="4"/>
    <n v="162.18"/>
    <n v="84.100333035046489"/>
    <n v="78.079666964953518"/>
    <n v="81.09"/>
    <n v="71.359200000000001"/>
    <n v="9.7308000000000003"/>
    <n v="24.327000000000002"/>
    <n v="26"/>
    <n v="3"/>
    <n v="0"/>
    <n v="0"/>
    <n v="2"/>
    <n v="3"/>
    <n v="11"/>
    <n v="0"/>
    <n v="0"/>
    <n v="0"/>
    <n v="0"/>
    <n v="9.0089990001110995E-4"/>
    <n v="0"/>
    <n v="2.8134086320101117"/>
    <n v="1"/>
    <m/>
    <m/>
    <s v=""/>
    <s v=""/>
    <s v="Flagged"/>
    <s v=""/>
    <s v=""/>
    <m/>
    <s v=""/>
    <s v="Flagged"/>
  </r>
  <r>
    <s v="Non-hosting PopulationSD15035"/>
    <x v="14"/>
    <x v="14"/>
    <s v="Al Kamlin"/>
    <s v="SD15035"/>
    <n v="524833"/>
    <s v="Non-hosting Population"/>
    <n v="119484"/>
    <n v="4"/>
    <n v="4"/>
    <n v="276.3"/>
    <n v="140.74313824167396"/>
    <n v="135.55686175832605"/>
    <n v="138.15"/>
    <n v="121.572"/>
    <n v="16.577999999999999"/>
    <n v="41.445"/>
    <n v="45"/>
    <n v="5"/>
    <n v="0"/>
    <n v="0"/>
    <n v="3"/>
    <n v="6"/>
    <n v="19"/>
    <n v="0"/>
    <n v="0"/>
    <n v="0"/>
    <n v="0"/>
    <n v="2.3124435070804462E-3"/>
    <n v="0"/>
    <n v="43.391990276769711"/>
    <n v="1"/>
    <m/>
    <m/>
    <s v=""/>
    <s v=""/>
    <s v=""/>
    <s v=""/>
    <s v=""/>
    <m/>
    <s v="Yes"/>
    <s v="Ok"/>
  </r>
  <r>
    <s v="Non-hosting PopulationSD15036"/>
    <x v="14"/>
    <x v="14"/>
    <s v="Al Manaqil"/>
    <s v="SD15036"/>
    <n v="725439"/>
    <s v="Non-hosting Population"/>
    <n v="49458"/>
    <n v="3"/>
    <n v="4"/>
    <n v="630"/>
    <n v="328.76576811646362"/>
    <n v="301.23423188353638"/>
    <n v="315"/>
    <n v="277.2"/>
    <n v="37.799999999999997"/>
    <n v="94.5"/>
    <n v="102"/>
    <n v="11"/>
    <n v="0"/>
    <n v="0"/>
    <n v="6"/>
    <n v="13"/>
    <n v="44"/>
    <n v="0"/>
    <n v="0"/>
    <n v="0"/>
    <n v="0"/>
    <n v="1.2738080795826763E-2"/>
    <n v="0"/>
    <n v="2475.3530233701663"/>
    <n v="5"/>
    <m/>
    <m/>
    <s v=""/>
    <s v=""/>
    <s v="Flagged"/>
    <s v=""/>
    <s v=""/>
    <m/>
    <s v=""/>
    <s v="Flagged"/>
  </r>
  <r>
    <s v="Non-hosting PopulationSD15037"/>
    <x v="14"/>
    <x v="14"/>
    <s v="Al Qurashi"/>
    <s v="SD15037"/>
    <n v="419203"/>
    <s v="Non-hosting Population"/>
    <n v="19779"/>
    <n v="3"/>
    <n v="4"/>
    <n v="310.86"/>
    <n v="162.44353382895832"/>
    <n v="148.41646617104166"/>
    <n v="155.43"/>
    <n v="136.7784"/>
    <n v="18.651599999999998"/>
    <n v="46.628999999999998"/>
    <n v="50"/>
    <n v="6"/>
    <n v="0"/>
    <n v="0"/>
    <n v="3"/>
    <n v="6"/>
    <n v="22"/>
    <n v="0"/>
    <n v="0"/>
    <n v="0"/>
    <n v="0"/>
    <n v="1.5716669194600335E-2"/>
    <n v="0"/>
    <n v="2255.2670623951954"/>
    <n v="2"/>
    <m/>
    <m/>
    <s v=""/>
    <s v=""/>
    <s v="Flagged"/>
    <s v=""/>
    <s v=""/>
    <m/>
    <s v=""/>
    <s v="Flagged"/>
  </r>
  <r>
    <s v="Non-hosting PopulationSD16008"/>
    <x v="15"/>
    <x v="15"/>
    <s v="Abu Hamad"/>
    <s v="SD16008"/>
    <n v="88417"/>
    <s v="Non-hosting Population"/>
    <n v="1858"/>
    <n v="2"/>
    <n v="3"/>
    <n v="0"/>
    <n v="0"/>
    <n v="0"/>
    <n v="0"/>
    <n v="0"/>
    <n v="0"/>
    <n v="0"/>
    <n v="0"/>
    <n v="0"/>
    <n v="0"/>
    <n v="0"/>
    <n v="0"/>
    <n v="0"/>
    <n v="0"/>
    <n v="0"/>
    <n v="0"/>
    <n v="0"/>
    <n v="0"/>
    <n v="0"/>
    <n v="0"/>
    <n v="928.73744952244908"/>
    <n v="3"/>
    <m/>
    <m/>
    <s v=""/>
    <s v=""/>
    <s v="No target"/>
    <s v="No target"/>
    <s v=""/>
    <m/>
    <s v=""/>
    <s v="Flagged"/>
  </r>
  <r>
    <s v="Non-hosting PopulationSD16009"/>
    <x v="15"/>
    <x v="15"/>
    <s v="Al Matama"/>
    <s v="SD16009"/>
    <n v="30038"/>
    <s v="Non-hosting Population"/>
    <n v="1109"/>
    <n v="3"/>
    <n v="3"/>
    <n v="0"/>
    <n v="0"/>
    <n v="0"/>
    <n v="0"/>
    <n v="0"/>
    <n v="0"/>
    <n v="0"/>
    <n v="0"/>
    <n v="0"/>
    <n v="0"/>
    <n v="0"/>
    <n v="0"/>
    <n v="0"/>
    <n v="0"/>
    <n v="0"/>
    <n v="0"/>
    <n v="0"/>
    <n v="0"/>
    <n v="0"/>
    <n v="0"/>
    <n v="1400.0652670639101"/>
    <n v="1"/>
    <m/>
    <m/>
    <s v=""/>
    <s v=""/>
    <s v="No target"/>
    <s v="No target"/>
    <s v=""/>
    <m/>
    <s v=""/>
    <s v="Flagged"/>
  </r>
  <r>
    <s v="Non-hosting PopulationSD16010"/>
    <x v="15"/>
    <x v="15"/>
    <s v="Shendi"/>
    <s v="SD16010"/>
    <n v="0"/>
    <s v="Non-hosting Population"/>
    <n v="0"/>
    <n v="3"/>
    <n v="3"/>
    <n v="0"/>
    <n v="0"/>
    <n v="0"/>
    <n v="0"/>
    <n v="0"/>
    <n v="0"/>
    <n v="0"/>
    <n v="0"/>
    <n v="0"/>
    <n v="0"/>
    <n v="0"/>
    <n v="0"/>
    <n v="0"/>
    <n v="0"/>
    <n v="0"/>
    <n v="0"/>
    <n v="0"/>
    <n v="0"/>
    <n v="0"/>
    <n v="0"/>
    <n v="1625.9269029024786"/>
    <n v="4"/>
    <m/>
    <m/>
    <s v=""/>
    <s v=""/>
    <s v="No target"/>
    <s v="No target"/>
    <s v=""/>
    <m/>
    <s v=""/>
    <s v="Flagged"/>
  </r>
  <r>
    <s v="Non-hosting PopulationSD16011"/>
    <x v="15"/>
    <x v="15"/>
    <s v="Ad Damar"/>
    <s v="SD16011"/>
    <n v="132100"/>
    <s v="Non-hosting Population"/>
    <n v="14692"/>
    <n v="3"/>
    <n v="3"/>
    <n v="2938.5"/>
    <n v="1472.6756034170555"/>
    <n v="1465.8243965829445"/>
    <n v="1469.25"/>
    <n v="1292.94"/>
    <n v="176.31"/>
    <n v="440.77499999999998"/>
    <n v="476"/>
    <n v="53"/>
    <n v="0"/>
    <n v="0"/>
    <n v="29"/>
    <n v="59"/>
    <n v="206"/>
    <n v="0"/>
    <n v="0"/>
    <n v="0"/>
    <n v="0"/>
    <n v="0.20000680642526544"/>
    <n v="0"/>
    <n v="1947.6826043887145"/>
    <n v="3"/>
    <m/>
    <m/>
    <s v=""/>
    <s v=""/>
    <s v=""/>
    <s v="Flagged"/>
    <s v=""/>
    <m/>
    <s v=""/>
    <s v="Flagged"/>
  </r>
  <r>
    <s v="Non-hosting PopulationSD16012"/>
    <x v="15"/>
    <x v="15"/>
    <s v="Atbara"/>
    <s v="SD16012"/>
    <n v="7134"/>
    <s v="Non-hosting Population"/>
    <n v="455"/>
    <n v="3"/>
    <n v="3"/>
    <n v="91"/>
    <n v="46.138284785626418"/>
    <n v="44.861715214373582"/>
    <n v="45.5"/>
    <n v="40.04"/>
    <n v="5.46"/>
    <n v="13.65"/>
    <n v="15"/>
    <n v="2"/>
    <n v="0"/>
    <n v="0"/>
    <n v="1"/>
    <n v="2"/>
    <n v="6"/>
    <n v="0"/>
    <n v="0"/>
    <n v="0"/>
    <n v="0"/>
    <n v="0.2"/>
    <n v="0"/>
    <n v="1452.5226851549348"/>
    <n v="3"/>
    <m/>
    <m/>
    <s v=""/>
    <s v=""/>
    <s v=""/>
    <s v="Flagged"/>
    <s v=""/>
    <m/>
    <s v=""/>
    <s v="Flagged"/>
  </r>
  <r>
    <s v="Non-hosting PopulationSD16013"/>
    <x v="15"/>
    <x v="15"/>
    <s v="Barbar"/>
    <s v="SD16013"/>
    <n v="123573"/>
    <s v="Non-hosting Population"/>
    <n v="2658"/>
    <n v="3"/>
    <n v="3"/>
    <n v="797.5"/>
    <n v="406.95167064439141"/>
    <n v="390.54832935560859"/>
    <n v="398.75"/>
    <n v="350.9"/>
    <n v="47.85"/>
    <n v="119.625"/>
    <n v="129"/>
    <n v="14"/>
    <n v="0"/>
    <n v="0"/>
    <n v="8"/>
    <n v="16"/>
    <n v="56"/>
    <n v="0"/>
    <n v="0"/>
    <n v="0"/>
    <n v="0"/>
    <n v="0.30003762227238523"/>
    <n v="0"/>
    <n v="1651.5304100297665"/>
    <n v="2"/>
    <m/>
    <m/>
    <s v=""/>
    <s v=""/>
    <s v=""/>
    <s v="Flagged"/>
    <s v=""/>
    <m/>
    <s v=""/>
    <s v="Flagged"/>
  </r>
  <r>
    <s v="Non-hosting PopulationSD16014"/>
    <x v="15"/>
    <x v="15"/>
    <s v="Al Buhaira"/>
    <s v="SD16014"/>
    <n v="29945"/>
    <s v="Non-hosting Population"/>
    <n v="525"/>
    <n v="3"/>
    <n v="3"/>
    <n v="52.5"/>
    <n v="25.906844678450543"/>
    <n v="26.593155321549457"/>
    <n v="26.25"/>
    <n v="23.1"/>
    <n v="3.15"/>
    <n v="7.875"/>
    <n v="9"/>
    <n v="1"/>
    <n v="0"/>
    <n v="0"/>
    <n v="1"/>
    <n v="1"/>
    <n v="4"/>
    <n v="0"/>
    <n v="0"/>
    <n v="0"/>
    <n v="0"/>
    <n v="0.1"/>
    <n v="0"/>
    <n v="789.36207903826562"/>
    <n v="2"/>
    <m/>
    <m/>
    <s v=""/>
    <s v=""/>
    <s v=""/>
    <s v="Flagged"/>
    <s v=""/>
    <m/>
    <s v=""/>
    <s v="Flagged"/>
  </r>
  <r>
    <s v="Non-hosting PopulationSD17014"/>
    <x v="16"/>
    <x v="16"/>
    <s v="Halfa"/>
    <s v="SD17014"/>
    <n v="11681"/>
    <s v="Non-hosting Population"/>
    <n v="1788"/>
    <n v="3"/>
    <n v="3"/>
    <n v="179"/>
    <n v="89.722754992509763"/>
    <n v="89.277245007490237"/>
    <n v="89.5"/>
    <n v="78.760000000000005"/>
    <n v="10.74"/>
    <n v="26.849999999999998"/>
    <n v="29"/>
    <n v="3"/>
    <n v="0"/>
    <n v="0"/>
    <n v="2"/>
    <n v="4"/>
    <n v="13"/>
    <n v="0"/>
    <n v="1"/>
    <n v="0"/>
    <n v="0"/>
    <n v="0.10011185682326622"/>
    <n v="0"/>
    <n v="1438.2025840756028"/>
    <n v="5"/>
    <m/>
    <m/>
    <s v=""/>
    <s v=""/>
    <s v=""/>
    <s v="Flagged"/>
    <s v=""/>
    <m/>
    <s v=""/>
    <s v="Flagged"/>
  </r>
  <r>
    <s v="Non-hosting PopulationSD17015"/>
    <x v="16"/>
    <x v="16"/>
    <s v="Delgo"/>
    <s v="SD17015"/>
    <n v="23591"/>
    <s v="Non-hosting Population"/>
    <n v="1075"/>
    <n v="3"/>
    <n v="3"/>
    <n v="107.5"/>
    <n v="56.826498875544281"/>
    <n v="50.673501124455719"/>
    <n v="53.75"/>
    <n v="47.3"/>
    <n v="6.45"/>
    <n v="16.125"/>
    <n v="17"/>
    <n v="2"/>
    <n v="0"/>
    <n v="0"/>
    <n v="1"/>
    <n v="2"/>
    <n v="8"/>
    <n v="0"/>
    <n v="0"/>
    <n v="0"/>
    <n v="0"/>
    <n v="0.1"/>
    <n v="0"/>
    <n v="345.30497373935748"/>
    <n v="3"/>
    <m/>
    <m/>
    <s v=""/>
    <s v=""/>
    <s v=""/>
    <s v="Flagged"/>
    <s v=""/>
    <m/>
    <s v=""/>
    <s v="Flagged"/>
  </r>
  <r>
    <s v="Non-hosting PopulationSD17016"/>
    <x v="16"/>
    <x v="16"/>
    <s v="Al Burgaig"/>
    <s v="SD17016"/>
    <n v="70910"/>
    <s v="Non-hosting Population"/>
    <n v="5010"/>
    <n v="3"/>
    <n v="3"/>
    <n v="501"/>
    <n v="258.18564742589706"/>
    <n v="242.81435257410297"/>
    <n v="250.5"/>
    <n v="220.44"/>
    <n v="30.06"/>
    <n v="75.149999999999991"/>
    <n v="81"/>
    <n v="9"/>
    <n v="0"/>
    <n v="0"/>
    <n v="5"/>
    <n v="10"/>
    <n v="35"/>
    <n v="0"/>
    <n v="0"/>
    <n v="0"/>
    <n v="0"/>
    <n v="0.1"/>
    <n v="0"/>
    <n v="639.78996298304014"/>
    <n v="3"/>
    <m/>
    <m/>
    <s v=""/>
    <s v=""/>
    <s v=""/>
    <s v="Flagged"/>
    <s v=""/>
    <m/>
    <s v=""/>
    <s v="Flagged"/>
  </r>
  <r>
    <s v="Non-hosting PopulationSD17017"/>
    <x v="16"/>
    <x v="16"/>
    <s v="Dongola"/>
    <s v="SD17017"/>
    <n v="156870"/>
    <s v="Non-hosting Population"/>
    <n v="7774"/>
    <n v="3"/>
    <n v="3"/>
    <n v="777.5"/>
    <n v="399.37200346383736"/>
    <n v="378.12799653616258"/>
    <n v="388.75"/>
    <n v="342.1"/>
    <n v="46.65"/>
    <n v="116.625"/>
    <n v="126"/>
    <n v="14"/>
    <n v="0"/>
    <n v="0"/>
    <n v="8"/>
    <n v="16"/>
    <n v="54"/>
    <n v="0"/>
    <n v="4"/>
    <n v="0"/>
    <n v="0"/>
    <n v="0.10001286339078981"/>
    <n v="0"/>
    <n v="1800.5368672065983"/>
    <n v="6"/>
    <m/>
    <m/>
    <s v=""/>
    <s v=""/>
    <s v=""/>
    <s v="Flagged"/>
    <s v=""/>
    <m/>
    <s v=""/>
    <s v="Flagged"/>
  </r>
  <r>
    <s v="Non-hosting PopulationSD17018"/>
    <x v="16"/>
    <x v="16"/>
    <s v="Al Golid"/>
    <s v="SD17018"/>
    <n v="60478"/>
    <s v="Non-hosting Population"/>
    <n v="3347"/>
    <n v="3"/>
    <n v="3"/>
    <n v="669.5"/>
    <n v="350.80556042463223"/>
    <n v="318.69443957536782"/>
    <n v="334.75"/>
    <n v="294.58"/>
    <n v="40.17"/>
    <n v="100.425"/>
    <n v="108"/>
    <n v="12"/>
    <n v="0"/>
    <n v="0"/>
    <n v="7"/>
    <n v="13"/>
    <n v="47"/>
    <n v="0"/>
    <n v="0"/>
    <n v="0"/>
    <n v="0"/>
    <n v="0.2000298775022408"/>
    <n v="0"/>
    <n v="639.03078922519614"/>
    <n v="3"/>
    <m/>
    <m/>
    <s v=""/>
    <s v=""/>
    <s v=""/>
    <s v="Flagged"/>
    <s v=""/>
    <m/>
    <s v=""/>
    <s v="Flagged"/>
  </r>
  <r>
    <s v="Non-hosting PopulationSD17019"/>
    <x v="16"/>
    <x v="16"/>
    <s v="Ad Dabbah"/>
    <s v="SD17019"/>
    <n v="152565"/>
    <s v="Non-hosting Population"/>
    <n v="12746"/>
    <n v="3"/>
    <n v="3"/>
    <n v="319.14"/>
    <n v="162.97652750796692"/>
    <n v="156.16347249203309"/>
    <n v="159.57"/>
    <n v="140.42159999999998"/>
    <n v="19.148399999999999"/>
    <n v="47.870999999999995"/>
    <n v="52"/>
    <n v="6"/>
    <n v="0"/>
    <n v="0"/>
    <n v="3"/>
    <n v="6"/>
    <n v="22"/>
    <n v="0"/>
    <n v="0"/>
    <n v="0"/>
    <n v="0"/>
    <n v="2.5038443433233956E-2"/>
    <n v="0"/>
    <n v="1211.284059280036"/>
    <n v="4"/>
    <m/>
    <m/>
    <s v=""/>
    <s v=""/>
    <s v=""/>
    <s v="Flagged"/>
    <s v=""/>
    <m/>
    <s v=""/>
    <s v="Flagged"/>
  </r>
  <r>
    <s v="Non-hosting PopulationSD17020"/>
    <x v="16"/>
    <x v="16"/>
    <s v="Merwoe"/>
    <s v="SD17020"/>
    <n v="151326"/>
    <s v="Non-hosting Population"/>
    <n v="3018"/>
    <n v="3"/>
    <n v="3"/>
    <n v="603.5"/>
    <n v="306.74066741717593"/>
    <n v="296.75933258282407"/>
    <n v="301.75"/>
    <n v="265.54000000000002"/>
    <n v="36.21"/>
    <n v="90.524999999999991"/>
    <n v="98"/>
    <n v="11"/>
    <n v="0"/>
    <n v="0"/>
    <n v="6"/>
    <n v="12"/>
    <n v="42"/>
    <n v="0"/>
    <n v="3"/>
    <n v="0"/>
    <n v="0"/>
    <n v="0.19996686547382372"/>
    <n v="0"/>
    <n v="1199.7029380329257"/>
    <n v="6"/>
    <m/>
    <m/>
    <s v=""/>
    <s v=""/>
    <s v=""/>
    <s v="Flagged"/>
    <s v=""/>
    <m/>
    <s v=""/>
    <s v="Flagged"/>
  </r>
  <r>
    <s v="Non-hosting PopulationSD18021"/>
    <x v="17"/>
    <x v="17"/>
    <s v="Ghubaish"/>
    <s v="SD18021"/>
    <n v="188919"/>
    <s v="Non-hosting Population"/>
    <n v="11189"/>
    <n v="3"/>
    <n v="3"/>
    <n v="0"/>
    <n v="0"/>
    <n v="0"/>
    <n v="0"/>
    <n v="0"/>
    <n v="0"/>
    <n v="0"/>
    <n v="0"/>
    <n v="0"/>
    <n v="0"/>
    <n v="0"/>
    <n v="0"/>
    <n v="0"/>
    <n v="0"/>
    <n v="0"/>
    <n v="0"/>
    <n v="0"/>
    <n v="0"/>
    <n v="0"/>
    <n v="0"/>
    <n v="29.771519915450916"/>
    <n v="1"/>
    <m/>
    <m/>
    <s v=""/>
    <s v=""/>
    <s v="No target"/>
    <s v="No target"/>
    <s v=""/>
    <m/>
    <s v=""/>
    <s v="Flagged"/>
  </r>
  <r>
    <s v="Non-hosting PopulationSD18022"/>
    <x v="17"/>
    <x v="17"/>
    <s v="An Nuhud"/>
    <s v="SD18022"/>
    <n v="312259"/>
    <s v="Non-hosting Population"/>
    <n v="0"/>
    <n v="3"/>
    <n v="5"/>
    <n v="0"/>
    <n v="0"/>
    <n v="0"/>
    <n v="0"/>
    <n v="0"/>
    <n v="0"/>
    <n v="0"/>
    <n v="0"/>
    <n v="0"/>
    <n v="0"/>
    <n v="0"/>
    <n v="0"/>
    <n v="0"/>
    <n v="0"/>
    <n v="0"/>
    <n v="0"/>
    <n v="0"/>
    <n v="0"/>
    <n v="0"/>
    <n v="0"/>
    <n v="3.0366950313759933"/>
    <n v="1"/>
    <m/>
    <m/>
    <s v=""/>
    <s v=""/>
    <s v="No target"/>
    <s v="No target"/>
    <s v=""/>
    <m/>
    <s v=""/>
    <s v="Ok"/>
  </r>
  <r>
    <s v="Non-hosting PopulationSD18028"/>
    <x v="17"/>
    <x v="17"/>
    <s v="Abu Zabad"/>
    <s v="SD18028"/>
    <n v="123632"/>
    <s v="Non-hosting Population"/>
    <n v="10069"/>
    <n v="3"/>
    <n v="4"/>
    <n v="106.74"/>
    <n v="55.660038879501791"/>
    <n v="51.079961120498197"/>
    <n v="53.37"/>
    <n v="46.965599999999995"/>
    <n v="6.4043999999999999"/>
    <n v="16.010999999999999"/>
    <n v="17"/>
    <n v="2"/>
    <n v="0"/>
    <n v="0"/>
    <n v="1"/>
    <n v="2"/>
    <n v="7"/>
    <n v="0"/>
    <n v="0"/>
    <n v="0"/>
    <n v="0"/>
    <n v="1.0600854106664018E-2"/>
    <n v="0"/>
    <n v="528.44447849925382"/>
    <n v="1"/>
    <m/>
    <m/>
    <s v=""/>
    <s v=""/>
    <s v=""/>
    <s v=""/>
    <s v=""/>
    <m/>
    <s v="Yes"/>
    <s v="Ok"/>
  </r>
  <r>
    <s v="Non-hosting PopulationSD18029"/>
    <x v="17"/>
    <x v="17"/>
    <s v="Wad Bandah"/>
    <s v="SD18029"/>
    <n v="213955"/>
    <s v="Non-hosting Population"/>
    <n v="6388"/>
    <n v="3"/>
    <n v="3"/>
    <n v="0"/>
    <n v="0"/>
    <n v="0"/>
    <n v="0"/>
    <n v="0"/>
    <n v="0"/>
    <n v="0"/>
    <n v="0"/>
    <n v="0"/>
    <n v="0"/>
    <n v="0"/>
    <n v="0"/>
    <n v="0"/>
    <n v="0"/>
    <n v="0"/>
    <n v="0"/>
    <n v="0"/>
    <n v="0"/>
    <n v="0"/>
    <n v="0"/>
    <n v="0"/>
    <n v="1"/>
    <m/>
    <m/>
    <s v=""/>
    <s v=""/>
    <s v="No target"/>
    <s v="No target"/>
    <s v=""/>
    <m/>
    <s v=""/>
    <s v="Flagged"/>
  </r>
  <r>
    <s v="Non-hosting PopulationSD18085"/>
    <x v="17"/>
    <x v="17"/>
    <s v="Keilak"/>
    <s v="SD18085"/>
    <n v="79436"/>
    <s v="Non-hosting Population"/>
    <n v="6631"/>
    <n v="3"/>
    <n v="3"/>
    <n v="0"/>
    <n v="0"/>
    <n v="0"/>
    <n v="0"/>
    <n v="0"/>
    <n v="0"/>
    <n v="0"/>
    <n v="0"/>
    <n v="0"/>
    <n v="0"/>
    <n v="0"/>
    <n v="0"/>
    <n v="0"/>
    <n v="0"/>
    <n v="0"/>
    <n v="0"/>
    <n v="0"/>
    <n v="0"/>
    <n v="0"/>
    <n v="0"/>
    <n v="0"/>
    <n v="1"/>
    <m/>
    <m/>
    <s v=""/>
    <s v=""/>
    <s v="No target"/>
    <s v="No target"/>
    <s v=""/>
    <m/>
    <s v=""/>
    <s v="Flagged"/>
  </r>
  <r>
    <s v="Non-hosting PopulationSD18086"/>
    <x v="17"/>
    <x v="17"/>
    <s v="As Salam - WK"/>
    <s v="SD18086"/>
    <n v="156205"/>
    <s v="Non-hosting Population"/>
    <n v="4310"/>
    <n v="3"/>
    <n v="4"/>
    <n v="862"/>
    <n v="439.7268676517682"/>
    <n v="422.27313234823185"/>
    <n v="431"/>
    <n v="379.28000000000003"/>
    <n v="51.72"/>
    <n v="129.29999999999998"/>
    <n v="140"/>
    <n v="16"/>
    <n v="0"/>
    <n v="0"/>
    <n v="9"/>
    <n v="17"/>
    <n v="60"/>
    <n v="0"/>
    <n v="0"/>
    <n v="0"/>
    <n v="0"/>
    <n v="0.2"/>
    <n v="0"/>
    <n v="111.64319968294093"/>
    <n v="2"/>
    <m/>
    <m/>
    <s v=""/>
    <s v=""/>
    <s v="Flagged"/>
    <s v=""/>
    <s v=""/>
    <m/>
    <s v=""/>
    <s v="Flagged"/>
  </r>
  <r>
    <s v="Non-hosting PopulationSD18087"/>
    <x v="17"/>
    <x v="17"/>
    <s v="Abyei"/>
    <s v="SD18087"/>
    <n v="0"/>
    <s v="Non-hosting Population"/>
    <n v="0"/>
    <n v="3"/>
    <n v="4"/>
    <n v="0"/>
    <n v="0"/>
    <n v="0"/>
    <n v="0"/>
    <n v="0"/>
    <n v="0"/>
    <n v="0"/>
    <n v="0"/>
    <n v="0"/>
    <n v="0"/>
    <n v="0"/>
    <n v="0"/>
    <n v="0"/>
    <n v="0"/>
    <n v="0"/>
    <n v="0"/>
    <n v="0"/>
    <n v="0"/>
    <n v="0"/>
    <n v="0"/>
    <n v="8587.5949196118163"/>
    <n v="1"/>
    <m/>
    <m/>
    <s v=""/>
    <s v=""/>
    <s v="No target"/>
    <s v="No target"/>
    <s v=""/>
    <m/>
    <s v=""/>
    <s v="Flagged"/>
  </r>
  <r>
    <s v="Non-hosting PopulationSD18092"/>
    <x v="17"/>
    <x v="17"/>
    <s v="As Sunut"/>
    <s v="SD18092"/>
    <n v="235599"/>
    <s v="Non-hosting Population"/>
    <n v="12515"/>
    <n v="3"/>
    <n v="3"/>
    <n v="0"/>
    <n v="0"/>
    <n v="0"/>
    <n v="0"/>
    <n v="0"/>
    <n v="0"/>
    <n v="0"/>
    <n v="0"/>
    <n v="0"/>
    <n v="0"/>
    <n v="0"/>
    <n v="0"/>
    <n v="0"/>
    <n v="0"/>
    <n v="0"/>
    <n v="0"/>
    <n v="0"/>
    <n v="0"/>
    <n v="0"/>
    <n v="0"/>
    <n v="0"/>
    <n v="1"/>
    <m/>
    <m/>
    <s v=""/>
    <s v=""/>
    <s v="No target"/>
    <s v="No target"/>
    <s v=""/>
    <m/>
    <s v=""/>
    <s v="Flagged"/>
  </r>
  <r>
    <s v="Non-hosting PopulationSD18100"/>
    <x v="17"/>
    <x v="17"/>
    <s v="Babanusa"/>
    <s v="SD18100"/>
    <n v="1383"/>
    <s v="Non-hosting Population"/>
    <n v="10"/>
    <n v="3"/>
    <n v="4"/>
    <n v="0.5"/>
    <n v="0.25195725036362487"/>
    <n v="0.24804274963637513"/>
    <n v="0.25"/>
    <n v="0.22"/>
    <n v="0.03"/>
    <n v="7.4999999999999997E-2"/>
    <n v="0"/>
    <n v="0"/>
    <n v="0"/>
    <n v="0"/>
    <n v="0"/>
    <n v="0"/>
    <n v="0"/>
    <n v="0"/>
    <n v="0"/>
    <n v="0"/>
    <n v="0"/>
    <n v="0.05"/>
    <n v="0"/>
    <n v="10.71774716956233"/>
    <n v="1"/>
    <m/>
    <m/>
    <s v=""/>
    <s v=""/>
    <s v="Flagged"/>
    <s v=""/>
    <s v=""/>
    <m/>
    <s v=""/>
    <s v="Flagged"/>
  </r>
  <r>
    <s v="Non-hosting PopulationSD18102"/>
    <x v="17"/>
    <x v="17"/>
    <s v="Al Lagowa"/>
    <s v="SD18102"/>
    <n v="107600"/>
    <s v="Non-hosting Population"/>
    <n v="15890"/>
    <n v="3"/>
    <n v="4"/>
    <n v="286.02"/>
    <n v="145.75629685116581"/>
    <n v="140.26370314883417"/>
    <n v="143.01"/>
    <n v="125.8488"/>
    <n v="17.161199999999997"/>
    <n v="42.902999999999999"/>
    <n v="46"/>
    <n v="5"/>
    <n v="0"/>
    <n v="0"/>
    <n v="3"/>
    <n v="6"/>
    <n v="20"/>
    <n v="0"/>
    <n v="0"/>
    <n v="0"/>
    <n v="0"/>
    <n v="1.7999999999999999E-2"/>
    <n v="0"/>
    <n v="140.62577432063242"/>
    <n v="1"/>
    <m/>
    <m/>
    <s v=""/>
    <s v=""/>
    <s v=""/>
    <s v=""/>
    <s v=""/>
    <m/>
    <s v="Yes"/>
    <s v="Ok"/>
  </r>
  <r>
    <s v="Non-hosting PopulationSD18103"/>
    <x v="17"/>
    <x v="17"/>
    <s v="Al Dibab"/>
    <s v="SD18103"/>
    <n v="72277"/>
    <s v="Non-hosting Population"/>
    <n v="544"/>
    <n v="3"/>
    <n v="4"/>
    <n v="13.5"/>
    <n v="6.6972697675636512"/>
    <n v="6.8027302324363479"/>
    <n v="6.75"/>
    <n v="5.94"/>
    <n v="0.80999999999999994"/>
    <n v="2.0249999999999999"/>
    <n v="2"/>
    <n v="0"/>
    <n v="0"/>
    <n v="0"/>
    <n v="0"/>
    <n v="0"/>
    <n v="1"/>
    <n v="0"/>
    <n v="0"/>
    <n v="0"/>
    <n v="0"/>
    <n v="2.4816176470588234E-2"/>
    <n v="0"/>
    <n v="980.67386601495321"/>
    <n v="1"/>
    <m/>
    <m/>
    <s v=""/>
    <s v=""/>
    <s v="Flagged"/>
    <s v=""/>
    <s v=""/>
    <m/>
    <s v=""/>
    <s v="Flagged"/>
  </r>
  <r>
    <s v="Non-hosting PopulationSD18104"/>
    <x v="17"/>
    <x v="17"/>
    <s v="Al Idia"/>
    <s v="SD18104"/>
    <n v="225816"/>
    <s v="Non-hosting Population"/>
    <n v="8885"/>
    <n v="3"/>
    <n v="4"/>
    <n v="444.5"/>
    <n v="229.8176481899159"/>
    <n v="214.68235181008407"/>
    <n v="222.25"/>
    <n v="195.58"/>
    <n v="26.669999999999998"/>
    <n v="66.674999999999997"/>
    <n v="72"/>
    <n v="8"/>
    <n v="0"/>
    <n v="0"/>
    <n v="4"/>
    <n v="9"/>
    <n v="31"/>
    <n v="0"/>
    <n v="0"/>
    <n v="0"/>
    <n v="0"/>
    <n v="5.0028137310073155E-2"/>
    <n v="0"/>
    <n v="3.274867190699601"/>
    <n v="1"/>
    <m/>
    <m/>
    <s v=""/>
    <s v=""/>
    <s v=""/>
    <s v=""/>
    <s v=""/>
    <m/>
    <s v="Yes"/>
    <s v="Ok"/>
  </r>
  <r>
    <s v="Non-hosting PopulationSD18105"/>
    <x v="17"/>
    <x v="17"/>
    <s v="Al Khiwai"/>
    <s v="SD18105"/>
    <n v="142685"/>
    <s v="Non-hosting Population"/>
    <n v="0"/>
    <n v="3"/>
    <n v="3"/>
    <n v="0"/>
    <n v="0"/>
    <n v="0"/>
    <n v="0"/>
    <n v="0"/>
    <n v="0"/>
    <n v="0"/>
    <n v="0"/>
    <n v="0"/>
    <n v="0"/>
    <n v="0"/>
    <n v="0"/>
    <n v="0"/>
    <n v="0"/>
    <n v="0"/>
    <n v="0"/>
    <n v="0"/>
    <n v="0"/>
    <n v="0"/>
    <n v="0"/>
    <n v="0"/>
    <n v="1"/>
    <m/>
    <m/>
    <s v=""/>
    <s v=""/>
    <s v="No target"/>
    <s v="No target"/>
    <s v=""/>
    <m/>
    <s v=""/>
    <s v="Flagged"/>
  </r>
  <r>
    <s v="Non-hosting PopulationSD18106"/>
    <x v="17"/>
    <x v="17"/>
    <s v="Al Meiram"/>
    <s v="SD18106"/>
    <n v="46255"/>
    <s v="Non-hosting Population"/>
    <n v="3133"/>
    <n v="3"/>
    <n v="4"/>
    <n v="106.56"/>
    <n v="52.958636025939683"/>
    <n v="53.60136397406032"/>
    <n v="53.28"/>
    <n v="46.886400000000002"/>
    <n v="6.3936000000000002"/>
    <n v="15.984"/>
    <n v="17"/>
    <n v="2"/>
    <n v="0"/>
    <n v="0"/>
    <n v="1"/>
    <n v="2"/>
    <n v="7"/>
    <n v="0"/>
    <n v="0"/>
    <n v="0"/>
    <n v="0"/>
    <n v="3.4012128949888289E-2"/>
    <n v="0"/>
    <n v="0.22328639936588188"/>
    <n v="1"/>
    <m/>
    <m/>
    <s v=""/>
    <s v=""/>
    <s v=""/>
    <s v=""/>
    <s v=""/>
    <m/>
    <s v="Yes"/>
    <s v="O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B036A9-FEFF-49A7-9F04-22D70B77924A}"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M22" firstHeaderRow="0" firstDataRow="1" firstDataCol="2"/>
  <pivotFields count="42">
    <pivotField showAll="0"/>
    <pivotField axis="axisRow" showAll="0">
      <items count="19">
        <item x="14"/>
        <item x="7"/>
        <item x="5"/>
        <item x="4"/>
        <item x="11"/>
        <item x="10"/>
        <item x="0"/>
        <item x="1"/>
        <item x="12"/>
        <item x="16"/>
        <item x="9"/>
        <item x="15"/>
        <item x="13"/>
        <item x="2"/>
        <item x="6"/>
        <item x="3"/>
        <item x="17"/>
        <item x="8"/>
        <item t="default"/>
      </items>
    </pivotField>
    <pivotField axis="axisRow" outline="0" showAll="0" defaultSubtotal="0">
      <items count="18">
        <item x="0"/>
        <item x="1"/>
        <item x="2"/>
        <item x="3"/>
        <item x="4"/>
        <item x="5"/>
        <item x="6"/>
        <item x="7"/>
        <item x="8"/>
        <item x="9"/>
        <item x="10"/>
        <item x="11"/>
        <item x="12"/>
        <item x="13"/>
        <item x="14"/>
        <item x="15"/>
        <item x="16"/>
        <item x="17"/>
      </items>
      <extLst>
        <ext xmlns:x14="http://schemas.microsoft.com/office/spreadsheetml/2009/9/main" uri="{2946ED86-A175-432a-8AC1-64E0C546D7DE}">
          <x14:pivotField fillDownLabels="1"/>
        </ext>
      </extLst>
    </pivotField>
    <pivotField showAll="0"/>
    <pivotField showAll="0"/>
    <pivotField numFmtId="3" showAll="0"/>
    <pivotField showAll="0"/>
    <pivotField numFmtId="168" showAll="0"/>
    <pivotField showAll="0"/>
    <pivotField showAll="0"/>
    <pivotField numFmtId="169" showAll="0"/>
    <pivotField numFmtId="169" showAll="0"/>
    <pivotField numFmtId="169" showAll="0"/>
    <pivotField numFmtId="169" showAll="0"/>
    <pivotField numFmtId="169" showAll="0"/>
    <pivotField numFmtId="169" showAll="0"/>
    <pivotField numFmtId="1" showAll="0"/>
    <pivotField dataField="1" numFmtId="166"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numFmtId="9" showAll="0"/>
    <pivotField numFmtId="3"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s>
  <rowFields count="2">
    <field x="2"/>
    <field x="1"/>
  </rowFields>
  <rowItems count="19">
    <i>
      <x/>
      <x v="6"/>
    </i>
    <i>
      <x v="1"/>
      <x v="7"/>
    </i>
    <i>
      <x v="2"/>
      <x v="13"/>
    </i>
    <i>
      <x v="3"/>
      <x v="15"/>
    </i>
    <i>
      <x v="4"/>
      <x v="3"/>
    </i>
    <i>
      <x v="5"/>
      <x v="2"/>
    </i>
    <i>
      <x v="6"/>
      <x v="14"/>
    </i>
    <i>
      <x v="7"/>
      <x v="1"/>
    </i>
    <i>
      <x v="8"/>
      <x v="17"/>
    </i>
    <i>
      <x v="9"/>
      <x v="10"/>
    </i>
    <i>
      <x v="10"/>
      <x v="5"/>
    </i>
    <i>
      <x v="11"/>
      <x v="4"/>
    </i>
    <i>
      <x v="12"/>
      <x v="8"/>
    </i>
    <i>
      <x v="13"/>
      <x v="12"/>
    </i>
    <i>
      <x v="14"/>
      <x/>
    </i>
    <i>
      <x v="15"/>
      <x v="11"/>
    </i>
    <i>
      <x v="16"/>
      <x v="9"/>
    </i>
    <i>
      <x v="17"/>
      <x v="16"/>
    </i>
    <i t="grand">
      <x/>
    </i>
  </rowItems>
  <colFields count="1">
    <field x="-2"/>
  </colFields>
  <colItems count="11">
    <i>
      <x/>
    </i>
    <i i="1">
      <x v="1"/>
    </i>
    <i i="2">
      <x v="2"/>
    </i>
    <i i="3">
      <x v="3"/>
    </i>
    <i i="4">
      <x v="4"/>
    </i>
    <i i="5">
      <x v="5"/>
    </i>
    <i i="6">
      <x v="6"/>
    </i>
    <i i="7">
      <x v="7"/>
    </i>
    <i i="8">
      <x v="8"/>
    </i>
    <i i="9">
      <x v="9"/>
    </i>
    <i i="10">
      <x v="10"/>
    </i>
  </colItems>
  <dataFields count="11">
    <dataField name="Sum of CLSHL/CA1/IN1" fld="17" baseField="0" baseItem="0"/>
    <dataField name="Sum of CLSHL/CA2/IN1" fld="18" baseField="0" baseItem="0"/>
    <dataField name="Sum of CLSHL/CA3/IN1" fld="19" baseField="0" baseItem="0"/>
    <dataField name="Sum of CLSHL/CA4/IN1" fld="20" baseField="0" baseItem="0"/>
    <dataField name="Sum of CLSHL/CA5/IN1" fld="21" baseField="0" baseItem="0"/>
    <dataField name="Sum of CLSHL/CA6/IN1" fld="22" baseField="0" baseItem="0"/>
    <dataField name="Sum of CLSHL/CA7/IN1" fld="23" baseField="0" baseItem="0"/>
    <dataField name="Sum of CLSHL/CA8/IN1" fld="24" baseField="0" baseItem="0"/>
    <dataField name="Sum of CLSHL/CA9/IN1" fld="25" baseField="0" baseItem="0"/>
    <dataField name="Sum of CLSHL/CA10/IN1" fld="26" baseField="0" baseItem="0"/>
    <dataField name="Sum of CLSHL/CA11/IN1" fld="2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41393-DA86-406D-937E-01EF2F0014BF}" name="tblSO" displayName="tblSO" ref="A1:B4" totalsRowShown="0" headerRowDxfId="154" dataDxfId="152" headerRowBorderDxfId="153" tableBorderDxfId="151">
  <autoFilter ref="A1:B4" xr:uid="{AF041393-DA86-406D-937E-01EF2F0014BF}"/>
  <tableColumns count="2">
    <tableColumn id="1" xr3:uid="{ABF675B1-C891-4543-BB8D-2B298499563B}" name="2025 HNRP SOs" dataDxfId="150"/>
    <tableColumn id="2" xr3:uid="{BD5381AF-28B8-4AD1-84AD-AE975A8DE557}" name="Strategic Objectives" dataDxfId="1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A31128-D3A8-40A1-8FB1-BE093E9C8B47}" name="tblActivities" displayName="tblActivities" ref="A4:R16" totalsRowCount="1" headerRowDxfId="147" dataDxfId="146">
  <autoFilter ref="A4:R15" xr:uid="{EFA31128-D3A8-40A1-8FB1-BE093E9C8B47}"/>
  <tableColumns count="18">
    <tableColumn id="1" xr3:uid="{52320AF8-944B-400B-AF56-B6AD1271FCA2}" name="Cluster" dataDxfId="33" totalsRowDxfId="15"/>
    <tableColumn id="3" xr3:uid="{90FF88AE-2AF5-4C04-92C9-4D9A1A75E777}" name="2025 Strategic Objectives (SO)" dataDxfId="32" totalsRowDxfId="14"/>
    <tableColumn id="2" xr3:uid="{EA330677-ACA7-487F-8173-6B73B1327034}" name="Activity" dataDxfId="31" totalsRowDxfId="13"/>
    <tableColumn id="10" xr3:uid="{79E14C4C-DEC8-4AAB-AC02-D90598F30BA5}" name="aCode" dataDxfId="30" totalsRowDxfId="12"/>
    <tableColumn id="13" xr3:uid="{870F2693-5970-48C4-9C8E-BA551FAAA91B}" name="Indicator" dataDxfId="29" totalsRowDxfId="11"/>
    <tableColumn id="14" xr3:uid="{0CD178F5-3573-4BF8-92BF-25C528BE80FA}" name="iCode" dataDxfId="28" totalsRowDxfId="10"/>
    <tableColumn id="5" xr3:uid="{1009F2AB-CCCB-43B6-9D43-4E125BD87160}" name="Unit for indicator (per person or other - kindly specify)" dataDxfId="27" totalsRowDxfId="9" dataCellStyle="Comma"/>
    <tableColumn id="15" xr3:uid="{C74AEA89-1FE4-483A-837D-78DD87A07368}" name="Response modality (cash &amp; voucher, in-kind)" dataDxfId="26" totalsRowDxfId="8" dataCellStyle="Comma"/>
    <tableColumn id="4" xr3:uid="{51F1EB45-CF4A-4BAC-8BDA-C794D8969A79}" name="Reaching beneficiaries directly?" dataDxfId="25" totalsRowDxfId="7" dataCellStyle="Comma"/>
    <tableColumn id="12" xr3:uid="{B1D8F7E3-183C-498C-BE6B-6A6532B92FD0}" name="Partners should report on this indicator on a monthly basis in ActivityInfo? (Yes/No)" dataDxfId="24" totalsRowDxfId="6" dataCellStyle="Comma"/>
    <tableColumn id="9" xr3:uid="{874356EB-E30A-4384-8D07-6403981CF5F1}" name="Does this indicator contribute to the total cluster reached calculation? (Yes/No)" dataDxfId="23" totalsRowDxfId="5" dataCellStyle="Comma"/>
    <tableColumn id="11" xr3:uid="{71A7889E-D9B4-47E0-A51D-A7DECBA09EC6}" name="Calculation method of your targets" dataDxfId="22" totalsRowDxfId="4" dataCellStyle="Comma"/>
    <tableColumn id="6" xr3:uid="{717EFC7A-6938-4396-869F-40280262516E}" name="Average unit cost (US$)" dataDxfId="21" totalsRowDxfId="3" dataCellStyle="Comma"/>
    <tableColumn id="7" xr3:uid="{BA441933-958F-49B2-919B-DF4DE587F9AE}" name="Estimated 2024 target" dataDxfId="20" totalsRowDxfId="2" dataCellStyle="Comma"/>
    <tableColumn id="8" xr3:uid="{4EAB29CC-04BB-4260-910D-135ACE70927D}" name="Estimated total cost in 2024" totalsRowFunction="sum" dataDxfId="19" totalsRowDxfId="1" dataCellStyle="Comma">
      <calculatedColumnFormula>IFERROR(tblActivities[[#This Row],[Average unit cost (US$)]]*tblActivities[[#This Row],[Estimated 2024 target]],0)</calculatedColumnFormula>
    </tableColumn>
    <tableColumn id="16" xr3:uid="{E92E091A-AD3C-4FA8-A55E-2E30C22636A4}" name="Should this indicator be identified as priority contributing to prioritized target?" dataDxfId="18" dataCellStyle="Comma"/>
    <tableColumn id="17" xr3:uid="{7FB979B8-56D9-4595-B863-7E5A4675DBDF}" name="Prioritized estimated target" dataDxfId="17"/>
    <tableColumn id="18" xr3:uid="{89AAF4EB-B87A-4AA6-A8DD-82D9BA121FFB}" name="Prioritized estimated cost" totalsRowFunction="sum" dataDxfId="16" totalsRowDxfId="0" dataCellStyle="Comma">
      <calculatedColumnFormula>tblActivities[[#This Row],[Average unit cost (US$)]]*tblActivities[[#This Row],[Prioritized estimated target]]</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354E06-78FC-4A2A-983D-3B348705EA15}" name="tblTarget" displayName="tblTarget" ref="A6:AQ570" totalsRowShown="0" headerRowDxfId="144" dataDxfId="143" headerRowCellStyle="Comma">
  <autoFilter ref="A6:AQ570" xr:uid="{E6354E06-78FC-4A2A-983D-3B348705EA15}">
    <filterColumn colId="17">
      <filters>
        <filter val="IDPs"/>
        <filter val="Yes"/>
      </filters>
    </filterColumn>
  </autoFilter>
  <sortState xmlns:xlrd2="http://schemas.microsoft.com/office/spreadsheetml/2017/richdata2" ref="A7:AQ570">
    <sortCondition ref="A6:A570"/>
  </sortState>
  <tableColumns count="43">
    <tableColumn id="1" xr3:uid="{9AB0FA0E-5040-400F-BBCF-E1F02E3BFCA0}" name="ID" dataDxfId="142" totalsRowDxfId="141"/>
    <tableColumn id="2" xr3:uid="{DAD3B19E-8FDA-4BB1-9570-AEF9EAA5302B}" name="Admin 1" dataDxfId="140" totalsRowDxfId="139"/>
    <tableColumn id="3" xr3:uid="{DDB14D3E-3C9D-4BAB-99F2-F825EED9742A}" name="Admin 1 P-Code" dataDxfId="138" totalsRowDxfId="137"/>
    <tableColumn id="4" xr3:uid="{AEEE2715-067C-4E19-9E27-DD257CB61F98}" name="Admin 2" dataDxfId="136" totalsRowDxfId="135"/>
    <tableColumn id="5" xr3:uid="{57A39887-2D45-4148-A82B-0F9AA7A217B1}" name="Admin 2 P-Code" dataDxfId="134" totalsRowDxfId="133"/>
    <tableColumn id="6" xr3:uid="{B2512DC8-5E6F-40BA-B831-ABC6C664344D}" name="Total Population" dataDxfId="132" totalsRowDxfId="131"/>
    <tableColumn id="7" xr3:uid="{728985FE-F0F1-424D-9427-3509CBF5BC12}" name="Population Group" dataDxfId="130" totalsRowDxfId="129"/>
    <tableColumn id="8" xr3:uid="{DDF7ABFE-FC77-4EC7-94AD-56CB9847C388}" name="Cluster PiN" dataDxfId="128" totalsRowDxfId="127"/>
    <tableColumn id="10" xr3:uid="{960950BF-DD24-4DEB-AE7D-DC11A2322193}" name="Cluster Severity" dataDxfId="126" totalsRowDxfId="125"/>
    <tableColumn id="9" xr3:uid="{532AD08D-27A2-48C6-8777-4127A54F57B9}" name="Intercluser Severity" dataDxfId="124" totalsRowDxfId="123"/>
    <tableColumn id="11" xr3:uid="{1C6D06BC-B2D6-4D25-A6F8-932DA68E2C80}" name="Cluster Target" dataDxfId="122" totalsRowDxfId="121" dataCellStyle="Comma" totalsRowCellStyle="Comma"/>
    <tableColumn id="12" xr3:uid="{2B18BBDA-D0A8-4158-BD98-D68DAE069C30}" name="Female" dataDxfId="120" totalsRowDxfId="119" dataCellStyle="Comma" totalsRowCellStyle="Comma"/>
    <tableColumn id="13" xr3:uid="{D75F47B3-1783-4296-9C30-4EBBAC30C6B4}" name="Male " dataDxfId="118" totalsRowDxfId="117" dataCellStyle="Comma" totalsRowCellStyle="Comma"/>
    <tableColumn id="14" xr3:uid="{22F3A5A5-33E1-4C54-AFFF-4AAFA7D4BEE8}" name="Children (&lt;18)" dataDxfId="116" totalsRowDxfId="115" dataCellStyle="Comma" totalsRowCellStyle="Comma"/>
    <tableColumn id="15" xr3:uid="{5E91B02E-376C-4AF2-B9E1-759EA7132440}" name="Adults (18 - 59)" dataDxfId="114" totalsRowDxfId="113" dataCellStyle="Comma" totalsRowCellStyle="Comma"/>
    <tableColumn id="16" xr3:uid="{1B2CA8B3-A99A-47D8-8458-A1EC81C68961}" name="Elderly (60+)" dataDxfId="112" totalsRowDxfId="111" dataCellStyle="Comma" totalsRowCellStyle="Comma"/>
    <tableColumn id="17" xr3:uid="{2A67C6B5-3333-4E2F-AEFD-57B1927A9F66}" name="% with disabilities" dataDxfId="110" totalsRowDxfId="109"/>
    <tableColumn id="40" xr3:uid="{FB46BF70-F60E-46A2-AC7C-FB2FE4F00C36}" name="Prioritized Localities" dataDxfId="108" totalsRowDxfId="107"/>
    <tableColumn id="18" xr3:uid="{C2E37C1C-885A-41AD-A44A-2F7B12344984}" name="CLSHL/CA1/IN1" dataDxfId="106" totalsRowDxfId="105"/>
    <tableColumn id="19" xr3:uid="{53876A18-5FC2-474D-AC74-17E79F62843B}" name="CLSHL/CA2/IN1" dataDxfId="104" totalsRowDxfId="103"/>
    <tableColumn id="20" xr3:uid="{29701ADB-062C-4CC9-8AA2-6E49AC791F7B}" name="CLSHL/CA3/IN1" dataDxfId="102" totalsRowDxfId="101"/>
    <tableColumn id="21" xr3:uid="{E9C165C9-D54B-44F4-9569-536BAB733AA6}" name="CLSHL/CA4/IN1" dataDxfId="100" totalsRowDxfId="99"/>
    <tableColumn id="22" xr3:uid="{C6CB7223-CF85-4148-9794-08B1C22C4EEC}" name="CLSHL/CA5/IN1" dataDxfId="98" totalsRowDxfId="97"/>
    <tableColumn id="23" xr3:uid="{CAF806A2-192A-4CE4-87F1-B4D123DE8BCA}" name="CLSHL/CA6/IN1" dataDxfId="96" totalsRowDxfId="95"/>
    <tableColumn id="24" xr3:uid="{35DB7F86-1C86-448E-9911-60E51788E55C}" name="CLSHL/CA7/IN1" dataDxfId="94" totalsRowDxfId="93"/>
    <tableColumn id="25" xr3:uid="{1CBD6820-B38A-4ADA-AEB9-A1C1C1CDE3F7}" name="CLSHL/CA8/IN1" dataDxfId="92" totalsRowDxfId="91"/>
    <tableColumn id="26" xr3:uid="{9822D603-014A-4416-9CC4-C001CD7D1F4F}" name="CLSHL/CA9/IN1" dataDxfId="90" totalsRowDxfId="89"/>
    <tableColumn id="38" xr3:uid="{CB2930C2-5A1A-4990-9F54-BB41983BB7FF}" name="CLSHL/CA10/IN1" dataDxfId="88" totalsRowDxfId="87"/>
    <tableColumn id="37" xr3:uid="{7195AE64-FB26-417F-80DA-91E64F2D03E5}" name="CLSHL/CA11/IN1" dataDxfId="86" totalsRowDxfId="85"/>
    <tableColumn id="30" xr3:uid="{7854AB71-7580-46EA-A468-67D855D5F2A4}" name="Target to PiN (%)" dataDxfId="84" totalsRowDxfId="83" dataCellStyle="Percent" totalsRowCellStyle="Percent">
      <calculatedColumnFormula>IFERROR(tblTarget[[#This Row],[Cluster Target]]/tblTarget[[#This Row],[Cluster PiN]],0)</calculatedColumnFormula>
    </tableColumn>
    <tableColumn id="32" xr3:uid="{52440DF9-8D10-4EBC-BCDB-36B7BF31ECB4}" name="2024 Response capacity up to December" dataDxfId="82" totalsRowDxfId="81" dataCellStyle="Percent" totalsRowCellStyle="Percent">
      <calculatedColumnFormula>_xlfn.XLOOKUP(tblTarget[[#This Row],[ID]],tblResponse[ID],tblResponse[2024 Projected reached (Dec 2024)])</calculatedColumnFormula>
    </tableColumn>
    <tableColumn id="39" xr3:uid="{D0EE7CDA-BF33-459A-BCA0-45C0163BE730}" name="Intersectorial Reached August 2024" dataDxfId="80" totalsRowDxfId="79" dataCellStyle="Percent" totalsRowCellStyle="Percent">
      <calculatedColumnFormula>_xlfn.XLOOKUP(tblTarget[[#This Row],[ID]],tblResponse[ID],tblResponse[2024 Intercluster reached -August RPM])</calculatedColumnFormula>
    </tableColumn>
    <tableColumn id="41" xr3:uid="{D28C615D-1DC7-4C2B-9DF2-38768965ECD2}" name="# partners in  2024 OR   planning to respond 2025" dataDxfId="78" totalsRowDxfId="77" dataCellStyle="Percent" totalsRowCellStyle="Percent"/>
    <tableColumn id="42" xr3:uid="{624EC677-6261-47AA-818C-252158F01286}" name="Key Cluster Capacities 2025" dataDxfId="76" totalsRowDxfId="75" dataCellStyle="Percent" totalsRowCellStyle="Percent"/>
    <tableColumn id="43" xr3:uid="{3EFF0870-950B-4F84-8C1D-B1C956FA422E}" name="Justification" dataDxfId="74" totalsRowDxfId="73" dataCellStyle="Percent" totalsRowCellStyle="Percent"/>
    <tableColumn id="31" xr3:uid="{894367E2-B353-4AC8-B434-64111B12868E}" name="Target greater than PiN" dataDxfId="72" totalsRowDxfId="71" dataCellStyle="Percent" totalsRowCellStyle="Percent">
      <calculatedColumnFormula>IF(tblTarget[[#This Row],[Target to PiN (%)]]&gt;Targ_vs_PiN,"Flagged","")</calculatedColumnFormula>
    </tableColumn>
    <tableColumn id="29" xr3:uid="{960FB883-CFF7-4E7C-8D7A-86A0596B3260}" name="Target up to 100% for localities with severity 5 and exceptions only" dataDxfId="70" totalsRowDxfId="69">
      <calculatedColumnFormula>IF(AND(tblTarget[[#This Row],[Qualifies for exception]]="Flagged",tblTarget[[#This Row],[Target to PiN (%)]]&gt;Targ_severity5),"Flagged","")</calculatedColumnFormula>
    </tableColumn>
    <tableColumn id="33" xr3:uid="{165DCE7C-D7EE-4423-A179-C83A96EF9B3F}" name="% difference between cluster target &amp; response capacity in severity 4 is over the proposed threshold" dataDxfId="68" totalsRowDxfId="67">
      <calculatedColumnFormula>IFERROR(IF(AND(tblTarget[[#This Row],[Intercluser Severity]]=4,tblTarget[[#This Row],[Qualifies for exception]]="Flagged",(tblTarget[[#This Row],[Cluster Target]]-tblTarget[[#This Row],[2024 Response capacity up to December]])/tblTarget[[#This Row],[Cluster Target]]&gt;Diff_severity4),"Flagged",""),"No target")</calculatedColumnFormula>
    </tableColumn>
    <tableColumn id="34" xr3:uid="{46DCD067-C9C1-4F16-AF92-E136CB093F35}" name="% difference between cluster target &amp; response capacity in severity 3 is over the proposed threshold2" dataDxfId="66" totalsRowDxfId="65">
      <calculatedColumnFormula>IFERROR(IF(AND(tblTarget[[#This Row],[Intercluser Severity]]=3,tblTarget[[#This Row],[Qualifies for exception]]="Flagged",(tblTarget[[#This Row],[Cluster Target]]-tblTarget[[#This Row],[2024 Response capacity up to December]])/tblTarget[[#This Row],[Cluster Target]]&gt;Diff_severity3),"Flagged",""),"No target")</calculatedColumnFormula>
    </tableColumn>
    <tableColumn id="27" xr3:uid="{C32DB6E1-AA2B-4DB7-B450-B500644B9797}" name="Risk of Famine localities" dataDxfId="64" totalsRowDxfId="63"/>
    <tableColumn id="28" xr3:uid="{26914E23-62C0-44CB-BB35-A8265F06ECB9}" name="Localities with  GAM prevalence &gt;=30%" dataDxfId="62" totalsRowDxfId="61"/>
    <tableColumn id="35" xr3:uid="{7B6E9FC6-2A3A-46E9-A034-B463FD0A4EBD}" name="Localities with 1 cluster severity 5 and more than 4 clusters severity 4" dataDxfId="60" totalsRowDxfId="59"/>
    <tableColumn id="36" xr3:uid="{FEB3EED1-FFFD-4460-B898-04FE1A8A368F}" name="Qualifies for exception" dataDxfId="58" totalsRowDxfId="5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5A2A65-7B9D-4136-B405-FD712421A1C6}" name="tblResponse" displayName="tblResponse" ref="A2:J566" totalsRowShown="0" headerRowDxfId="56" dataDxfId="55" tableBorderDxfId="54" headerRowCellStyle="Comma 2">
  <autoFilter ref="A2:J566" xr:uid="{1FA9345C-3CAE-411F-9447-0AE3999FE279}"/>
  <tableColumns count="10">
    <tableColumn id="8" xr3:uid="{0C866FBF-A766-45CA-A68C-96D9EC17DB38}" name="ID" dataDxfId="53"/>
    <tableColumn id="1" xr3:uid="{7344015C-99FF-4162-B032-DC02A5FAB8FB}" name="Admin 1" dataDxfId="52"/>
    <tableColumn id="2" xr3:uid="{48BC15C3-0B5C-4FF8-9D8B-E9989DDB5121}" name="Admin 2" dataDxfId="51"/>
    <tableColumn id="3" xr3:uid="{FD90CFF9-A52A-468C-93A1-9F71564A7124}" name="Admin 2 P-Code" dataDxfId="50"/>
    <tableColumn id="4" xr3:uid="{541DBC54-C535-4A4D-A5E7-19ADB657642C}" name="Population Group" dataDxfId="49"/>
    <tableColumn id="5" xr3:uid="{2D68621C-6360-4758-B87E-57B6FD80CF70}" name="2024 Target" dataDxfId="48" dataCellStyle="Comma"/>
    <tableColumn id="6" xr3:uid="{8FAAAF58-EFD1-44BD-8D95-A85FED028133}" name="2024 Cumulative reached (August RPM)" dataDxfId="47" dataCellStyle="Comma"/>
    <tableColumn id="7" xr3:uid="{05A27B69-0B7C-4FD2-8C7B-9B31FAD3AC5C}" name="2024 Intercluster reached -August RPM" dataDxfId="46" dataCellStyle="Percent"/>
    <tableColumn id="9" xr3:uid="{5F33846E-AE6A-46CA-AF81-377049D9C50E}" name="2024 Projected reached (Dec 2024)" dataDxfId="45" dataCellStyle="Comma"/>
    <tableColumn id="10" xr3:uid="{AA472775-1CAD-4583-B9C7-E75634BAFD78}" name="Unique count of cluster partners (Jan to Aug 2024)" dataDxfId="4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AAC861-2DA0-48E3-B98F-43DC37EFB717}" name="tblThreshold" displayName="tblThreshold" ref="A6:F11" totalsRowShown="0" headerRowDxfId="43" headerRowBorderDxfId="42" tableBorderDxfId="41" totalsRowBorderDxfId="40">
  <autoFilter ref="A6:F11" xr:uid="{79AAC861-2DA0-48E3-B98F-43DC37EFB717}"/>
  <tableColumns count="6">
    <tableColumn id="1" xr3:uid="{5D88E6EC-67A8-495E-8438-08F680DDCADF}" name="Flag Name" dataDxfId="39"/>
    <tableColumn id="2" xr3:uid="{54F1FD3D-7256-4805-94D9-E67AE207B361}" name="Flag Description " dataDxfId="38"/>
    <tableColumn id="3" xr3:uid="{2C41DFA0-0B04-4257-A896-73F659C11C65}" name="Proposed Threshold" dataDxfId="37" dataCellStyle="Percent"/>
    <tableColumn id="4" xr3:uid="{3B1D73B4-72B2-4436-849C-995142014812}" name="Agreed Threshold" dataDxfId="36" dataCellStyle="Percent"/>
    <tableColumn id="5" xr3:uid="{3D722BE8-213C-407E-9646-6B9FAF0D9ECF}" name="Explanation for proposing another threshold " dataDxfId="35"/>
    <tableColumn id="6" xr3:uid="{EF0C332A-A492-423D-9F02-249E6E9A9F70}" name="Purpose" dataDxfId="3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2" dT="2024-10-02T16:24:12.25" personId="{CE8C37AD-F2B7-4417-A140-95092BF6E461}" id="{0D215149-7C74-45C2-845A-F0F89217E80B}">
    <text xml:space="preserve">Clusters to update with projected response up to December 2024 factoring partners planned response.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FFB4-6D4D-4A68-B2E1-57B9E4576294}">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3290-7F7E-4482-BE3F-E8883074DC82}">
  <dimension ref="A1:B4"/>
  <sheetViews>
    <sheetView workbookViewId="0">
      <selection activeCell="B2" sqref="B2"/>
    </sheetView>
  </sheetViews>
  <sheetFormatPr defaultRowHeight="15" x14ac:dyDescent="0.25"/>
  <cols>
    <col min="1" max="1" width="11" customWidth="1"/>
    <col min="2" max="2" width="89.42578125" bestFit="1" customWidth="1"/>
  </cols>
  <sheetData>
    <row r="1" spans="1:2" ht="32.1" customHeight="1" x14ac:dyDescent="0.25">
      <c r="A1" s="24" t="s">
        <v>4</v>
      </c>
      <c r="B1" s="24" t="s">
        <v>3</v>
      </c>
    </row>
    <row r="2" spans="1:2" ht="54" x14ac:dyDescent="0.25">
      <c r="A2" s="1" t="s">
        <v>0</v>
      </c>
      <c r="B2" s="2" t="s">
        <v>5</v>
      </c>
    </row>
    <row r="3" spans="1:2" ht="40.5" x14ac:dyDescent="0.25">
      <c r="A3" s="1" t="s">
        <v>1</v>
      </c>
      <c r="B3" s="2" t="s">
        <v>6</v>
      </c>
    </row>
    <row r="4" spans="1:2" ht="40.5" x14ac:dyDescent="0.25">
      <c r="A4" s="1" t="s">
        <v>2</v>
      </c>
      <c r="B4" s="2" t="s">
        <v>7</v>
      </c>
    </row>
  </sheetData>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9BFF0-8436-4C59-A61B-907A101D126F}">
  <dimension ref="A1:R16"/>
  <sheetViews>
    <sheetView tabSelected="1" zoomScale="154" zoomScaleNormal="154" workbookViewId="0">
      <selection activeCell="A15" sqref="A15:XFD15"/>
    </sheetView>
  </sheetViews>
  <sheetFormatPr defaultRowHeight="15" x14ac:dyDescent="0.25"/>
  <cols>
    <col min="1" max="1" width="19" customWidth="1"/>
    <col min="2" max="2" width="20.7109375" customWidth="1"/>
    <col min="3" max="3" width="35.7109375" customWidth="1"/>
    <col min="4" max="4" width="12.140625" customWidth="1"/>
    <col min="5" max="5" width="60.42578125" bestFit="1" customWidth="1"/>
    <col min="6" max="6" width="20.7109375" customWidth="1"/>
    <col min="7" max="8" width="16.28515625" customWidth="1"/>
    <col min="9" max="11" width="20.85546875" customWidth="1"/>
    <col min="12" max="12" width="15.28515625" customWidth="1"/>
    <col min="13" max="13" width="17.28515625" customWidth="1"/>
    <col min="14" max="14" width="23.7109375" bestFit="1" customWidth="1"/>
    <col min="15" max="15" width="27.85546875" customWidth="1"/>
    <col min="17" max="17" width="23.7109375" customWidth="1"/>
    <col min="18" max="18" width="13.7109375" bestFit="1" customWidth="1"/>
  </cols>
  <sheetData>
    <row r="1" spans="1:18" ht="23.45" customHeight="1" x14ac:dyDescent="0.25">
      <c r="A1" s="137"/>
      <c r="B1" s="137"/>
      <c r="C1" s="23" t="s">
        <v>16</v>
      </c>
      <c r="D1" s="7">
        <f>SUM(tblActivities[Estimated total cost in 2024])</f>
        <v>229433699.69721916</v>
      </c>
      <c r="F1" s="7"/>
      <c r="I1" s="7"/>
      <c r="J1" s="7"/>
      <c r="K1" s="7"/>
      <c r="M1" s="5"/>
      <c r="N1" s="5"/>
      <c r="O1" s="6"/>
    </row>
    <row r="2" spans="1:18" x14ac:dyDescent="0.25">
      <c r="A2" s="3"/>
      <c r="B2" s="4"/>
      <c r="C2" s="4"/>
      <c r="D2" s="14"/>
      <c r="E2" s="14"/>
      <c r="F2" s="14"/>
      <c r="G2" s="7"/>
      <c r="H2" s="7"/>
      <c r="I2" s="7"/>
      <c r="J2" s="7"/>
      <c r="K2" s="7"/>
      <c r="L2" s="8"/>
      <c r="M2" s="5"/>
      <c r="N2" s="5"/>
      <c r="O2" s="6"/>
    </row>
    <row r="3" spans="1:18" ht="22.5" customHeight="1" x14ac:dyDescent="0.25">
      <c r="A3" s="5"/>
      <c r="C3" s="9" t="s">
        <v>1016</v>
      </c>
      <c r="D3" s="10"/>
      <c r="E3" s="10" t="s">
        <v>8</v>
      </c>
      <c r="F3" s="10"/>
      <c r="G3" s="10" t="s">
        <v>9</v>
      </c>
      <c r="H3" s="10" t="s">
        <v>9</v>
      </c>
      <c r="I3" s="10" t="s">
        <v>8</v>
      </c>
      <c r="J3" s="10"/>
      <c r="K3" s="10"/>
      <c r="L3" s="9" t="s">
        <v>441</v>
      </c>
      <c r="M3" s="9" t="s">
        <v>9</v>
      </c>
      <c r="N3" s="9" t="s">
        <v>9</v>
      </c>
      <c r="O3" s="11" t="s">
        <v>442</v>
      </c>
      <c r="Q3" s="9" t="s">
        <v>1138</v>
      </c>
    </row>
    <row r="4" spans="1:18" ht="35.25" customHeight="1" x14ac:dyDescent="0.25">
      <c r="A4" s="12" t="s">
        <v>10</v>
      </c>
      <c r="B4" s="13" t="s">
        <v>18</v>
      </c>
      <c r="C4" s="12" t="s">
        <v>1017</v>
      </c>
      <c r="D4" s="22" t="s">
        <v>17</v>
      </c>
      <c r="E4" s="12" t="s">
        <v>1018</v>
      </c>
      <c r="F4" s="22" t="s">
        <v>1019</v>
      </c>
      <c r="G4" s="12" t="s">
        <v>1020</v>
      </c>
      <c r="H4" s="12" t="s">
        <v>1092</v>
      </c>
      <c r="I4" s="12" t="s">
        <v>11</v>
      </c>
      <c r="J4" s="77" t="s">
        <v>1090</v>
      </c>
      <c r="K4" s="77" t="s">
        <v>1091</v>
      </c>
      <c r="L4" s="12" t="s">
        <v>1008</v>
      </c>
      <c r="M4" s="12" t="s">
        <v>12</v>
      </c>
      <c r="N4" s="12" t="s">
        <v>13</v>
      </c>
      <c r="O4" s="12" t="s">
        <v>14</v>
      </c>
      <c r="P4" s="122" t="s">
        <v>1135</v>
      </c>
      <c r="Q4" s="123" t="s">
        <v>1136</v>
      </c>
      <c r="R4" s="123" t="s">
        <v>1137</v>
      </c>
    </row>
    <row r="5" spans="1:18" ht="16.5" customHeight="1" x14ac:dyDescent="0.25">
      <c r="A5" s="15" t="s">
        <v>1052</v>
      </c>
      <c r="B5" s="17" t="s">
        <v>0</v>
      </c>
      <c r="C5" s="15" t="s">
        <v>1062</v>
      </c>
      <c r="D5" s="16" t="s">
        <v>1053</v>
      </c>
      <c r="E5" s="16" t="s">
        <v>1071</v>
      </c>
      <c r="F5" s="16" t="s">
        <v>1080</v>
      </c>
      <c r="G5" s="18" t="s">
        <v>1089</v>
      </c>
      <c r="H5" s="18"/>
      <c r="I5" s="18" t="s">
        <v>15</v>
      </c>
      <c r="J5" s="18" t="s">
        <v>15</v>
      </c>
      <c r="K5" s="18" t="s">
        <v>15</v>
      </c>
      <c r="L5" s="21" t="s">
        <v>1015</v>
      </c>
      <c r="M5" s="19">
        <v>200</v>
      </c>
      <c r="N5" s="19">
        <v>312561.59999999998</v>
      </c>
      <c r="O5" s="20">
        <f>IFERROR(tblActivities[[#This Row],[Average unit cost (US$)]]*tblActivities[[#This Row],[Estimated 2024 target]],0)</f>
        <v>62512319.999999993</v>
      </c>
      <c r="P5" s="130" t="s">
        <v>15</v>
      </c>
      <c r="Q5" s="19">
        <v>283141.59999999998</v>
      </c>
      <c r="R5" s="20">
        <f>tblActivities[[#This Row],[Average unit cost (US$)]]*tblActivities[[#This Row],[Prioritized estimated target]]</f>
        <v>56628319.999999993</v>
      </c>
    </row>
    <row r="6" spans="1:18" ht="16.5" customHeight="1" x14ac:dyDescent="0.25">
      <c r="A6" s="15" t="s">
        <v>1052</v>
      </c>
      <c r="B6" s="17" t="s">
        <v>0</v>
      </c>
      <c r="C6" s="15" t="s">
        <v>1063</v>
      </c>
      <c r="D6" s="16" t="s">
        <v>1054</v>
      </c>
      <c r="E6" s="16" t="s">
        <v>1072</v>
      </c>
      <c r="F6" s="16" t="s">
        <v>1081</v>
      </c>
      <c r="G6" s="18" t="s">
        <v>1089</v>
      </c>
      <c r="H6" s="18" t="s">
        <v>1113</v>
      </c>
      <c r="I6" s="18" t="s">
        <v>15</v>
      </c>
      <c r="J6" s="18" t="s">
        <v>15</v>
      </c>
      <c r="K6" s="18" t="s">
        <v>15</v>
      </c>
      <c r="L6" s="21" t="s">
        <v>1015</v>
      </c>
      <c r="M6" s="19">
        <v>200</v>
      </c>
      <c r="N6" s="19">
        <v>78140.399999999994</v>
      </c>
      <c r="O6" s="20">
        <f>IFERROR(tblActivities[[#This Row],[Average unit cost (US$)]]*tblActivities[[#This Row],[Estimated 2024 target]],0)</f>
        <v>15628079.999999998</v>
      </c>
      <c r="P6" s="130" t="s">
        <v>15</v>
      </c>
      <c r="Q6" s="19">
        <v>70791.399999999994</v>
      </c>
      <c r="R6" s="20">
        <f>tblActivities[[#This Row],[Average unit cost (US$)]]*tblActivities[[#This Row],[Prioritized estimated target]]</f>
        <v>14158279.999999998</v>
      </c>
    </row>
    <row r="7" spans="1:18" ht="16.5" customHeight="1" x14ac:dyDescent="0.25">
      <c r="A7" s="15" t="s">
        <v>1052</v>
      </c>
      <c r="B7" s="17" t="s">
        <v>0</v>
      </c>
      <c r="C7" s="15" t="s">
        <v>1064</v>
      </c>
      <c r="D7" s="16" t="s">
        <v>1055</v>
      </c>
      <c r="E7" s="16" t="s">
        <v>1073</v>
      </c>
      <c r="F7" s="16" t="s">
        <v>1082</v>
      </c>
      <c r="G7" s="18" t="s">
        <v>1089</v>
      </c>
      <c r="H7" s="18"/>
      <c r="I7" s="18" t="s">
        <v>15</v>
      </c>
      <c r="J7" s="18" t="s">
        <v>15</v>
      </c>
      <c r="K7" s="18" t="s">
        <v>15</v>
      </c>
      <c r="L7" s="21" t="s">
        <v>1015</v>
      </c>
      <c r="M7" s="19">
        <v>650</v>
      </c>
      <c r="N7" s="19">
        <v>12573</v>
      </c>
      <c r="O7" s="20">
        <f>IFERROR(tblActivities[[#This Row],[Average unit cost (US$)]]*tblActivities[[#This Row],[Estimated 2024 target]],0)</f>
        <v>8172450</v>
      </c>
      <c r="P7" s="130" t="s">
        <v>15</v>
      </c>
      <c r="Q7" s="19">
        <v>12573</v>
      </c>
      <c r="R7" s="20">
        <f>tblActivities[[#This Row],[Average unit cost (US$)]]*tblActivities[[#This Row],[Prioritized estimated target]]</f>
        <v>8172450</v>
      </c>
    </row>
    <row r="8" spans="1:18" ht="16.5" customHeight="1" x14ac:dyDescent="0.25">
      <c r="A8" s="15" t="s">
        <v>1052</v>
      </c>
      <c r="B8" s="17" t="s">
        <v>0</v>
      </c>
      <c r="C8" s="15" t="s">
        <v>1065</v>
      </c>
      <c r="D8" s="16" t="s">
        <v>1056</v>
      </c>
      <c r="E8" s="16" t="s">
        <v>1074</v>
      </c>
      <c r="F8" s="16" t="s">
        <v>1083</v>
      </c>
      <c r="G8" s="18" t="s">
        <v>1089</v>
      </c>
      <c r="H8" s="18"/>
      <c r="I8" s="18" t="s">
        <v>15</v>
      </c>
      <c r="J8" s="18" t="s">
        <v>15</v>
      </c>
      <c r="K8" s="18" t="s">
        <v>15</v>
      </c>
      <c r="L8" s="21" t="s">
        <v>1015</v>
      </c>
      <c r="M8" s="19">
        <v>500</v>
      </c>
      <c r="N8" s="19">
        <v>16770</v>
      </c>
      <c r="O8" s="20">
        <f>IFERROR(tblActivities[[#This Row],[Average unit cost (US$)]]*tblActivities[[#This Row],[Estimated 2024 target]],0)</f>
        <v>8385000</v>
      </c>
      <c r="P8" s="130" t="s">
        <v>15</v>
      </c>
      <c r="Q8" s="19">
        <v>16770</v>
      </c>
      <c r="R8" s="20">
        <f>tblActivities[[#This Row],[Average unit cost (US$)]]*tblActivities[[#This Row],[Prioritized estimated target]]</f>
        <v>8385000</v>
      </c>
    </row>
    <row r="9" spans="1:18" ht="16.5" customHeight="1" x14ac:dyDescent="0.25">
      <c r="A9" s="15" t="s">
        <v>1052</v>
      </c>
      <c r="B9" s="17" t="s">
        <v>0</v>
      </c>
      <c r="C9" s="15" t="s">
        <v>1066</v>
      </c>
      <c r="D9" s="16" t="s">
        <v>1057</v>
      </c>
      <c r="E9" s="16" t="s">
        <v>1075</v>
      </c>
      <c r="F9" s="16" t="s">
        <v>1084</v>
      </c>
      <c r="G9" s="18" t="s">
        <v>1089</v>
      </c>
      <c r="H9" s="18"/>
      <c r="I9" s="18" t="s">
        <v>15</v>
      </c>
      <c r="J9" s="18" t="s">
        <v>15</v>
      </c>
      <c r="K9" s="18" t="s">
        <v>15</v>
      </c>
      <c r="L9" s="21" t="s">
        <v>1015</v>
      </c>
      <c r="M9" s="19">
        <v>550</v>
      </c>
      <c r="N9" s="19">
        <v>21700</v>
      </c>
      <c r="O9" s="20">
        <f>IFERROR(tblActivities[[#This Row],[Average unit cost (US$)]]*tblActivities[[#This Row],[Estimated 2024 target]],0)</f>
        <v>11935000</v>
      </c>
      <c r="P9" s="130" t="s">
        <v>15</v>
      </c>
      <c r="Q9" s="19">
        <v>19659</v>
      </c>
      <c r="R9" s="20">
        <f>tblActivities[[#This Row],[Average unit cost (US$)]]*tblActivities[[#This Row],[Prioritized estimated target]]</f>
        <v>10812450</v>
      </c>
    </row>
    <row r="10" spans="1:18" ht="16.5" customHeight="1" x14ac:dyDescent="0.25">
      <c r="A10" s="15" t="s">
        <v>1052</v>
      </c>
      <c r="B10" s="17" t="s">
        <v>0</v>
      </c>
      <c r="C10" s="15" t="s">
        <v>1067</v>
      </c>
      <c r="D10" s="16" t="s">
        <v>1058</v>
      </c>
      <c r="E10" s="16" t="s">
        <v>1076</v>
      </c>
      <c r="F10" s="16" t="s">
        <v>1085</v>
      </c>
      <c r="G10" s="18" t="s">
        <v>1089</v>
      </c>
      <c r="H10" s="18"/>
      <c r="I10" s="18" t="s">
        <v>15</v>
      </c>
      <c r="J10" s="18" t="s">
        <v>15</v>
      </c>
      <c r="K10" s="18" t="s">
        <v>15</v>
      </c>
      <c r="L10" s="21" t="s">
        <v>1015</v>
      </c>
      <c r="M10" s="19">
        <v>650</v>
      </c>
      <c r="N10" s="19">
        <v>43419</v>
      </c>
      <c r="O10" s="20">
        <f>IFERROR(tblActivities[[#This Row],[Average unit cost (US$)]]*tblActivities[[#This Row],[Estimated 2024 target]],0)</f>
        <v>28222350</v>
      </c>
      <c r="P10" s="130" t="s">
        <v>15</v>
      </c>
      <c r="Q10" s="19">
        <v>39328</v>
      </c>
      <c r="R10" s="20">
        <f>tblActivities[[#This Row],[Average unit cost (US$)]]*tblActivities[[#This Row],[Prioritized estimated target]]</f>
        <v>25563200</v>
      </c>
    </row>
    <row r="11" spans="1:18" ht="16.5" customHeight="1" x14ac:dyDescent="0.25">
      <c r="A11" s="15" t="s">
        <v>1052</v>
      </c>
      <c r="B11" s="17" t="s">
        <v>0</v>
      </c>
      <c r="C11" s="15" t="s">
        <v>1068</v>
      </c>
      <c r="D11" s="16" t="s">
        <v>1059</v>
      </c>
      <c r="E11" s="16" t="s">
        <v>1077</v>
      </c>
      <c r="F11" s="16" t="s">
        <v>1086</v>
      </c>
      <c r="G11" s="18" t="s">
        <v>1089</v>
      </c>
      <c r="H11" s="18" t="s">
        <v>1113</v>
      </c>
      <c r="I11" s="18" t="s">
        <v>15</v>
      </c>
      <c r="J11" s="18" t="s">
        <v>15</v>
      </c>
      <c r="K11" s="18" t="s">
        <v>15</v>
      </c>
      <c r="L11" s="21" t="s">
        <v>1015</v>
      </c>
      <c r="M11" s="19">
        <v>650</v>
      </c>
      <c r="N11" s="19">
        <v>74956</v>
      </c>
      <c r="O11" s="20">
        <f>IFERROR(tblActivities[[#This Row],[Average unit cost (US$)]]*tblActivities[[#This Row],[Estimated 2024 target]],0)</f>
        <v>48721400</v>
      </c>
      <c r="P11" s="130" t="s">
        <v>15</v>
      </c>
      <c r="Q11" s="19">
        <v>62195</v>
      </c>
      <c r="R11" s="20">
        <f>tblActivities[[#This Row],[Average unit cost (US$)]]*tblActivities[[#This Row],[Prioritized estimated target]]</f>
        <v>40426750</v>
      </c>
    </row>
    <row r="12" spans="1:18" ht="16.5" customHeight="1" x14ac:dyDescent="0.25">
      <c r="A12" s="15" t="s">
        <v>1052</v>
      </c>
      <c r="B12" s="17" t="s">
        <v>0</v>
      </c>
      <c r="C12" s="15" t="s">
        <v>1069</v>
      </c>
      <c r="D12" s="16" t="s">
        <v>1060</v>
      </c>
      <c r="E12" s="16" t="s">
        <v>1078</v>
      </c>
      <c r="F12" s="16" t="s">
        <v>1087</v>
      </c>
      <c r="G12" s="18" t="s">
        <v>1089</v>
      </c>
      <c r="H12" s="18" t="s">
        <v>1113</v>
      </c>
      <c r="I12" s="18" t="s">
        <v>15</v>
      </c>
      <c r="J12" s="18" t="s">
        <v>15</v>
      </c>
      <c r="K12" s="18" t="s">
        <v>15</v>
      </c>
      <c r="L12" s="21" t="s">
        <v>1015</v>
      </c>
      <c r="M12" s="19">
        <v>800</v>
      </c>
      <c r="N12" s="19">
        <v>39729</v>
      </c>
      <c r="O12" s="20">
        <f>IFERROR(tblActivities[[#This Row],[Average unit cost (US$)]]*tblActivities[[#This Row],[Estimated 2024 target]],0)</f>
        <v>31783200</v>
      </c>
      <c r="P12" s="130" t="s">
        <v>15</v>
      </c>
      <c r="Q12" s="19">
        <v>38189</v>
      </c>
      <c r="R12" s="20">
        <f>tblActivities[[#This Row],[Average unit cost (US$)]]*tblActivities[[#This Row],[Prioritized estimated target]]</f>
        <v>30551200</v>
      </c>
    </row>
    <row r="13" spans="1:18" ht="16.5" customHeight="1" x14ac:dyDescent="0.25">
      <c r="A13" s="15" t="s">
        <v>1052</v>
      </c>
      <c r="B13" s="17" t="s">
        <v>0</v>
      </c>
      <c r="C13" s="15" t="s">
        <v>1070</v>
      </c>
      <c r="D13" s="16" t="s">
        <v>1061</v>
      </c>
      <c r="E13" s="16" t="s">
        <v>1079</v>
      </c>
      <c r="F13" s="16" t="s">
        <v>1088</v>
      </c>
      <c r="G13" s="18" t="s">
        <v>1089</v>
      </c>
      <c r="H13" s="18"/>
      <c r="I13" s="18" t="s">
        <v>15</v>
      </c>
      <c r="J13" s="18" t="s">
        <v>15</v>
      </c>
      <c r="K13" s="18" t="s">
        <v>15</v>
      </c>
      <c r="L13" s="21" t="s">
        <v>1015</v>
      </c>
      <c r="M13" s="19">
        <v>2466.2921348300001</v>
      </c>
      <c r="N13" s="19">
        <v>2314.2028095369201</v>
      </c>
      <c r="O13" s="20">
        <f>IFERROR(tblActivities[[#This Row],[Average unit cost (US$)]]*tblActivities[[#This Row],[Estimated 2024 target]],0)</f>
        <v>5707500.1875623949</v>
      </c>
      <c r="P13" s="130" t="s">
        <v>15</v>
      </c>
      <c r="Q13" s="19">
        <v>2160.037496681065</v>
      </c>
      <c r="R13" s="20">
        <f>tblActivities[[#This Row],[Average unit cost (US$)]]*tblActivities[[#This Row],[Prioritized estimated target]]</f>
        <v>5327283.4890023936</v>
      </c>
    </row>
    <row r="14" spans="1:18" x14ac:dyDescent="0.25">
      <c r="A14" s="15" t="s">
        <v>1052</v>
      </c>
      <c r="B14" s="17" t="s">
        <v>0</v>
      </c>
      <c r="C14" s="15" t="s">
        <v>1142</v>
      </c>
      <c r="D14" s="16" t="s">
        <v>1109</v>
      </c>
      <c r="E14" s="16" t="s">
        <v>1144</v>
      </c>
      <c r="F14" s="16" t="s">
        <v>1111</v>
      </c>
      <c r="G14" s="18" t="s">
        <v>1089</v>
      </c>
      <c r="H14" s="94"/>
      <c r="I14" s="18" t="s">
        <v>1134</v>
      </c>
      <c r="J14" s="18" t="s">
        <v>15</v>
      </c>
      <c r="K14" s="18" t="s">
        <v>1134</v>
      </c>
      <c r="L14" s="21" t="s">
        <v>1015</v>
      </c>
      <c r="M14" s="19">
        <v>1250</v>
      </c>
      <c r="N14" s="19">
        <v>5480.9999339055794</v>
      </c>
      <c r="O14" s="20">
        <f>IFERROR(tblActivities[[#This Row],[Average unit cost (US$)]]*tblActivities[[#This Row],[Estimated 2024 target]],0)</f>
        <v>6851249.9173819739</v>
      </c>
      <c r="P14" s="19" t="s">
        <v>1134</v>
      </c>
      <c r="Q14" s="124"/>
      <c r="R14" s="20">
        <f>tblActivities[[#This Row],[Average unit cost (US$)]]*tblActivities[[#This Row],[Prioritized estimated target]]</f>
        <v>0</v>
      </c>
    </row>
    <row r="15" spans="1:18" x14ac:dyDescent="0.25">
      <c r="A15" s="15" t="s">
        <v>1052</v>
      </c>
      <c r="B15" s="17" t="s">
        <v>0</v>
      </c>
      <c r="C15" s="15" t="s">
        <v>1141</v>
      </c>
      <c r="D15" s="16" t="s">
        <v>1110</v>
      </c>
      <c r="E15" s="16" t="s">
        <v>1143</v>
      </c>
      <c r="F15" s="16" t="s">
        <v>1112</v>
      </c>
      <c r="G15" s="18" t="s">
        <v>1089</v>
      </c>
      <c r="H15" s="94"/>
      <c r="I15" s="18" t="s">
        <v>15</v>
      </c>
      <c r="J15" s="18" t="s">
        <v>15</v>
      </c>
      <c r="K15" s="18" t="s">
        <v>15</v>
      </c>
      <c r="L15" s="21" t="s">
        <v>1015</v>
      </c>
      <c r="M15" s="19">
        <v>132.73324572930355</v>
      </c>
      <c r="N15" s="19">
        <v>11414.996928235983</v>
      </c>
      <c r="O15" s="20">
        <f>IFERROR(tblActivities[[#This Row],[Average unit cost (US$)]]*tblActivities[[#This Row],[Estimated 2024 target]],0)</f>
        <v>1515149.592274792</v>
      </c>
      <c r="P15" s="19" t="s">
        <v>1134</v>
      </c>
      <c r="Q15" s="124"/>
      <c r="R15" s="20">
        <f>tblActivities[[#This Row],[Average unit cost (US$)]]*tblActivities[[#This Row],[Prioritized estimated target]]</f>
        <v>0</v>
      </c>
    </row>
    <row r="16" spans="1:18" x14ac:dyDescent="0.25">
      <c r="A16" s="119"/>
      <c r="B16" s="120"/>
      <c r="C16" s="119"/>
      <c r="D16" s="121"/>
      <c r="E16" s="16"/>
      <c r="F16" s="16"/>
      <c r="G16" s="125"/>
      <c r="H16" s="126"/>
      <c r="I16" s="126"/>
      <c r="J16" s="126"/>
      <c r="K16" s="126"/>
      <c r="L16" s="127"/>
      <c r="M16" s="128"/>
      <c r="N16" s="128"/>
      <c r="O16" s="129">
        <f>SUBTOTAL(109,tblActivities[Estimated total cost in 2024])</f>
        <v>229433699.69721916</v>
      </c>
      <c r="R16" s="136">
        <f>SUBTOTAL(109,tblActivities[Prioritized estimated cost])</f>
        <v>200024933.48900241</v>
      </c>
    </row>
  </sheetData>
  <mergeCells count="1">
    <mergeCell ref="A1:B1"/>
  </mergeCells>
  <phoneticPr fontId="2" type="noConversion"/>
  <conditionalFormatting sqref="C5:C15">
    <cfRule type="duplicateValues" dxfId="148"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6741-8BA0-4BD6-AA49-1573CA88F805}">
  <dimension ref="A1:AA22"/>
  <sheetViews>
    <sheetView zoomScale="80" zoomScaleNormal="80" workbookViewId="0">
      <selection activeCell="M48" sqref="M48"/>
    </sheetView>
  </sheetViews>
  <sheetFormatPr defaultRowHeight="15" x14ac:dyDescent="0.25"/>
  <cols>
    <col min="1" max="1" width="18.85546875" bestFit="1" customWidth="1"/>
    <col min="2" max="2" width="16.28515625" bestFit="1" customWidth="1"/>
    <col min="3" max="3" width="27.140625" bestFit="1" customWidth="1"/>
    <col min="4" max="11" width="27.5703125" bestFit="1" customWidth="1"/>
    <col min="12" max="12" width="28.5703125" bestFit="1" customWidth="1"/>
    <col min="13" max="13" width="28.28515625" bestFit="1" customWidth="1"/>
    <col min="27" max="27" width="11" bestFit="1" customWidth="1"/>
  </cols>
  <sheetData>
    <row r="1" spans="1:27" x14ac:dyDescent="0.25">
      <c r="O1">
        <v>200</v>
      </c>
      <c r="P1">
        <v>200</v>
      </c>
      <c r="Q1">
        <v>650</v>
      </c>
      <c r="R1">
        <v>500</v>
      </c>
      <c r="S1">
        <v>550</v>
      </c>
      <c r="T1">
        <v>650</v>
      </c>
      <c r="U1">
        <v>650</v>
      </c>
      <c r="V1">
        <v>800</v>
      </c>
      <c r="W1">
        <v>650</v>
      </c>
      <c r="X1">
        <v>2500</v>
      </c>
      <c r="Y1">
        <v>5000</v>
      </c>
    </row>
    <row r="3" spans="1:27" x14ac:dyDescent="0.25">
      <c r="A3" s="116" t="s">
        <v>1121</v>
      </c>
      <c r="B3" s="116" t="s">
        <v>20</v>
      </c>
      <c r="C3" t="s">
        <v>1123</v>
      </c>
      <c r="D3" t="s">
        <v>1124</v>
      </c>
      <c r="E3" t="s">
        <v>1125</v>
      </c>
      <c r="F3" t="s">
        <v>1126</v>
      </c>
      <c r="G3" t="s">
        <v>1127</v>
      </c>
      <c r="H3" t="s">
        <v>1128</v>
      </c>
      <c r="I3" t="s">
        <v>1129</v>
      </c>
      <c r="J3" t="s">
        <v>1130</v>
      </c>
      <c r="K3" t="s">
        <v>1131</v>
      </c>
      <c r="L3" t="s">
        <v>1132</v>
      </c>
      <c r="M3" t="s">
        <v>1133</v>
      </c>
    </row>
    <row r="4" spans="1:27" x14ac:dyDescent="0.25">
      <c r="A4" s="117" t="s">
        <v>27</v>
      </c>
      <c r="B4" s="117" t="s">
        <v>26</v>
      </c>
      <c r="C4">
        <v>2124</v>
      </c>
      <c r="D4">
        <v>237</v>
      </c>
      <c r="E4">
        <v>65</v>
      </c>
      <c r="F4">
        <v>86</v>
      </c>
      <c r="G4">
        <v>131</v>
      </c>
      <c r="H4">
        <v>263</v>
      </c>
      <c r="I4">
        <v>521</v>
      </c>
      <c r="J4">
        <v>210</v>
      </c>
      <c r="K4">
        <v>0</v>
      </c>
      <c r="L4">
        <v>11</v>
      </c>
      <c r="M4">
        <v>29</v>
      </c>
      <c r="O4">
        <v>2124</v>
      </c>
      <c r="P4">
        <v>237</v>
      </c>
      <c r="Q4">
        <v>65</v>
      </c>
      <c r="R4">
        <v>86</v>
      </c>
      <c r="S4">
        <v>131</v>
      </c>
      <c r="T4">
        <v>263</v>
      </c>
      <c r="U4">
        <v>521</v>
      </c>
      <c r="V4">
        <v>210</v>
      </c>
      <c r="W4">
        <v>0</v>
      </c>
      <c r="X4">
        <v>11</v>
      </c>
      <c r="Y4">
        <v>29</v>
      </c>
      <c r="AA4" s="118">
        <f>(O4*$O$1+P4*$P$1+Q4*$Q$1+R4*$R$1+S4*$S$1+T4*$T$1+U4*$U$1+V4*$V$1+W4*$W$1+X4*$X$1+Y4*$Y$1)</f>
        <v>1479600</v>
      </c>
    </row>
    <row r="5" spans="1:27" x14ac:dyDescent="0.25">
      <c r="A5" s="117" t="s">
        <v>43</v>
      </c>
      <c r="B5" s="117" t="s">
        <v>42</v>
      </c>
      <c r="C5">
        <v>92359</v>
      </c>
      <c r="D5">
        <v>10265</v>
      </c>
      <c r="E5">
        <v>3288</v>
      </c>
      <c r="F5">
        <v>4387</v>
      </c>
      <c r="G5">
        <v>5699</v>
      </c>
      <c r="H5">
        <v>11402</v>
      </c>
      <c r="I5">
        <v>19701</v>
      </c>
      <c r="J5">
        <v>10460</v>
      </c>
      <c r="K5">
        <v>966</v>
      </c>
      <c r="L5">
        <v>609</v>
      </c>
      <c r="M5">
        <v>1462</v>
      </c>
      <c r="O5">
        <v>92359</v>
      </c>
      <c r="P5">
        <v>10265</v>
      </c>
      <c r="Q5">
        <v>3288</v>
      </c>
      <c r="R5">
        <v>4387</v>
      </c>
      <c r="S5">
        <v>5699</v>
      </c>
      <c r="T5">
        <v>11402</v>
      </c>
      <c r="U5">
        <v>19701</v>
      </c>
      <c r="V5">
        <v>10460</v>
      </c>
      <c r="W5">
        <v>966</v>
      </c>
      <c r="X5">
        <v>609</v>
      </c>
      <c r="Y5">
        <v>1462</v>
      </c>
      <c r="AA5" s="118">
        <f t="shared" ref="AA5:AA21" si="0">(O5*$O$1+P5*$P$1+Q5*$Q$1+R5*$R$1+S5*$S$1+T5*$T$1+U5*$U$1+V5*$V$1+W5*$W$1+X5*$X$1+Y5*$Y$1)</f>
        <v>66035300</v>
      </c>
    </row>
    <row r="6" spans="1:27" x14ac:dyDescent="0.25">
      <c r="A6" s="117" t="s">
        <v>79</v>
      </c>
      <c r="B6" s="117" t="s">
        <v>78</v>
      </c>
      <c r="C6">
        <v>78773</v>
      </c>
      <c r="D6">
        <v>8752</v>
      </c>
      <c r="E6">
        <v>3044</v>
      </c>
      <c r="F6">
        <v>4058</v>
      </c>
      <c r="G6">
        <v>4862</v>
      </c>
      <c r="H6">
        <v>9724</v>
      </c>
      <c r="I6">
        <v>15691</v>
      </c>
      <c r="J6">
        <v>9331</v>
      </c>
      <c r="K6">
        <v>132</v>
      </c>
      <c r="L6">
        <v>562</v>
      </c>
      <c r="M6">
        <v>1353</v>
      </c>
      <c r="O6">
        <v>78773</v>
      </c>
      <c r="P6">
        <v>8752</v>
      </c>
      <c r="Q6">
        <v>3044</v>
      </c>
      <c r="R6">
        <v>4058</v>
      </c>
      <c r="S6">
        <v>4862</v>
      </c>
      <c r="T6">
        <v>9724</v>
      </c>
      <c r="U6">
        <v>15691</v>
      </c>
      <c r="V6">
        <v>9331</v>
      </c>
      <c r="W6">
        <v>132</v>
      </c>
      <c r="X6">
        <v>562</v>
      </c>
      <c r="Y6">
        <v>1353</v>
      </c>
      <c r="AA6" s="118">
        <f t="shared" si="0"/>
        <v>56427050</v>
      </c>
    </row>
    <row r="7" spans="1:27" x14ac:dyDescent="0.25">
      <c r="A7" s="117" t="s">
        <v>123</v>
      </c>
      <c r="B7" s="117" t="s">
        <v>122</v>
      </c>
      <c r="C7">
        <v>6014</v>
      </c>
      <c r="D7">
        <v>670</v>
      </c>
      <c r="E7">
        <v>209</v>
      </c>
      <c r="F7">
        <v>277</v>
      </c>
      <c r="G7">
        <v>370</v>
      </c>
      <c r="H7">
        <v>743</v>
      </c>
      <c r="I7">
        <v>1317</v>
      </c>
      <c r="J7">
        <v>665</v>
      </c>
      <c r="K7">
        <v>0</v>
      </c>
      <c r="L7">
        <v>40</v>
      </c>
      <c r="M7">
        <v>93</v>
      </c>
      <c r="O7">
        <v>6014</v>
      </c>
      <c r="P7">
        <v>670</v>
      </c>
      <c r="Q7">
        <v>209</v>
      </c>
      <c r="R7">
        <v>277</v>
      </c>
      <c r="S7">
        <v>370</v>
      </c>
      <c r="T7">
        <v>743</v>
      </c>
      <c r="U7">
        <v>1317</v>
      </c>
      <c r="V7">
        <v>665</v>
      </c>
      <c r="W7">
        <v>0</v>
      </c>
      <c r="X7">
        <v>40</v>
      </c>
      <c r="Y7">
        <v>93</v>
      </c>
      <c r="AA7" s="118">
        <f t="shared" si="0"/>
        <v>4250650</v>
      </c>
    </row>
    <row r="8" spans="1:27" x14ac:dyDescent="0.25">
      <c r="A8" s="117" t="s">
        <v>141</v>
      </c>
      <c r="B8" s="117" t="s">
        <v>140</v>
      </c>
      <c r="C8">
        <v>13771</v>
      </c>
      <c r="D8">
        <v>1531</v>
      </c>
      <c r="E8">
        <v>474</v>
      </c>
      <c r="F8">
        <v>633</v>
      </c>
      <c r="G8">
        <v>850</v>
      </c>
      <c r="H8">
        <v>1699</v>
      </c>
      <c r="I8">
        <v>2994</v>
      </c>
      <c r="J8">
        <v>1549</v>
      </c>
      <c r="K8">
        <v>0</v>
      </c>
      <c r="L8">
        <v>88</v>
      </c>
      <c r="M8">
        <v>211</v>
      </c>
      <c r="O8">
        <v>13771</v>
      </c>
      <c r="P8">
        <v>1531</v>
      </c>
      <c r="Q8">
        <v>474</v>
      </c>
      <c r="R8">
        <v>633</v>
      </c>
      <c r="S8">
        <v>850</v>
      </c>
      <c r="T8">
        <v>1699</v>
      </c>
      <c r="U8">
        <v>2994</v>
      </c>
      <c r="V8">
        <v>1549</v>
      </c>
      <c r="W8">
        <v>0</v>
      </c>
      <c r="X8">
        <v>88</v>
      </c>
      <c r="Y8">
        <v>211</v>
      </c>
      <c r="AA8" s="118">
        <f t="shared" si="0"/>
        <v>9717150</v>
      </c>
    </row>
    <row r="9" spans="1:27" x14ac:dyDescent="0.25">
      <c r="A9" s="117" t="s">
        <v>161</v>
      </c>
      <c r="B9" s="117" t="s">
        <v>160</v>
      </c>
      <c r="C9">
        <v>26813</v>
      </c>
      <c r="D9">
        <v>2979</v>
      </c>
      <c r="E9">
        <v>1091</v>
      </c>
      <c r="F9">
        <v>1455</v>
      </c>
      <c r="G9">
        <v>1656</v>
      </c>
      <c r="H9">
        <v>3310</v>
      </c>
      <c r="I9">
        <v>5082</v>
      </c>
      <c r="J9">
        <v>3271</v>
      </c>
      <c r="K9">
        <v>0</v>
      </c>
      <c r="L9">
        <v>203</v>
      </c>
      <c r="M9">
        <v>484</v>
      </c>
      <c r="O9">
        <v>26813</v>
      </c>
      <c r="P9">
        <v>2979</v>
      </c>
      <c r="Q9">
        <v>1091</v>
      </c>
      <c r="R9">
        <v>1455</v>
      </c>
      <c r="S9">
        <v>1656</v>
      </c>
      <c r="T9">
        <v>3310</v>
      </c>
      <c r="U9">
        <v>5082</v>
      </c>
      <c r="V9">
        <v>3271</v>
      </c>
      <c r="W9">
        <v>0</v>
      </c>
      <c r="X9">
        <v>203</v>
      </c>
      <c r="Y9">
        <v>484</v>
      </c>
      <c r="AA9" s="118">
        <f t="shared" si="0"/>
        <v>19304950</v>
      </c>
    </row>
    <row r="10" spans="1:27" x14ac:dyDescent="0.25">
      <c r="A10" s="117" t="s">
        <v>181</v>
      </c>
      <c r="B10" s="117" t="s">
        <v>180</v>
      </c>
      <c r="C10">
        <v>13501</v>
      </c>
      <c r="D10">
        <v>1500</v>
      </c>
      <c r="E10">
        <v>513</v>
      </c>
      <c r="F10">
        <v>683</v>
      </c>
      <c r="G10">
        <v>831</v>
      </c>
      <c r="H10">
        <v>1665</v>
      </c>
      <c r="I10">
        <v>2723</v>
      </c>
      <c r="J10">
        <v>1592</v>
      </c>
      <c r="K10">
        <v>0</v>
      </c>
      <c r="L10">
        <v>95</v>
      </c>
      <c r="M10">
        <v>226</v>
      </c>
      <c r="O10">
        <v>13501</v>
      </c>
      <c r="P10">
        <v>1500</v>
      </c>
      <c r="Q10">
        <v>513</v>
      </c>
      <c r="R10">
        <v>683</v>
      </c>
      <c r="S10">
        <v>831</v>
      </c>
      <c r="T10">
        <v>1665</v>
      </c>
      <c r="U10">
        <v>2723</v>
      </c>
      <c r="V10">
        <v>1592</v>
      </c>
      <c r="W10">
        <v>0</v>
      </c>
      <c r="X10">
        <v>95</v>
      </c>
      <c r="Y10">
        <v>226</v>
      </c>
      <c r="AA10" s="118">
        <f t="shared" si="0"/>
        <v>9625500</v>
      </c>
    </row>
    <row r="11" spans="1:27" x14ac:dyDescent="0.25">
      <c r="A11" s="117" t="s">
        <v>217</v>
      </c>
      <c r="B11" s="117" t="s">
        <v>216</v>
      </c>
      <c r="C11">
        <v>6539</v>
      </c>
      <c r="D11">
        <v>728</v>
      </c>
      <c r="E11">
        <v>220</v>
      </c>
      <c r="F11">
        <v>293</v>
      </c>
      <c r="G11">
        <v>403</v>
      </c>
      <c r="H11">
        <v>809</v>
      </c>
      <c r="I11">
        <v>1455</v>
      </c>
      <c r="J11">
        <v>717</v>
      </c>
      <c r="K11">
        <v>0</v>
      </c>
      <c r="L11">
        <v>42</v>
      </c>
      <c r="M11">
        <v>96</v>
      </c>
      <c r="O11">
        <v>6539</v>
      </c>
      <c r="P11">
        <v>728</v>
      </c>
      <c r="Q11">
        <v>220</v>
      </c>
      <c r="R11">
        <v>293</v>
      </c>
      <c r="S11">
        <v>403</v>
      </c>
      <c r="T11">
        <v>809</v>
      </c>
      <c r="U11">
        <v>1455</v>
      </c>
      <c r="V11">
        <v>717</v>
      </c>
      <c r="W11">
        <v>0</v>
      </c>
      <c r="X11">
        <v>42</v>
      </c>
      <c r="Y11">
        <v>96</v>
      </c>
      <c r="AA11" s="118">
        <f t="shared" si="0"/>
        <v>4594750</v>
      </c>
    </row>
    <row r="12" spans="1:27" x14ac:dyDescent="0.25">
      <c r="A12" s="117" t="s">
        <v>233</v>
      </c>
      <c r="B12" s="117" t="s">
        <v>232</v>
      </c>
      <c r="C12">
        <v>31339</v>
      </c>
      <c r="D12">
        <v>3483</v>
      </c>
      <c r="E12">
        <v>1044</v>
      </c>
      <c r="F12">
        <v>1393</v>
      </c>
      <c r="G12">
        <v>1935</v>
      </c>
      <c r="H12">
        <v>3870</v>
      </c>
      <c r="I12">
        <v>7078</v>
      </c>
      <c r="J12">
        <v>3370</v>
      </c>
      <c r="K12">
        <v>0</v>
      </c>
      <c r="L12">
        <v>194</v>
      </c>
      <c r="M12">
        <v>466</v>
      </c>
      <c r="O12">
        <v>31339</v>
      </c>
      <c r="P12">
        <v>3483</v>
      </c>
      <c r="Q12">
        <v>1044</v>
      </c>
      <c r="R12">
        <v>1393</v>
      </c>
      <c r="S12">
        <v>1935</v>
      </c>
      <c r="T12">
        <v>3870</v>
      </c>
      <c r="U12">
        <v>7078</v>
      </c>
      <c r="V12">
        <v>3370</v>
      </c>
      <c r="W12">
        <v>0</v>
      </c>
      <c r="X12">
        <v>194</v>
      </c>
      <c r="Y12">
        <v>466</v>
      </c>
      <c r="AA12" s="118">
        <f t="shared" si="0"/>
        <v>22030950</v>
      </c>
    </row>
    <row r="13" spans="1:27" x14ac:dyDescent="0.25">
      <c r="A13" s="117" t="s">
        <v>253</v>
      </c>
      <c r="B13" s="117" t="s">
        <v>252</v>
      </c>
      <c r="C13">
        <v>13151</v>
      </c>
      <c r="D13">
        <v>1462</v>
      </c>
      <c r="E13">
        <v>440</v>
      </c>
      <c r="F13">
        <v>586</v>
      </c>
      <c r="G13">
        <v>811</v>
      </c>
      <c r="H13">
        <v>1625</v>
      </c>
      <c r="I13">
        <v>2943</v>
      </c>
      <c r="J13">
        <v>1435</v>
      </c>
      <c r="K13">
        <v>687</v>
      </c>
      <c r="L13">
        <v>82</v>
      </c>
      <c r="M13">
        <v>195</v>
      </c>
      <c r="O13">
        <v>13151</v>
      </c>
      <c r="P13">
        <v>1462</v>
      </c>
      <c r="Q13">
        <v>440</v>
      </c>
      <c r="R13">
        <v>586</v>
      </c>
      <c r="S13">
        <v>811</v>
      </c>
      <c r="T13">
        <v>1625</v>
      </c>
      <c r="U13">
        <v>2943</v>
      </c>
      <c r="V13">
        <v>1435</v>
      </c>
      <c r="W13">
        <v>687</v>
      </c>
      <c r="X13">
        <v>82</v>
      </c>
      <c r="Y13">
        <v>195</v>
      </c>
      <c r="AA13" s="118">
        <f t="shared" si="0"/>
        <v>9691400</v>
      </c>
    </row>
    <row r="14" spans="1:27" x14ac:dyDescent="0.25">
      <c r="A14" s="117" t="s">
        <v>275</v>
      </c>
      <c r="B14" s="117" t="s">
        <v>274</v>
      </c>
      <c r="C14">
        <v>8878</v>
      </c>
      <c r="D14">
        <v>986</v>
      </c>
      <c r="E14">
        <v>268</v>
      </c>
      <c r="F14">
        <v>358</v>
      </c>
      <c r="G14">
        <v>547</v>
      </c>
      <c r="H14">
        <v>1098</v>
      </c>
      <c r="I14">
        <v>2169</v>
      </c>
      <c r="J14">
        <v>874</v>
      </c>
      <c r="K14">
        <v>359</v>
      </c>
      <c r="L14">
        <v>51</v>
      </c>
      <c r="M14">
        <v>119</v>
      </c>
      <c r="O14">
        <v>8878</v>
      </c>
      <c r="P14">
        <v>986</v>
      </c>
      <c r="Q14">
        <v>268</v>
      </c>
      <c r="R14">
        <v>358</v>
      </c>
      <c r="S14">
        <v>547</v>
      </c>
      <c r="T14">
        <v>1098</v>
      </c>
      <c r="U14">
        <v>2169</v>
      </c>
      <c r="V14">
        <v>874</v>
      </c>
      <c r="W14">
        <v>359</v>
      </c>
      <c r="X14">
        <v>51</v>
      </c>
      <c r="Y14">
        <v>119</v>
      </c>
      <c r="AA14" s="118">
        <f t="shared" si="0"/>
        <v>6405450</v>
      </c>
    </row>
    <row r="15" spans="1:27" x14ac:dyDescent="0.25">
      <c r="A15" s="117" t="s">
        <v>299</v>
      </c>
      <c r="B15" s="117" t="s">
        <v>298</v>
      </c>
      <c r="C15">
        <v>21200</v>
      </c>
      <c r="D15">
        <v>2353</v>
      </c>
      <c r="E15">
        <v>700</v>
      </c>
      <c r="F15">
        <v>937</v>
      </c>
      <c r="G15">
        <v>1309</v>
      </c>
      <c r="H15">
        <v>2619</v>
      </c>
      <c r="I15">
        <v>4797</v>
      </c>
      <c r="J15">
        <v>2285</v>
      </c>
      <c r="K15">
        <v>0</v>
      </c>
      <c r="L15">
        <v>130</v>
      </c>
      <c r="M15">
        <v>313</v>
      </c>
      <c r="O15">
        <v>21200</v>
      </c>
      <c r="P15">
        <v>2353</v>
      </c>
      <c r="Q15">
        <v>700</v>
      </c>
      <c r="R15">
        <v>937</v>
      </c>
      <c r="S15">
        <v>1309</v>
      </c>
      <c r="T15">
        <v>2619</v>
      </c>
      <c r="U15">
        <v>4797</v>
      </c>
      <c r="V15">
        <v>2285</v>
      </c>
      <c r="W15">
        <v>0</v>
      </c>
      <c r="X15">
        <v>130</v>
      </c>
      <c r="Y15">
        <v>313</v>
      </c>
      <c r="AA15" s="118">
        <f t="shared" si="0"/>
        <v>14892450</v>
      </c>
    </row>
    <row r="16" spans="1:27" x14ac:dyDescent="0.25">
      <c r="A16" s="117" t="s">
        <v>325</v>
      </c>
      <c r="B16" s="117" t="s">
        <v>324</v>
      </c>
      <c r="C16">
        <v>2568</v>
      </c>
      <c r="D16">
        <v>285</v>
      </c>
      <c r="E16">
        <v>77</v>
      </c>
      <c r="F16">
        <v>105</v>
      </c>
      <c r="G16">
        <v>159</v>
      </c>
      <c r="H16">
        <v>317</v>
      </c>
      <c r="I16">
        <v>624</v>
      </c>
      <c r="J16">
        <v>255</v>
      </c>
      <c r="K16">
        <v>0</v>
      </c>
      <c r="L16">
        <v>13</v>
      </c>
      <c r="M16">
        <v>34</v>
      </c>
      <c r="O16">
        <v>2568</v>
      </c>
      <c r="P16">
        <v>285</v>
      </c>
      <c r="Q16">
        <v>77</v>
      </c>
      <c r="R16">
        <v>105</v>
      </c>
      <c r="S16">
        <v>159</v>
      </c>
      <c r="T16">
        <v>317</v>
      </c>
      <c r="U16">
        <v>624</v>
      </c>
      <c r="V16">
        <v>255</v>
      </c>
      <c r="W16">
        <v>0</v>
      </c>
      <c r="X16">
        <v>13</v>
      </c>
      <c r="Y16">
        <v>34</v>
      </c>
      <c r="AA16" s="118">
        <f t="shared" si="0"/>
        <v>1778750</v>
      </c>
    </row>
    <row r="17" spans="1:27" x14ac:dyDescent="0.25">
      <c r="A17" s="117" t="s">
        <v>342</v>
      </c>
      <c r="B17" s="117" t="s">
        <v>341</v>
      </c>
      <c r="C17">
        <v>909</v>
      </c>
      <c r="D17">
        <v>99</v>
      </c>
      <c r="E17">
        <v>27</v>
      </c>
      <c r="F17">
        <v>37</v>
      </c>
      <c r="G17">
        <v>58</v>
      </c>
      <c r="H17">
        <v>110</v>
      </c>
      <c r="I17">
        <v>221</v>
      </c>
      <c r="J17">
        <v>90</v>
      </c>
      <c r="K17">
        <v>0</v>
      </c>
      <c r="L17">
        <v>3</v>
      </c>
      <c r="M17">
        <v>12</v>
      </c>
      <c r="O17">
        <v>909</v>
      </c>
      <c r="P17">
        <v>99</v>
      </c>
      <c r="Q17">
        <v>27</v>
      </c>
      <c r="R17">
        <v>37</v>
      </c>
      <c r="S17">
        <v>58</v>
      </c>
      <c r="T17">
        <v>110</v>
      </c>
      <c r="U17">
        <v>221</v>
      </c>
      <c r="V17">
        <v>90</v>
      </c>
      <c r="W17">
        <v>0</v>
      </c>
      <c r="X17">
        <v>3</v>
      </c>
      <c r="Y17">
        <v>12</v>
      </c>
      <c r="AA17" s="118">
        <f t="shared" si="0"/>
        <v>624200</v>
      </c>
    </row>
    <row r="18" spans="1:27" x14ac:dyDescent="0.25">
      <c r="A18" s="117" t="s">
        <v>357</v>
      </c>
      <c r="B18" s="117" t="s">
        <v>356</v>
      </c>
      <c r="C18">
        <v>2306</v>
      </c>
      <c r="D18">
        <v>257</v>
      </c>
      <c r="E18">
        <v>70</v>
      </c>
      <c r="F18">
        <v>94</v>
      </c>
      <c r="G18">
        <v>140</v>
      </c>
      <c r="H18">
        <v>286</v>
      </c>
      <c r="I18">
        <v>561</v>
      </c>
      <c r="J18">
        <v>227</v>
      </c>
      <c r="K18">
        <v>0</v>
      </c>
      <c r="L18">
        <v>13</v>
      </c>
      <c r="M18">
        <v>32</v>
      </c>
      <c r="O18">
        <v>2306</v>
      </c>
      <c r="P18">
        <v>257</v>
      </c>
      <c r="Q18">
        <v>70</v>
      </c>
      <c r="R18">
        <v>94</v>
      </c>
      <c r="S18">
        <v>140</v>
      </c>
      <c r="T18">
        <v>286</v>
      </c>
      <c r="U18">
        <v>561</v>
      </c>
      <c r="V18">
        <v>227</v>
      </c>
      <c r="W18">
        <v>0</v>
      </c>
      <c r="X18">
        <v>13</v>
      </c>
      <c r="Y18">
        <v>32</v>
      </c>
      <c r="AA18" s="118">
        <f t="shared" si="0"/>
        <v>1606750</v>
      </c>
    </row>
    <row r="19" spans="1:27" x14ac:dyDescent="0.25">
      <c r="A19" s="117" t="s">
        <v>375</v>
      </c>
      <c r="B19" s="117" t="s">
        <v>374</v>
      </c>
      <c r="C19">
        <v>21247</v>
      </c>
      <c r="D19">
        <v>2361</v>
      </c>
      <c r="E19">
        <v>716</v>
      </c>
      <c r="F19">
        <v>955</v>
      </c>
      <c r="G19">
        <v>1312</v>
      </c>
      <c r="H19">
        <v>2624</v>
      </c>
      <c r="I19">
        <v>4728</v>
      </c>
      <c r="J19">
        <v>2333</v>
      </c>
      <c r="K19">
        <v>0</v>
      </c>
      <c r="L19">
        <v>132</v>
      </c>
      <c r="M19">
        <v>318</v>
      </c>
      <c r="O19">
        <v>21247</v>
      </c>
      <c r="P19">
        <v>2361</v>
      </c>
      <c r="Q19">
        <v>716</v>
      </c>
      <c r="R19">
        <v>955</v>
      </c>
      <c r="S19">
        <v>1312</v>
      </c>
      <c r="T19">
        <v>2624</v>
      </c>
      <c r="U19">
        <v>4728</v>
      </c>
      <c r="V19">
        <v>2333</v>
      </c>
      <c r="W19">
        <v>0</v>
      </c>
      <c r="X19">
        <v>132</v>
      </c>
      <c r="Y19">
        <v>318</v>
      </c>
      <c r="AA19" s="118">
        <f t="shared" si="0"/>
        <v>14951300</v>
      </c>
    </row>
    <row r="20" spans="1:27" x14ac:dyDescent="0.25">
      <c r="A20" s="117" t="s">
        <v>391</v>
      </c>
      <c r="B20" s="117" t="s">
        <v>390</v>
      </c>
      <c r="C20">
        <v>6411</v>
      </c>
      <c r="D20">
        <v>712</v>
      </c>
      <c r="E20">
        <v>205</v>
      </c>
      <c r="F20">
        <v>273</v>
      </c>
      <c r="G20">
        <v>397</v>
      </c>
      <c r="H20">
        <v>792</v>
      </c>
      <c r="I20">
        <v>1494</v>
      </c>
      <c r="J20">
        <v>669</v>
      </c>
      <c r="K20">
        <v>187</v>
      </c>
      <c r="L20">
        <v>38</v>
      </c>
      <c r="M20">
        <v>91</v>
      </c>
      <c r="O20">
        <v>6411</v>
      </c>
      <c r="P20">
        <v>712</v>
      </c>
      <c r="Q20">
        <v>205</v>
      </c>
      <c r="R20">
        <v>273</v>
      </c>
      <c r="S20">
        <v>397</v>
      </c>
      <c r="T20">
        <v>792</v>
      </c>
      <c r="U20">
        <v>1494</v>
      </c>
      <c r="V20">
        <v>669</v>
      </c>
      <c r="W20">
        <v>187</v>
      </c>
      <c r="X20">
        <v>38</v>
      </c>
      <c r="Y20">
        <v>91</v>
      </c>
      <c r="AA20" s="118">
        <f t="shared" si="0"/>
        <v>4605350</v>
      </c>
    </row>
    <row r="21" spans="1:27" x14ac:dyDescent="0.25">
      <c r="A21" s="117" t="s">
        <v>407</v>
      </c>
      <c r="B21" s="117" t="s">
        <v>406</v>
      </c>
      <c r="C21">
        <v>3992</v>
      </c>
      <c r="D21">
        <v>444</v>
      </c>
      <c r="E21">
        <v>130</v>
      </c>
      <c r="F21">
        <v>171</v>
      </c>
      <c r="G21">
        <v>246</v>
      </c>
      <c r="H21">
        <v>494</v>
      </c>
      <c r="I21">
        <v>921</v>
      </c>
      <c r="J21">
        <v>421</v>
      </c>
      <c r="K21">
        <v>0</v>
      </c>
      <c r="L21">
        <v>24</v>
      </c>
      <c r="M21">
        <v>58</v>
      </c>
      <c r="O21">
        <v>3992</v>
      </c>
      <c r="P21">
        <v>444</v>
      </c>
      <c r="Q21">
        <v>130</v>
      </c>
      <c r="R21">
        <v>171</v>
      </c>
      <c r="S21">
        <v>246</v>
      </c>
      <c r="T21">
        <v>494</v>
      </c>
      <c r="U21">
        <v>921</v>
      </c>
      <c r="V21">
        <v>421</v>
      </c>
      <c r="W21">
        <v>0</v>
      </c>
      <c r="X21">
        <v>24</v>
      </c>
      <c r="Y21">
        <v>58</v>
      </c>
      <c r="AA21" s="118">
        <f t="shared" si="0"/>
        <v>2799050</v>
      </c>
    </row>
    <row r="22" spans="1:27" x14ac:dyDescent="0.25">
      <c r="A22" s="117" t="s">
        <v>1122</v>
      </c>
      <c r="C22">
        <v>351895</v>
      </c>
      <c r="D22">
        <v>39104</v>
      </c>
      <c r="E22">
        <v>12581</v>
      </c>
      <c r="F22">
        <v>16781</v>
      </c>
      <c r="G22">
        <v>21716</v>
      </c>
      <c r="H22">
        <v>43450</v>
      </c>
      <c r="I22">
        <v>75020</v>
      </c>
      <c r="J22">
        <v>39754</v>
      </c>
      <c r="K22">
        <v>2331</v>
      </c>
      <c r="L22">
        <v>2330</v>
      </c>
      <c r="M22">
        <v>5592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BE759-7DBC-486F-8EB2-3ADC9980859F}">
  <dimension ref="A1:AQ570"/>
  <sheetViews>
    <sheetView topLeftCell="W1" zoomScale="85" zoomScaleNormal="85" workbookViewId="0">
      <selection activeCell="AB5" sqref="AB5"/>
    </sheetView>
  </sheetViews>
  <sheetFormatPr defaultColWidth="8.5703125" defaultRowHeight="11.25" x14ac:dyDescent="0.2"/>
  <cols>
    <col min="1" max="1" width="25.28515625" style="45" bestFit="1" customWidth="1"/>
    <col min="2" max="2" width="11.5703125" style="46" customWidth="1"/>
    <col min="3" max="3" width="14.7109375" style="46" customWidth="1"/>
    <col min="4" max="4" width="24.7109375" style="46" bestFit="1" customWidth="1"/>
    <col min="5" max="5" width="14.7109375" style="46" customWidth="1"/>
    <col min="6" max="6" width="13.42578125" style="47" customWidth="1"/>
    <col min="7" max="7" width="18.7109375" style="46" customWidth="1"/>
    <col min="8" max="8" width="13.7109375" style="46" customWidth="1"/>
    <col min="9" max="9" width="9.140625" style="46" customWidth="1"/>
    <col min="10" max="10" width="11" style="46" customWidth="1"/>
    <col min="11" max="11" width="12.28515625" style="87" customWidth="1"/>
    <col min="12" max="12" width="13.7109375" style="87" bestFit="1" customWidth="1"/>
    <col min="13" max="13" width="12" style="87" bestFit="1" customWidth="1"/>
    <col min="14" max="14" width="14.28515625" style="87" bestFit="1" customWidth="1"/>
    <col min="15" max="15" width="11" style="87" customWidth="1"/>
    <col min="16" max="16" width="13.5703125" style="87" customWidth="1"/>
    <col min="17" max="18" width="12.5703125" style="46" customWidth="1"/>
    <col min="19" max="19" width="15.140625" style="46" customWidth="1"/>
    <col min="20" max="20" width="12.7109375" style="46" customWidth="1"/>
    <col min="21" max="21" width="15" style="46" customWidth="1"/>
    <col min="22" max="22" width="14.7109375" style="46" customWidth="1"/>
    <col min="23" max="23" width="11.85546875" style="46" customWidth="1"/>
    <col min="24" max="24" width="15.140625" style="46" bestFit="1" customWidth="1"/>
    <col min="25" max="25" width="15.5703125" style="46" customWidth="1"/>
    <col min="26" max="26" width="12.85546875" style="46" customWidth="1"/>
    <col min="27" max="27" width="13.140625" style="46" customWidth="1"/>
    <col min="28" max="28" width="14.7109375" style="46" customWidth="1"/>
    <col min="29" max="29" width="13.7109375" style="46" customWidth="1"/>
    <col min="30" max="30" width="11" style="46" customWidth="1"/>
    <col min="31" max="31" width="13.7109375" style="78" customWidth="1"/>
    <col min="32" max="32" width="13.5703125" style="78" customWidth="1"/>
    <col min="33" max="33" width="18.7109375" style="78" bestFit="1" customWidth="1"/>
    <col min="34" max="34" width="18.7109375" style="78" hidden="1" customWidth="1"/>
    <col min="35" max="35" width="48.42578125" style="78" customWidth="1"/>
    <col min="36" max="36" width="10.5703125" style="46" customWidth="1"/>
    <col min="37" max="37" width="16.7109375" style="46" customWidth="1"/>
    <col min="38" max="38" width="17.5703125" style="46" customWidth="1"/>
    <col min="39" max="39" width="17" style="46" customWidth="1"/>
    <col min="40" max="40" width="11.42578125" style="46" customWidth="1"/>
    <col min="41" max="41" width="11.85546875" style="46" customWidth="1"/>
    <col min="42" max="42" width="12.7109375" style="46" customWidth="1"/>
    <col min="43" max="43" width="11.5703125" style="46" customWidth="1"/>
    <col min="44" max="16384" width="8.5703125" style="46"/>
  </cols>
  <sheetData>
    <row r="1" spans="1:43" x14ac:dyDescent="0.2">
      <c r="R1" s="26" t="s">
        <v>1021</v>
      </c>
      <c r="S1" s="134">
        <f>SUM(tblTarget[CLSHL/CA1/IN1])</f>
        <v>312561.59999999998</v>
      </c>
      <c r="T1" s="135">
        <f>SUM(tblTarget[CLSHL/CA2/IN1])</f>
        <v>78140.399999999994</v>
      </c>
      <c r="U1" s="135">
        <f>SUM(tblTarget[CLSHL/CA3/IN1])</f>
        <v>12573</v>
      </c>
      <c r="V1" s="135">
        <f>SUM(tblTarget[CLSHL/CA4/IN1])</f>
        <v>16770</v>
      </c>
      <c r="W1" s="135">
        <f>SUM(tblTarget[CLSHL/CA5/IN1])</f>
        <v>21700</v>
      </c>
      <c r="X1" s="135">
        <f>SUM(tblTarget[CLSHL/CA6/IN1])</f>
        <v>43419</v>
      </c>
      <c r="Y1" s="135">
        <f>SUM(tblTarget[CLSHL/CA7/IN1])</f>
        <v>74956</v>
      </c>
      <c r="Z1" s="135">
        <f>SUM(tblTarget[CLSHL/CA8/IN1])</f>
        <v>39729</v>
      </c>
      <c r="AA1" s="135">
        <f>SUM(tblTarget[CLSHL/CA9/IN1])</f>
        <v>2314.2028095369201</v>
      </c>
      <c r="AB1" s="135">
        <f>SUM(tblTarget[CLSHL/CA10/IN1])</f>
        <v>5480.9999339055794</v>
      </c>
      <c r="AC1" s="135">
        <f>SUM(tblTarget[CLSHL/CA11/IN1])</f>
        <v>11414.996928235983</v>
      </c>
    </row>
    <row r="2" spans="1:43" x14ac:dyDescent="0.2">
      <c r="K2" s="133" t="s">
        <v>1140</v>
      </c>
      <c r="R2" s="26" t="s">
        <v>1022</v>
      </c>
      <c r="S2" s="46">
        <v>200</v>
      </c>
      <c r="T2" s="46">
        <v>200</v>
      </c>
      <c r="U2" s="46">
        <v>650</v>
      </c>
      <c r="V2" s="46">
        <v>500</v>
      </c>
      <c r="W2" s="46">
        <v>550</v>
      </c>
      <c r="X2" s="46">
        <v>650</v>
      </c>
      <c r="Y2" s="46">
        <v>650</v>
      </c>
      <c r="Z2" s="46">
        <v>800</v>
      </c>
      <c r="AA2" s="46">
        <v>2466.2921348300001</v>
      </c>
      <c r="AB2" s="46">
        <v>1250</v>
      </c>
      <c r="AC2" s="46">
        <v>132.73324572930355</v>
      </c>
    </row>
    <row r="3" spans="1:43" x14ac:dyDescent="0.2">
      <c r="K3" s="132">
        <f>SUBTOTAL(109,tblTarget[Cluster Target])</f>
        <v>1967944.4880000004</v>
      </c>
      <c r="R3" s="26" t="s">
        <v>1023</v>
      </c>
      <c r="S3" s="88">
        <f>S1*S2</f>
        <v>62512319.999999993</v>
      </c>
      <c r="T3" s="88">
        <f t="shared" ref="T3:AA3" si="0">T1*T2</f>
        <v>15628079.999999998</v>
      </c>
      <c r="U3" s="88">
        <f t="shared" si="0"/>
        <v>8172450</v>
      </c>
      <c r="V3" s="88">
        <f t="shared" si="0"/>
        <v>8385000</v>
      </c>
      <c r="W3" s="88">
        <f t="shared" si="0"/>
        <v>11935000</v>
      </c>
      <c r="X3" s="88">
        <f t="shared" si="0"/>
        <v>28222350</v>
      </c>
      <c r="Y3" s="88">
        <f t="shared" si="0"/>
        <v>48721400</v>
      </c>
      <c r="Z3" s="88">
        <f t="shared" si="0"/>
        <v>31783200</v>
      </c>
      <c r="AA3" s="88">
        <f t="shared" si="0"/>
        <v>5707500.1875623949</v>
      </c>
      <c r="AB3" s="88">
        <f t="shared" ref="AB3:AC3" si="1">AB1*AB2</f>
        <v>6851249.9173819739</v>
      </c>
      <c r="AC3" s="88">
        <f t="shared" si="1"/>
        <v>1515149.592274792</v>
      </c>
    </row>
    <row r="4" spans="1:43" x14ac:dyDescent="0.2">
      <c r="A4" s="48"/>
      <c r="B4" s="49"/>
      <c r="C4" s="50"/>
      <c r="D4" s="50"/>
      <c r="E4" s="50"/>
      <c r="F4" s="89">
        <f>SUBTOTAL(9,tblTarget[Total Population])</f>
        <v>19319040</v>
      </c>
      <c r="G4" s="89">
        <f>SUBTOTAL(9,tblTarget[Population Group])</f>
        <v>0</v>
      </c>
      <c r="H4" s="89">
        <f>SUBTOTAL(9,tblTarget[Cluster PiN])</f>
        <v>7032952</v>
      </c>
      <c r="I4" s="89"/>
      <c r="J4" s="89"/>
      <c r="K4" s="89">
        <f>SUM(tblTarget[Cluster Target])</f>
        <v>2172231.4079999998</v>
      </c>
      <c r="L4" s="89">
        <f>SUBTOTAL(9,tblTarget[Female])</f>
        <v>997889.14284898841</v>
      </c>
      <c r="M4" s="89">
        <f>SUBTOTAL(9,tblTarget[[Male ]])</f>
        <v>970055.34515101172</v>
      </c>
      <c r="N4" s="89">
        <f>SUBTOTAL(9,tblTarget[Children (&lt;18)])</f>
        <v>1077182.959</v>
      </c>
      <c r="O4" s="89">
        <f>SUBTOTAL(9,tblTarget[Adults (18 - 59)])</f>
        <v>772684.8597199996</v>
      </c>
      <c r="P4" s="89">
        <f>SUBTOTAL(9,tblTarget[Elderly (60+)])</f>
        <v>118076.66928000007</v>
      </c>
      <c r="Q4" s="52"/>
      <c r="R4" s="52"/>
    </row>
    <row r="5" spans="1:43" ht="76.5" customHeight="1" x14ac:dyDescent="0.2">
      <c r="A5" s="48"/>
      <c r="B5" s="49"/>
      <c r="C5" s="50"/>
      <c r="D5" s="50"/>
      <c r="E5" s="50"/>
      <c r="F5" s="51"/>
      <c r="G5" s="52"/>
      <c r="H5" s="52"/>
      <c r="I5" s="52"/>
      <c r="J5" s="52"/>
      <c r="K5" s="92"/>
      <c r="S5" s="74" t="str">
        <f>_xlfn.XLOOKUP(tblTarget[[#Headers],[CLSHL/CA1/IN1]],tblActivities[iCode],tblActivities[Indicator])</f>
        <v>Number of households that received NFI kits</v>
      </c>
      <c r="T5" s="74" t="str">
        <f>_xlfn.XLOOKUP(tblTarget[[#Headers],[CLSHL/CA2/IN1]],tblActivities[iCode],tblActivities[Indicator])</f>
        <v>Number of households that received cash/vouchers for NFIs</v>
      </c>
      <c r="U5" s="74" t="str">
        <f>_xlfn.XLOOKUP(tblTarget[[#Headers],[CLSHL/CA3/IN1]],tblActivities[iCode],tblActivities[Indicator])</f>
        <v>Number of households accommodated in newly established communal shelters</v>
      </c>
      <c r="V5" s="74" t="str">
        <f>_xlfn.XLOOKUP(tblTarget[[#Headers],[CLSHL/CA4/IN1]],tblActivities[iCode],tblActivities[Indicator])</f>
        <v>Number of households that benefited from collective centre rehabilitation</v>
      </c>
      <c r="W5" s="74" t="str">
        <f>_xlfn.XLOOKUP(tblTarget[[#Headers],[CLSHL/CA5/IN1]],tblActivities[iCode],tblActivities[Indicator])</f>
        <v>Number of households that received tents</v>
      </c>
      <c r="X5" s="74" t="str">
        <f>_xlfn.XLOOKUP(tblTarget[[#Headers],[CLSHL/CA6/IN1]],tblActivities[iCode],tblActivities[Indicator])</f>
        <v>Number of households that received ESKs</v>
      </c>
      <c r="Y5" s="74" t="str">
        <f>_xlfn.XLOOKUP(tblTarget[[#Headers],[CLSHL/CA7/IN1]],tblActivities[iCode],tblActivities[Indicator])</f>
        <v>Number of households that received cash/vouchers for emergency/repaired shelter</v>
      </c>
      <c r="Z5" s="74" t="str">
        <f>_xlfn.XLOOKUP(tblTarget[[#Headers],[CLSHL/CA8/IN1]],tblActivities[iCode],tblActivities[Indicator])</f>
        <v>Number of households that received cash/vouchers for rent</v>
      </c>
      <c r="AA5" s="74" t="str">
        <f>_xlfn.XLOOKUP(tblTarget[[#Headers],[CLSHL/CA9/IN1]],tblActivities[iCode],tblActivities[Indicator])</f>
        <v>Number of households that benefited from site development</v>
      </c>
      <c r="AB5" s="74" t="str">
        <f>_xlfn.XLOOKUP(tblTarget[[#Headers],[CLSHL/CA10/IN1]],tblActivities[iCode],tblActivities[Indicator])</f>
        <v>Number of household  receiving support to construct transitional shelter</v>
      </c>
      <c r="AC5" s="74" t="str">
        <f>_xlfn.XLOOKUP(tblTarget[[#Headers],[CLSHL/CA11/IN1]],tblActivities[iCode],tblActivities[Indicator])</f>
        <v>Number of individuals  receiving support for Safe shelter initiatives</v>
      </c>
      <c r="AD5" s="25"/>
      <c r="AE5" s="138" t="s">
        <v>1116</v>
      </c>
      <c r="AF5" s="138"/>
      <c r="AG5" s="138"/>
      <c r="AH5" s="138"/>
      <c r="AI5" s="138"/>
      <c r="AJ5" s="138" t="s">
        <v>1048</v>
      </c>
      <c r="AK5" s="138"/>
      <c r="AL5" s="138"/>
      <c r="AM5" s="138"/>
      <c r="AN5" s="139" t="s">
        <v>1097</v>
      </c>
      <c r="AO5" s="139"/>
      <c r="AP5" s="139"/>
      <c r="AQ5" s="139"/>
    </row>
    <row r="6" spans="1:43" ht="91.5" customHeight="1" x14ac:dyDescent="0.2">
      <c r="A6" s="53" t="s">
        <v>19</v>
      </c>
      <c r="B6" s="54" t="s">
        <v>20</v>
      </c>
      <c r="C6" s="55" t="s">
        <v>21</v>
      </c>
      <c r="D6" s="55" t="s">
        <v>22</v>
      </c>
      <c r="E6" s="56" t="s">
        <v>23</v>
      </c>
      <c r="F6" s="57" t="s">
        <v>24</v>
      </c>
      <c r="G6" s="58" t="s">
        <v>25</v>
      </c>
      <c r="H6" s="59" t="s">
        <v>438</v>
      </c>
      <c r="I6" s="59" t="s">
        <v>439</v>
      </c>
      <c r="J6" s="59" t="s">
        <v>440</v>
      </c>
      <c r="K6" s="93" t="s">
        <v>443</v>
      </c>
      <c r="L6" s="90" t="s">
        <v>1009</v>
      </c>
      <c r="M6" s="90" t="s">
        <v>1010</v>
      </c>
      <c r="N6" s="90" t="s">
        <v>1011</v>
      </c>
      <c r="O6" s="90" t="s">
        <v>1012</v>
      </c>
      <c r="P6" s="90" t="s">
        <v>1013</v>
      </c>
      <c r="Q6" s="75" t="s">
        <v>1014</v>
      </c>
      <c r="R6" s="131" t="s">
        <v>1139</v>
      </c>
      <c r="S6" s="76" t="s">
        <v>1080</v>
      </c>
      <c r="T6" s="76" t="s">
        <v>1081</v>
      </c>
      <c r="U6" s="76" t="s">
        <v>1082</v>
      </c>
      <c r="V6" s="76" t="s">
        <v>1083</v>
      </c>
      <c r="W6" s="76" t="s">
        <v>1084</v>
      </c>
      <c r="X6" s="76" t="s">
        <v>1085</v>
      </c>
      <c r="Y6" s="76" t="s">
        <v>1086</v>
      </c>
      <c r="Z6" s="76" t="s">
        <v>1087</v>
      </c>
      <c r="AA6" s="76" t="s">
        <v>1088</v>
      </c>
      <c r="AB6" s="76" t="s">
        <v>1111</v>
      </c>
      <c r="AC6" s="76" t="s">
        <v>1112</v>
      </c>
      <c r="AD6" s="60" t="s">
        <v>1042</v>
      </c>
      <c r="AE6" s="95" t="s">
        <v>1105</v>
      </c>
      <c r="AF6" s="95" t="s">
        <v>1114</v>
      </c>
      <c r="AG6" s="95" t="s">
        <v>1120</v>
      </c>
      <c r="AH6" s="95" t="s">
        <v>1117</v>
      </c>
      <c r="AI6" s="95" t="s">
        <v>1118</v>
      </c>
      <c r="AJ6" s="61" t="s">
        <v>1043</v>
      </c>
      <c r="AK6" s="61" t="s">
        <v>1106</v>
      </c>
      <c r="AL6" s="61" t="s">
        <v>1045</v>
      </c>
      <c r="AM6" s="61" t="s">
        <v>1044</v>
      </c>
      <c r="AN6" s="80" t="s">
        <v>1093</v>
      </c>
      <c r="AO6" s="80" t="s">
        <v>1094</v>
      </c>
      <c r="AP6" s="80" t="s">
        <v>1095</v>
      </c>
      <c r="AQ6" s="80" t="s">
        <v>1096</v>
      </c>
    </row>
    <row r="7" spans="1:43" ht="15.95" customHeight="1" x14ac:dyDescent="0.2">
      <c r="A7" s="62" t="s">
        <v>444</v>
      </c>
      <c r="B7" s="63" t="s">
        <v>26</v>
      </c>
      <c r="C7" s="64" t="s">
        <v>27</v>
      </c>
      <c r="D7" s="63" t="s">
        <v>28</v>
      </c>
      <c r="E7" s="64" t="s">
        <v>29</v>
      </c>
      <c r="F7" s="65">
        <v>15904</v>
      </c>
      <c r="G7" s="66" t="s">
        <v>30</v>
      </c>
      <c r="H7" s="67">
        <v>1448</v>
      </c>
      <c r="I7" s="68">
        <v>3</v>
      </c>
      <c r="J7" s="68">
        <v>4</v>
      </c>
      <c r="K7" s="91">
        <v>76.800000000000011</v>
      </c>
      <c r="L7" s="91">
        <v>35.562959691111367</v>
      </c>
      <c r="M7" s="91">
        <v>41.237040308888645</v>
      </c>
      <c r="N7" s="91">
        <v>38.400000000000006</v>
      </c>
      <c r="O7" s="91">
        <v>33.792000000000009</v>
      </c>
      <c r="P7" s="91">
        <v>4.6080000000000005</v>
      </c>
      <c r="Q7" s="85">
        <v>11.520000000000001</v>
      </c>
      <c r="R7" s="69" t="s">
        <v>15</v>
      </c>
      <c r="S7" s="86">
        <v>11</v>
      </c>
      <c r="T7" s="69">
        <v>3</v>
      </c>
      <c r="U7" s="69">
        <v>0</v>
      </c>
      <c r="V7" s="69">
        <v>0</v>
      </c>
      <c r="W7" s="69">
        <v>1</v>
      </c>
      <c r="X7" s="69">
        <v>2</v>
      </c>
      <c r="Y7" s="69">
        <v>5</v>
      </c>
      <c r="Z7" s="69">
        <v>1</v>
      </c>
      <c r="AA7" s="69">
        <v>0</v>
      </c>
      <c r="AB7" s="69">
        <v>0</v>
      </c>
      <c r="AC7" s="69">
        <v>0</v>
      </c>
      <c r="AD7" s="70">
        <f>IFERROR(tblTarget[[#This Row],[Cluster Target]]/tblTarget[[#This Row],[Cluster PiN]],0)</f>
        <v>5.3038674033149179E-2</v>
      </c>
      <c r="AE7" s="79">
        <f>_xlfn.XLOOKUP(tblTarget[[#This Row],[ID]],tblResponse[ID],tblResponse[2024 Projected reached (Dec 2024)])</f>
        <v>0</v>
      </c>
      <c r="AF7" s="79">
        <f>_xlfn.XLOOKUP(tblTarget[[#This Row],[ID]],tblResponse[ID],tblResponse[2024 Intercluster reached -August RPM])</f>
        <v>41948.265497596905</v>
      </c>
      <c r="AG7" s="79">
        <v>2</v>
      </c>
      <c r="AH7" s="79"/>
      <c r="AI7" s="79"/>
      <c r="AJ7" s="70" t="str">
        <f>IF(tblTarget[[#This Row],[Target to PiN (%)]]&gt;Targ_vs_PiN,"Flagged","")</f>
        <v/>
      </c>
      <c r="AK7" s="69" t="str">
        <f>IF(AND(tblTarget[[#This Row],[Qualifies for exception]]="Flagged",tblTarget[[#This Row],[Target to PiN (%)]]&gt;Targ_severity5),"Flagged","")</f>
        <v/>
      </c>
      <c r="AL7" s="68" t="str">
        <f>IFERROR(IF(AND(tblTarget[[#This Row],[Intercluser Severity]]=4,tblTarget[[#This Row],[Qualifies for exception]]="Flagged",(tblTarget[[#This Row],[Cluster Target]]-tblTarget[[#This Row],[2024 Response capacity up to December]])/tblTarget[[#This Row],[Cluster Target]]&gt;Diff_severity4),"Flagged",""),"No target")</f>
        <v/>
      </c>
      <c r="AM7" s="68" t="str">
        <f>IFERROR(IF(AND(tblTarget[[#This Row],[Intercluser Severity]]=3,tblTarget[[#This Row],[Qualifies for exception]]="Flagged",(tblTarget[[#This Row],[Cluster Target]]-tblTarget[[#This Row],[2024 Response capacity up to December]])/tblTarget[[#This Row],[Cluster Target]]&gt;Diff_severity3),"Flagged",""),"No target")</f>
        <v/>
      </c>
      <c r="AN7" s="82" t="s">
        <v>15</v>
      </c>
      <c r="AO7" s="82"/>
      <c r="AP7" s="82" t="s">
        <v>15</v>
      </c>
      <c r="AQ7" s="82" t="s">
        <v>1098</v>
      </c>
    </row>
    <row r="8" spans="1:43" ht="15.95" hidden="1" customHeight="1" x14ac:dyDescent="0.2">
      <c r="A8" s="62" t="s">
        <v>445</v>
      </c>
      <c r="B8" s="63" t="s">
        <v>26</v>
      </c>
      <c r="C8" s="64" t="s">
        <v>27</v>
      </c>
      <c r="D8" s="63" t="s">
        <v>31</v>
      </c>
      <c r="E8" s="64" t="s">
        <v>32</v>
      </c>
      <c r="F8" s="65">
        <v>13283</v>
      </c>
      <c r="G8" s="66" t="s">
        <v>30</v>
      </c>
      <c r="H8" s="67">
        <v>3024</v>
      </c>
      <c r="I8" s="68">
        <v>4</v>
      </c>
      <c r="J8" s="68">
        <v>4</v>
      </c>
      <c r="K8" s="91">
        <v>45.800000000000004</v>
      </c>
      <c r="L8" s="91">
        <v>21.173425751954706</v>
      </c>
      <c r="M8" s="91">
        <v>24.626574248045298</v>
      </c>
      <c r="N8" s="91">
        <v>22.900000000000002</v>
      </c>
      <c r="O8" s="91">
        <v>20.152000000000001</v>
      </c>
      <c r="P8" s="91">
        <v>2.7480000000000002</v>
      </c>
      <c r="Q8" s="85">
        <v>6.87</v>
      </c>
      <c r="R8" s="69" t="s">
        <v>1107</v>
      </c>
      <c r="S8" s="86">
        <v>7</v>
      </c>
      <c r="T8" s="69">
        <v>2</v>
      </c>
      <c r="U8" s="68">
        <v>0</v>
      </c>
      <c r="V8" s="68">
        <v>0</v>
      </c>
      <c r="W8" s="68">
        <v>0</v>
      </c>
      <c r="X8" s="68">
        <v>1</v>
      </c>
      <c r="Y8" s="68">
        <v>3</v>
      </c>
      <c r="Z8" s="68">
        <v>0</v>
      </c>
      <c r="AA8" s="68">
        <v>0</v>
      </c>
      <c r="AB8" s="69">
        <v>0</v>
      </c>
      <c r="AC8" s="69">
        <v>0</v>
      </c>
      <c r="AD8" s="70">
        <f>IFERROR(tblTarget[[#This Row],[Cluster Target]]/tblTarget[[#This Row],[Cluster PiN]],0)</f>
        <v>1.5145502645502646E-2</v>
      </c>
      <c r="AE8" s="79">
        <f>_xlfn.XLOOKUP(tblTarget[[#This Row],[ID]],tblResponse[ID],tblResponse[2024 Projected reached (Dec 2024)])</f>
        <v>0</v>
      </c>
      <c r="AF8" s="79">
        <f>_xlfn.XLOOKUP(tblTarget[[#This Row],[ID]],tblResponse[ID],tblResponse[2024 Intercluster reached -August RPM])</f>
        <v>1988.3745108022483</v>
      </c>
      <c r="AG8" s="79">
        <v>1</v>
      </c>
      <c r="AH8" s="79"/>
      <c r="AI8" s="79"/>
      <c r="AJ8" s="70" t="str">
        <f>IF(tblTarget[[#This Row],[Target to PiN (%)]]&gt;Targ_vs_PiN,"Flagged","")</f>
        <v/>
      </c>
      <c r="AK8" s="69" t="str">
        <f>IF(AND(tblTarget[[#This Row],[Qualifies for exception]]="Flagged",tblTarget[[#This Row],[Target to PiN (%)]]&gt;Targ_severity5),"Flagged","")</f>
        <v/>
      </c>
      <c r="AL8" s="68" t="str">
        <f>IFERROR(IF(AND(tblTarget[[#This Row],[Intercluser Severity]]=4,tblTarget[[#This Row],[Qualifies for exception]]="Flagged",(tblTarget[[#This Row],[Cluster Target]]-tblTarget[[#This Row],[2024 Response capacity up to December]])/tblTarget[[#This Row],[Cluster Target]]&gt;Diff_severity4),"Flagged",""),"No target")</f>
        <v>Flagged</v>
      </c>
      <c r="AM8" s="68" t="str">
        <f>IFERROR(IF(AND(tblTarget[[#This Row],[Intercluser Severity]]=3,tblTarget[[#This Row],[Qualifies for exception]]="Flagged",(tblTarget[[#This Row],[Cluster Target]]-tblTarget[[#This Row],[2024 Response capacity up to December]])/tblTarget[[#This Row],[Cluster Target]]&gt;Diff_severity3),"Flagged",""),"No target")</f>
        <v/>
      </c>
      <c r="AN8" s="81" t="s">
        <v>1099</v>
      </c>
      <c r="AO8" s="81"/>
      <c r="AP8" s="81" t="s">
        <v>1099</v>
      </c>
      <c r="AQ8" s="81" t="s">
        <v>1107</v>
      </c>
    </row>
    <row r="9" spans="1:43" ht="15.95" customHeight="1" x14ac:dyDescent="0.2">
      <c r="A9" s="62" t="s">
        <v>446</v>
      </c>
      <c r="B9" s="63" t="s">
        <v>26</v>
      </c>
      <c r="C9" s="64" t="s">
        <v>27</v>
      </c>
      <c r="D9" s="63" t="s">
        <v>33</v>
      </c>
      <c r="E9" s="64" t="s">
        <v>34</v>
      </c>
      <c r="F9" s="65">
        <v>30236</v>
      </c>
      <c r="G9" s="66" t="s">
        <v>30</v>
      </c>
      <c r="H9" s="67">
        <v>5507</v>
      </c>
      <c r="I9" s="68">
        <v>4</v>
      </c>
      <c r="J9" s="68">
        <v>4</v>
      </c>
      <c r="K9" s="91">
        <v>730</v>
      </c>
      <c r="L9" s="91">
        <v>344.57113643129253</v>
      </c>
      <c r="M9" s="91">
        <v>385.42886356870753</v>
      </c>
      <c r="N9" s="91">
        <v>365</v>
      </c>
      <c r="O9" s="91">
        <v>321.2</v>
      </c>
      <c r="P9" s="91">
        <v>43.8</v>
      </c>
      <c r="Q9" s="85">
        <v>109.5</v>
      </c>
      <c r="R9" s="69" t="s">
        <v>15</v>
      </c>
      <c r="S9" s="86">
        <v>105</v>
      </c>
      <c r="T9" s="69">
        <v>26</v>
      </c>
      <c r="U9" s="68">
        <v>0</v>
      </c>
      <c r="V9" s="68">
        <v>0</v>
      </c>
      <c r="W9" s="68">
        <v>7</v>
      </c>
      <c r="X9" s="68">
        <v>15</v>
      </c>
      <c r="Y9" s="68">
        <v>44</v>
      </c>
      <c r="Z9" s="68">
        <v>7</v>
      </c>
      <c r="AA9" s="68">
        <v>0</v>
      </c>
      <c r="AB9" s="69">
        <v>0</v>
      </c>
      <c r="AC9" s="69">
        <v>0</v>
      </c>
      <c r="AD9" s="70">
        <f>IFERROR(tblTarget[[#This Row],[Cluster Target]]/tblTarget[[#This Row],[Cluster PiN]],0)</f>
        <v>0.13255856183039769</v>
      </c>
      <c r="AE9" s="79">
        <f>_xlfn.XLOOKUP(tblTarget[[#This Row],[ID]],tblResponse[ID],tblResponse[2024 Projected reached (Dec 2024)])</f>
        <v>0</v>
      </c>
      <c r="AF9" s="79">
        <f>_xlfn.XLOOKUP(tblTarget[[#This Row],[ID]],tblResponse[ID],tblResponse[2024 Intercluster reached -August RPM])</f>
        <v>24487.370822687786</v>
      </c>
      <c r="AG9" s="79">
        <v>1</v>
      </c>
      <c r="AH9" s="79"/>
      <c r="AI9" s="79"/>
      <c r="AJ9" s="70" t="str">
        <f>IF(tblTarget[[#This Row],[Target to PiN (%)]]&gt;Targ_vs_PiN,"Flagged","")</f>
        <v/>
      </c>
      <c r="AK9" s="69" t="str">
        <f>IF(AND(tblTarget[[#This Row],[Qualifies for exception]]="Flagged",tblTarget[[#This Row],[Target to PiN (%)]]&gt;Targ_severity5),"Flagged","")</f>
        <v/>
      </c>
      <c r="AL9" s="68" t="str">
        <f>IFERROR(IF(AND(tblTarget[[#This Row],[Intercluser Severity]]=4,tblTarget[[#This Row],[Qualifies for exception]]="Flagged",(tblTarget[[#This Row],[Cluster Target]]-tblTarget[[#This Row],[2024 Response capacity up to December]])/tblTarget[[#This Row],[Cluster Target]]&gt;Diff_severity4),"Flagged",""),"No target")</f>
        <v/>
      </c>
      <c r="AM9" s="68" t="str">
        <f>IFERROR(IF(AND(tblTarget[[#This Row],[Intercluser Severity]]=3,tblTarget[[#This Row],[Qualifies for exception]]="Flagged",(tblTarget[[#This Row],[Cluster Target]]-tblTarget[[#This Row],[2024 Response capacity up to December]])/tblTarget[[#This Row],[Cluster Target]]&gt;Diff_severity3),"Flagged",""),"No target")</f>
        <v/>
      </c>
      <c r="AN9" s="81" t="s">
        <v>1099</v>
      </c>
      <c r="AO9" s="81"/>
      <c r="AP9" s="81" t="s">
        <v>15</v>
      </c>
      <c r="AQ9" s="81" t="s">
        <v>1098</v>
      </c>
    </row>
    <row r="10" spans="1:43" ht="15.95" hidden="1" customHeight="1" x14ac:dyDescent="0.2">
      <c r="A10" s="62" t="s">
        <v>447</v>
      </c>
      <c r="B10" s="63" t="s">
        <v>26</v>
      </c>
      <c r="C10" s="64" t="s">
        <v>27</v>
      </c>
      <c r="D10" s="63" t="s">
        <v>35</v>
      </c>
      <c r="E10" s="64" t="s">
        <v>36</v>
      </c>
      <c r="F10" s="65">
        <v>29719</v>
      </c>
      <c r="G10" s="66" t="s">
        <v>30</v>
      </c>
      <c r="H10" s="67">
        <v>5413</v>
      </c>
      <c r="I10" s="68">
        <v>4</v>
      </c>
      <c r="J10" s="68">
        <v>4</v>
      </c>
      <c r="K10" s="91">
        <v>367.40000000000003</v>
      </c>
      <c r="L10" s="91">
        <v>171.65075543424311</v>
      </c>
      <c r="M10" s="91">
        <v>195.74924456575692</v>
      </c>
      <c r="N10" s="91">
        <v>183.70000000000002</v>
      </c>
      <c r="O10" s="91">
        <v>161.65600000000001</v>
      </c>
      <c r="P10" s="91">
        <v>22.044</v>
      </c>
      <c r="Q10" s="85">
        <v>55.110000000000007</v>
      </c>
      <c r="R10" s="69" t="s">
        <v>1107</v>
      </c>
      <c r="S10" s="86">
        <v>53</v>
      </c>
      <c r="T10" s="69">
        <v>13</v>
      </c>
      <c r="U10" s="68">
        <v>0</v>
      </c>
      <c r="V10" s="68">
        <v>0</v>
      </c>
      <c r="W10" s="68">
        <v>4</v>
      </c>
      <c r="X10" s="68">
        <v>7</v>
      </c>
      <c r="Y10" s="68">
        <v>22</v>
      </c>
      <c r="Z10" s="68">
        <v>4</v>
      </c>
      <c r="AA10" s="68">
        <v>0</v>
      </c>
      <c r="AB10" s="69">
        <v>0</v>
      </c>
      <c r="AC10" s="69">
        <v>0</v>
      </c>
      <c r="AD10" s="70">
        <f>IFERROR(tblTarget[[#This Row],[Cluster Target]]/tblTarget[[#This Row],[Cluster PiN]],0)</f>
        <v>6.7873637539257348E-2</v>
      </c>
      <c r="AE10" s="79">
        <f>_xlfn.XLOOKUP(tblTarget[[#This Row],[ID]],tblResponse[ID],tblResponse[2024 Projected reached (Dec 2024)])</f>
        <v>0</v>
      </c>
      <c r="AF10" s="79">
        <f>_xlfn.XLOOKUP(tblTarget[[#This Row],[ID]],tblResponse[ID],tblResponse[2024 Intercluster reached -August RPM])</f>
        <v>13992.783327250165</v>
      </c>
      <c r="AG10" s="79">
        <v>1</v>
      </c>
      <c r="AH10" s="79"/>
      <c r="AI10" s="79"/>
      <c r="AJ10" s="70" t="str">
        <f>IF(tblTarget[[#This Row],[Target to PiN (%)]]&gt;Targ_vs_PiN,"Flagged","")</f>
        <v/>
      </c>
      <c r="AK10" s="69" t="str">
        <f>IF(AND(tblTarget[[#This Row],[Qualifies for exception]]="Flagged",tblTarget[[#This Row],[Target to PiN (%)]]&gt;Targ_severity5),"Flagged","")</f>
        <v/>
      </c>
      <c r="AL10" s="68" t="str">
        <f>IFERROR(IF(AND(tblTarget[[#This Row],[Intercluser Severity]]=4,tblTarget[[#This Row],[Qualifies for exception]]="Flagged",(tblTarget[[#This Row],[Cluster Target]]-tblTarget[[#This Row],[2024 Response capacity up to December]])/tblTarget[[#This Row],[Cluster Target]]&gt;Diff_severity4),"Flagged",""),"No target")</f>
        <v>Flagged</v>
      </c>
      <c r="AM10" s="68" t="str">
        <f>IFERROR(IF(AND(tblTarget[[#This Row],[Intercluser Severity]]=3,tblTarget[[#This Row],[Qualifies for exception]]="Flagged",(tblTarget[[#This Row],[Cluster Target]]-tblTarget[[#This Row],[2024 Response capacity up to December]])/tblTarget[[#This Row],[Cluster Target]]&gt;Diff_severity3),"Flagged",""),"No target")</f>
        <v/>
      </c>
      <c r="AN10" s="81" t="s">
        <v>1099</v>
      </c>
      <c r="AO10" s="81"/>
      <c r="AP10" s="81" t="s">
        <v>1099</v>
      </c>
      <c r="AQ10" s="81" t="s">
        <v>1107</v>
      </c>
    </row>
    <row r="11" spans="1:43" ht="15.95" hidden="1" customHeight="1" x14ac:dyDescent="0.2">
      <c r="A11" s="62" t="s">
        <v>448</v>
      </c>
      <c r="B11" s="63" t="s">
        <v>26</v>
      </c>
      <c r="C11" s="64" t="s">
        <v>27</v>
      </c>
      <c r="D11" s="63" t="s">
        <v>37</v>
      </c>
      <c r="E11" s="64" t="s">
        <v>38</v>
      </c>
      <c r="F11" s="65">
        <v>32287</v>
      </c>
      <c r="G11" s="66" t="s">
        <v>30</v>
      </c>
      <c r="H11" s="67">
        <v>2940</v>
      </c>
      <c r="I11" s="68">
        <v>3</v>
      </c>
      <c r="J11" s="68">
        <v>3</v>
      </c>
      <c r="K11" s="91">
        <v>205.60000000000002</v>
      </c>
      <c r="L11" s="91">
        <v>97.763897609841962</v>
      </c>
      <c r="M11" s="91">
        <v>107.83610239015808</v>
      </c>
      <c r="N11" s="91">
        <v>102.80000000000001</v>
      </c>
      <c r="O11" s="91">
        <v>90.464000000000013</v>
      </c>
      <c r="P11" s="91">
        <v>12.336</v>
      </c>
      <c r="Q11" s="85">
        <v>30.840000000000003</v>
      </c>
      <c r="R11" s="69" t="s">
        <v>1107</v>
      </c>
      <c r="S11" s="86">
        <v>30</v>
      </c>
      <c r="T11" s="69">
        <v>7</v>
      </c>
      <c r="U11" s="68">
        <v>0</v>
      </c>
      <c r="V11" s="68">
        <v>0</v>
      </c>
      <c r="W11" s="68">
        <v>2</v>
      </c>
      <c r="X11" s="68">
        <v>4</v>
      </c>
      <c r="Y11" s="68">
        <v>12</v>
      </c>
      <c r="Z11" s="68">
        <v>2</v>
      </c>
      <c r="AA11" s="68">
        <v>0</v>
      </c>
      <c r="AB11" s="69">
        <v>0</v>
      </c>
      <c r="AC11" s="69">
        <v>0</v>
      </c>
      <c r="AD11" s="70">
        <f>IFERROR(tblTarget[[#This Row],[Cluster Target]]/tblTarget[[#This Row],[Cluster PiN]],0)</f>
        <v>6.9931972789115657E-2</v>
      </c>
      <c r="AE11" s="79">
        <f>_xlfn.XLOOKUP(tblTarget[[#This Row],[ID]],tblResponse[ID],tblResponse[2024 Projected reached (Dec 2024)])</f>
        <v>0</v>
      </c>
      <c r="AF11" s="79">
        <f>_xlfn.XLOOKUP(tblTarget[[#This Row],[ID]],tblResponse[ID],tblResponse[2024 Intercluster reached -August RPM])</f>
        <v>59550.487284111252</v>
      </c>
      <c r="AG11" s="79">
        <v>5</v>
      </c>
      <c r="AH11" s="79"/>
      <c r="AI11" s="79" t="s">
        <v>1119</v>
      </c>
      <c r="AJ11" s="70" t="str">
        <f>IF(tblTarget[[#This Row],[Target to PiN (%)]]&gt;Targ_vs_PiN,"Flagged","")</f>
        <v/>
      </c>
      <c r="AK11" s="69" t="str">
        <f>IF(AND(tblTarget[[#This Row],[Qualifies for exception]]="Flagged",tblTarget[[#This Row],[Target to PiN (%)]]&gt;Targ_severity5),"Flagged","")</f>
        <v/>
      </c>
      <c r="AL11" s="68" t="str">
        <f>IFERROR(IF(AND(tblTarget[[#This Row],[Intercluser Severity]]=4,tblTarget[[#This Row],[Qualifies for exception]]="Flagged",(tblTarget[[#This Row],[Cluster Target]]-tblTarget[[#This Row],[2024 Response capacity up to December]])/tblTarget[[#This Row],[Cluster Target]]&gt;Diff_severity4),"Flagged",""),"No target")</f>
        <v/>
      </c>
      <c r="AM11" s="68" t="str">
        <f>IFERROR(IF(AND(tblTarget[[#This Row],[Intercluser Severity]]=3,tblTarget[[#This Row],[Qualifies for exception]]="Flagged",(tblTarget[[#This Row],[Cluster Target]]-tblTarget[[#This Row],[2024 Response capacity up to December]])/tblTarget[[#This Row],[Cluster Target]]&gt;Diff_severity3),"Flagged",""),"No target")</f>
        <v>Flagged</v>
      </c>
      <c r="AN11" s="81" t="s">
        <v>1099</v>
      </c>
      <c r="AO11" s="81"/>
      <c r="AP11" s="81" t="s">
        <v>1099</v>
      </c>
      <c r="AQ11" s="81" t="s">
        <v>1107</v>
      </c>
    </row>
    <row r="12" spans="1:43" ht="15.95" customHeight="1" x14ac:dyDescent="0.2">
      <c r="A12" s="62" t="s">
        <v>449</v>
      </c>
      <c r="B12" s="63" t="s">
        <v>26</v>
      </c>
      <c r="C12" s="64" t="s">
        <v>27</v>
      </c>
      <c r="D12" s="63" t="s">
        <v>39</v>
      </c>
      <c r="E12" s="64" t="s">
        <v>40</v>
      </c>
      <c r="F12" s="65">
        <v>14263</v>
      </c>
      <c r="G12" s="66" t="s">
        <v>30</v>
      </c>
      <c r="H12" s="67">
        <v>3247</v>
      </c>
      <c r="I12" s="68">
        <v>4</v>
      </c>
      <c r="J12" s="68">
        <v>4</v>
      </c>
      <c r="K12" s="91">
        <v>351.6</v>
      </c>
      <c r="L12" s="91">
        <v>165.83822038607698</v>
      </c>
      <c r="M12" s="91">
        <v>185.76177961392304</v>
      </c>
      <c r="N12" s="91">
        <v>175.8</v>
      </c>
      <c r="O12" s="91">
        <v>154.70400000000001</v>
      </c>
      <c r="P12" s="91">
        <v>21.096</v>
      </c>
      <c r="Q12" s="85">
        <v>52.74</v>
      </c>
      <c r="R12" s="69" t="s">
        <v>15</v>
      </c>
      <c r="S12" s="86">
        <v>51</v>
      </c>
      <c r="T12" s="69">
        <v>13</v>
      </c>
      <c r="U12" s="68">
        <v>0</v>
      </c>
      <c r="V12" s="68">
        <v>0</v>
      </c>
      <c r="W12" s="68">
        <v>4</v>
      </c>
      <c r="X12" s="68">
        <v>7</v>
      </c>
      <c r="Y12" s="68">
        <v>21</v>
      </c>
      <c r="Z12" s="68">
        <v>4</v>
      </c>
      <c r="AA12" s="68">
        <v>0</v>
      </c>
      <c r="AB12" s="69">
        <v>0</v>
      </c>
      <c r="AC12" s="69">
        <v>0</v>
      </c>
      <c r="AD12" s="70">
        <f>IFERROR(tblTarget[[#This Row],[Cluster Target]]/tblTarget[[#This Row],[Cluster PiN]],0)</f>
        <v>0.10828457037265168</v>
      </c>
      <c r="AE12" s="79">
        <f>_xlfn.XLOOKUP(tblTarget[[#This Row],[ID]],tblResponse[ID],tblResponse[2024 Projected reached (Dec 2024)])</f>
        <v>0</v>
      </c>
      <c r="AF12" s="79">
        <f>_xlfn.XLOOKUP(tblTarget[[#This Row],[ID]],tblResponse[ID],tblResponse[2024 Intercluster reached -August RPM])</f>
        <v>54410.937968012266</v>
      </c>
      <c r="AG12" s="79">
        <v>6</v>
      </c>
      <c r="AH12" s="79"/>
      <c r="AI12" s="79"/>
      <c r="AJ12" s="70" t="str">
        <f>IF(tblTarget[[#This Row],[Target to PiN (%)]]&gt;Targ_vs_PiN,"Flagged","")</f>
        <v/>
      </c>
      <c r="AK12" s="69" t="str">
        <f>IF(AND(tblTarget[[#This Row],[Qualifies for exception]]="Flagged",tblTarget[[#This Row],[Target to PiN (%)]]&gt;Targ_severity5),"Flagged","")</f>
        <v/>
      </c>
      <c r="AL12" s="68" t="str">
        <f>IFERROR(IF(AND(tblTarget[[#This Row],[Intercluser Severity]]=4,tblTarget[[#This Row],[Qualifies for exception]]="Flagged",(tblTarget[[#This Row],[Cluster Target]]-tblTarget[[#This Row],[2024 Response capacity up to December]])/tblTarget[[#This Row],[Cluster Target]]&gt;Diff_severity4),"Flagged",""),"No target")</f>
        <v/>
      </c>
      <c r="AM12" s="68" t="str">
        <f>IFERROR(IF(AND(tblTarget[[#This Row],[Intercluser Severity]]=3,tblTarget[[#This Row],[Qualifies for exception]]="Flagged",(tblTarget[[#This Row],[Cluster Target]]-tblTarget[[#This Row],[2024 Response capacity up to December]])/tblTarget[[#This Row],[Cluster Target]]&gt;Diff_severity3),"Flagged",""),"No target")</f>
        <v/>
      </c>
      <c r="AN12" s="81" t="s">
        <v>1099</v>
      </c>
      <c r="AO12" s="81"/>
      <c r="AP12" s="81" t="s">
        <v>15</v>
      </c>
      <c r="AQ12" s="81" t="s">
        <v>1098</v>
      </c>
    </row>
    <row r="13" spans="1:43" ht="15.95" customHeight="1" x14ac:dyDescent="0.2">
      <c r="A13" s="62" t="s">
        <v>450</v>
      </c>
      <c r="B13" s="63" t="s">
        <v>26</v>
      </c>
      <c r="C13" s="64" t="s">
        <v>27</v>
      </c>
      <c r="D13" s="63" t="s">
        <v>26</v>
      </c>
      <c r="E13" s="64" t="s">
        <v>41</v>
      </c>
      <c r="F13" s="65">
        <v>13880</v>
      </c>
      <c r="G13" s="66" t="s">
        <v>30</v>
      </c>
      <c r="H13" s="67">
        <v>3160</v>
      </c>
      <c r="I13" s="68">
        <v>4</v>
      </c>
      <c r="J13" s="68">
        <v>4</v>
      </c>
      <c r="K13" s="91">
        <v>124</v>
      </c>
      <c r="L13" s="91">
        <v>58.065085636560475</v>
      </c>
      <c r="M13" s="91">
        <v>65.934914363439532</v>
      </c>
      <c r="N13" s="91">
        <v>62</v>
      </c>
      <c r="O13" s="91">
        <v>54.56</v>
      </c>
      <c r="P13" s="91">
        <v>7.4399999999999995</v>
      </c>
      <c r="Q13" s="85">
        <v>18.599999999999998</v>
      </c>
      <c r="R13" s="69" t="s">
        <v>15</v>
      </c>
      <c r="S13" s="86">
        <v>18</v>
      </c>
      <c r="T13" s="69">
        <v>4</v>
      </c>
      <c r="U13" s="68">
        <v>0</v>
      </c>
      <c r="V13" s="68">
        <v>0</v>
      </c>
      <c r="W13" s="68">
        <v>1</v>
      </c>
      <c r="X13" s="68">
        <v>2</v>
      </c>
      <c r="Y13" s="68">
        <v>7</v>
      </c>
      <c r="Z13" s="68">
        <v>1</v>
      </c>
      <c r="AA13" s="68">
        <v>0</v>
      </c>
      <c r="AB13" s="69">
        <v>0</v>
      </c>
      <c r="AC13" s="69">
        <v>0</v>
      </c>
      <c r="AD13" s="70">
        <f>IFERROR(tblTarget[[#This Row],[Cluster Target]]/tblTarget[[#This Row],[Cluster PiN]],0)</f>
        <v>3.9240506329113925E-2</v>
      </c>
      <c r="AE13" s="79">
        <f>_xlfn.XLOOKUP(tblTarget[[#This Row],[ID]],tblResponse[ID],tblResponse[2024 Projected reached (Dec 2024)])</f>
        <v>0</v>
      </c>
      <c r="AF13" s="79">
        <f>_xlfn.XLOOKUP(tblTarget[[#This Row],[ID]],tblResponse[ID],tblResponse[2024 Intercluster reached -August RPM])</f>
        <v>69852.674008799178</v>
      </c>
      <c r="AG13" s="79">
        <v>1</v>
      </c>
      <c r="AH13" s="79"/>
      <c r="AI13" s="79"/>
      <c r="AJ13" s="70" t="str">
        <f>IF(tblTarget[[#This Row],[Target to PiN (%)]]&gt;Targ_vs_PiN,"Flagged","")</f>
        <v/>
      </c>
      <c r="AK13" s="69" t="str">
        <f>IF(AND(tblTarget[[#This Row],[Qualifies for exception]]="Flagged",tblTarget[[#This Row],[Target to PiN (%)]]&gt;Targ_severity5),"Flagged","")</f>
        <v/>
      </c>
      <c r="AL13" s="68" t="str">
        <f>IFERROR(IF(AND(tblTarget[[#This Row],[Intercluser Severity]]=4,tblTarget[[#This Row],[Qualifies for exception]]="Flagged",(tblTarget[[#This Row],[Cluster Target]]-tblTarget[[#This Row],[2024 Response capacity up to December]])/tblTarget[[#This Row],[Cluster Target]]&gt;Diff_severity4),"Flagged",""),"No target")</f>
        <v/>
      </c>
      <c r="AM13" s="68" t="str">
        <f>IFERROR(IF(AND(tblTarget[[#This Row],[Intercluser Severity]]=3,tblTarget[[#This Row],[Qualifies for exception]]="Flagged",(tblTarget[[#This Row],[Cluster Target]]-tblTarget[[#This Row],[2024 Response capacity up to December]])/tblTarget[[#This Row],[Cluster Target]]&gt;Diff_severity3),"Flagged",""),"No target")</f>
        <v/>
      </c>
      <c r="AN13" s="81" t="s">
        <v>15</v>
      </c>
      <c r="AO13" s="81"/>
      <c r="AP13" s="81" t="s">
        <v>15</v>
      </c>
      <c r="AQ13" s="81" t="s">
        <v>1098</v>
      </c>
    </row>
    <row r="14" spans="1:43" ht="15.95" hidden="1" customHeight="1" x14ac:dyDescent="0.2">
      <c r="A14" s="62" t="s">
        <v>451</v>
      </c>
      <c r="B14" s="63" t="s">
        <v>42</v>
      </c>
      <c r="C14" s="64" t="s">
        <v>43</v>
      </c>
      <c r="D14" s="63" t="s">
        <v>44</v>
      </c>
      <c r="E14" s="64" t="s">
        <v>45</v>
      </c>
      <c r="F14" s="65">
        <v>30263</v>
      </c>
      <c r="G14" s="66" t="s">
        <v>30</v>
      </c>
      <c r="H14" s="67">
        <v>19904</v>
      </c>
      <c r="I14" s="68">
        <v>3</v>
      </c>
      <c r="J14" s="68">
        <v>4</v>
      </c>
      <c r="K14" s="91">
        <v>6369.6</v>
      </c>
      <c r="L14" s="91">
        <v>3001.9875799583924</v>
      </c>
      <c r="M14" s="91">
        <v>3367.6124200416079</v>
      </c>
      <c r="N14" s="91">
        <v>3184.8</v>
      </c>
      <c r="O14" s="91">
        <v>2802.6240000000003</v>
      </c>
      <c r="P14" s="91">
        <v>382.17599999999999</v>
      </c>
      <c r="Q14" s="85">
        <v>955.44</v>
      </c>
      <c r="R14" s="69" t="s">
        <v>1107</v>
      </c>
      <c r="S14" s="86">
        <v>917</v>
      </c>
      <c r="T14" s="69">
        <v>229</v>
      </c>
      <c r="U14" s="68">
        <v>0</v>
      </c>
      <c r="V14" s="68">
        <v>0</v>
      </c>
      <c r="W14" s="68">
        <v>64</v>
      </c>
      <c r="X14" s="68">
        <v>127</v>
      </c>
      <c r="Y14" s="68">
        <v>382</v>
      </c>
      <c r="Z14" s="68">
        <v>64</v>
      </c>
      <c r="AA14" s="68">
        <v>0</v>
      </c>
      <c r="AB14" s="69">
        <v>0</v>
      </c>
      <c r="AC14" s="69">
        <v>0</v>
      </c>
      <c r="AD14" s="70">
        <f>IFERROR(tblTarget[[#This Row],[Cluster Target]]/tblTarget[[#This Row],[Cluster PiN]],0)</f>
        <v>0.32001607717041802</v>
      </c>
      <c r="AE14" s="79">
        <f>_xlfn.XLOOKUP(tblTarget[[#This Row],[ID]],tblResponse[ID],tblResponse[2024 Projected reached (Dec 2024)])</f>
        <v>0</v>
      </c>
      <c r="AF14" s="79">
        <f>_xlfn.XLOOKUP(tblTarget[[#This Row],[ID]],tblResponse[ID],tblResponse[2024 Intercluster reached -August RPM])</f>
        <v>3113.3942903131615</v>
      </c>
      <c r="AG14" s="79">
        <v>1</v>
      </c>
      <c r="AH14" s="79"/>
      <c r="AI14" s="79"/>
      <c r="AJ14" s="70" t="str">
        <f>IF(tblTarget[[#This Row],[Target to PiN (%)]]&gt;Targ_vs_PiN,"Flagged","")</f>
        <v/>
      </c>
      <c r="AK14" s="69" t="str">
        <f>IF(AND(tblTarget[[#This Row],[Qualifies for exception]]="Flagged",tblTarget[[#This Row],[Target to PiN (%)]]&gt;Targ_severity5),"Flagged","")</f>
        <v/>
      </c>
      <c r="AL14" s="68" t="str">
        <f>IFERROR(IF(AND(tblTarget[[#This Row],[Intercluser Severity]]=4,tblTarget[[#This Row],[Qualifies for exception]]="Flagged",(tblTarget[[#This Row],[Cluster Target]]-tblTarget[[#This Row],[2024 Response capacity up to December]])/tblTarget[[#This Row],[Cluster Target]]&gt;Diff_severity4),"Flagged",""),"No target")</f>
        <v>Flagged</v>
      </c>
      <c r="AM14" s="68" t="str">
        <f>IFERROR(IF(AND(tblTarget[[#This Row],[Intercluser Severity]]=3,tblTarget[[#This Row],[Qualifies for exception]]="Flagged",(tblTarget[[#This Row],[Cluster Target]]-tblTarget[[#This Row],[2024 Response capacity up to December]])/tblTarget[[#This Row],[Cluster Target]]&gt;Diff_severity3),"Flagged",""),"No target")</f>
        <v/>
      </c>
      <c r="AN14" s="81" t="s">
        <v>1099</v>
      </c>
      <c r="AO14" s="81"/>
      <c r="AP14" s="81" t="s">
        <v>1099</v>
      </c>
      <c r="AQ14" s="81" t="s">
        <v>1107</v>
      </c>
    </row>
    <row r="15" spans="1:43" ht="15.95" customHeight="1" x14ac:dyDescent="0.2">
      <c r="A15" s="62" t="s">
        <v>452</v>
      </c>
      <c r="B15" s="63" t="s">
        <v>42</v>
      </c>
      <c r="C15" s="64" t="s">
        <v>43</v>
      </c>
      <c r="D15" s="63" t="s">
        <v>46</v>
      </c>
      <c r="E15" s="64" t="s">
        <v>47</v>
      </c>
      <c r="F15" s="65">
        <v>171329</v>
      </c>
      <c r="G15" s="66" t="s">
        <v>30</v>
      </c>
      <c r="H15" s="67">
        <v>79157</v>
      </c>
      <c r="I15" s="68">
        <v>4</v>
      </c>
      <c r="J15" s="68">
        <v>5</v>
      </c>
      <c r="K15" s="91">
        <v>50660.800000000003</v>
      </c>
      <c r="L15" s="91">
        <v>25544.138107878658</v>
      </c>
      <c r="M15" s="91">
        <v>25116.661892121345</v>
      </c>
      <c r="N15" s="91">
        <v>25330.400000000001</v>
      </c>
      <c r="O15" s="91">
        <v>22290.752</v>
      </c>
      <c r="P15" s="91">
        <v>3039.6480000000001</v>
      </c>
      <c r="Q15" s="85">
        <v>7599.12</v>
      </c>
      <c r="R15" s="69" t="s">
        <v>15</v>
      </c>
      <c r="S15" s="86">
        <v>7295</v>
      </c>
      <c r="T15" s="69">
        <v>1824</v>
      </c>
      <c r="U15" s="68">
        <v>0</v>
      </c>
      <c r="V15" s="68">
        <v>0</v>
      </c>
      <c r="W15" s="68">
        <v>507</v>
      </c>
      <c r="X15" s="68">
        <v>1013</v>
      </c>
      <c r="Y15" s="68">
        <v>3040</v>
      </c>
      <c r="Z15" s="68">
        <v>507</v>
      </c>
      <c r="AA15" s="68">
        <v>0</v>
      </c>
      <c r="AB15" s="69">
        <v>0</v>
      </c>
      <c r="AC15" s="69">
        <v>0</v>
      </c>
      <c r="AD15" s="70">
        <f>IFERROR(tblTarget[[#This Row],[Cluster Target]]/tblTarget[[#This Row],[Cluster PiN]],0)</f>
        <v>0.64000404259888577</v>
      </c>
      <c r="AE15" s="79">
        <f>_xlfn.XLOOKUP(tblTarget[[#This Row],[ID]],tblResponse[ID],tblResponse[2024 Projected reached (Dec 2024)])</f>
        <v>3335</v>
      </c>
      <c r="AF15" s="79">
        <f>_xlfn.XLOOKUP(tblTarget[[#This Row],[ID]],tblResponse[ID],tblResponse[2024 Intercluster reached -August RPM])</f>
        <v>110436.6431319892</v>
      </c>
      <c r="AG15" s="79">
        <v>5</v>
      </c>
      <c r="AH15" s="79"/>
      <c r="AI15" s="79"/>
      <c r="AJ15" s="70" t="str">
        <f>IF(tblTarget[[#This Row],[Target to PiN (%)]]&gt;Targ_vs_PiN,"Flagged","")</f>
        <v/>
      </c>
      <c r="AK15" s="69" t="str">
        <f>IF(AND(tblTarget[[#This Row],[Qualifies for exception]]="Flagged",tblTarget[[#This Row],[Target to PiN (%)]]&gt;Targ_severity5),"Flagged","")</f>
        <v/>
      </c>
      <c r="AL15" s="68" t="str">
        <f>IFERROR(IF(AND(tblTarget[[#This Row],[Intercluser Severity]]=4,tblTarget[[#This Row],[Qualifies for exception]]="Flagged",(tblTarget[[#This Row],[Cluster Target]]-tblTarget[[#This Row],[2024 Response capacity up to December]])/tblTarget[[#This Row],[Cluster Target]]&gt;Diff_severity4),"Flagged",""),"No target")</f>
        <v/>
      </c>
      <c r="AM15" s="68" t="str">
        <f>IFERROR(IF(AND(tblTarget[[#This Row],[Intercluser Severity]]=3,tblTarget[[#This Row],[Qualifies for exception]]="Flagged",(tblTarget[[#This Row],[Cluster Target]]-tblTarget[[#This Row],[2024 Response capacity up to December]])/tblTarget[[#This Row],[Cluster Target]]&gt;Diff_severity3),"Flagged",""),"No target")</f>
        <v/>
      </c>
      <c r="AN15" s="81" t="s">
        <v>15</v>
      </c>
      <c r="AO15" s="81"/>
      <c r="AP15" s="81" t="s">
        <v>1099</v>
      </c>
      <c r="AQ15" s="81" t="s">
        <v>1098</v>
      </c>
    </row>
    <row r="16" spans="1:43" ht="15.95" customHeight="1" x14ac:dyDescent="0.2">
      <c r="A16" s="62" t="s">
        <v>453</v>
      </c>
      <c r="B16" s="63" t="s">
        <v>42</v>
      </c>
      <c r="C16" s="64" t="s">
        <v>43</v>
      </c>
      <c r="D16" s="63" t="s">
        <v>48</v>
      </c>
      <c r="E16" s="64" t="s">
        <v>49</v>
      </c>
      <c r="F16" s="65">
        <v>10045</v>
      </c>
      <c r="G16" s="66" t="s">
        <v>30</v>
      </c>
      <c r="H16" s="67">
        <v>9077</v>
      </c>
      <c r="I16" s="68">
        <v>3</v>
      </c>
      <c r="J16" s="68">
        <v>4</v>
      </c>
      <c r="K16" s="91">
        <v>363</v>
      </c>
      <c r="L16" s="91">
        <v>180.32806360440267</v>
      </c>
      <c r="M16" s="91">
        <v>182.67193639559733</v>
      </c>
      <c r="N16" s="91">
        <v>181.5</v>
      </c>
      <c r="O16" s="91">
        <v>159.72</v>
      </c>
      <c r="P16" s="91">
        <v>21.779999999999998</v>
      </c>
      <c r="Q16" s="85">
        <v>54.449999999999996</v>
      </c>
      <c r="R16" s="69" t="s">
        <v>15</v>
      </c>
      <c r="S16" s="86">
        <v>52</v>
      </c>
      <c r="T16" s="69">
        <v>13</v>
      </c>
      <c r="U16" s="68">
        <v>0</v>
      </c>
      <c r="V16" s="68">
        <v>0</v>
      </c>
      <c r="W16" s="68">
        <v>4</v>
      </c>
      <c r="X16" s="68">
        <v>7</v>
      </c>
      <c r="Y16" s="68">
        <v>22</v>
      </c>
      <c r="Z16" s="68">
        <v>4</v>
      </c>
      <c r="AA16" s="68">
        <v>0</v>
      </c>
      <c r="AB16" s="69">
        <v>0</v>
      </c>
      <c r="AC16" s="69">
        <v>0</v>
      </c>
      <c r="AD16" s="70">
        <f>IFERROR(tblTarget[[#This Row],[Cluster Target]]/tblTarget[[#This Row],[Cluster PiN]],0)</f>
        <v>3.9991186515368517E-2</v>
      </c>
      <c r="AE16" s="79">
        <f>_xlfn.XLOOKUP(tblTarget[[#This Row],[ID]],tblResponse[ID],tblResponse[2024 Projected reached (Dec 2024)])</f>
        <v>0</v>
      </c>
      <c r="AF16" s="79">
        <f>_xlfn.XLOOKUP(tblTarget[[#This Row],[ID]],tblResponse[ID],tblResponse[2024 Intercluster reached -August RPM])</f>
        <v>1342.6075602496533</v>
      </c>
      <c r="AG16" s="79">
        <v>1</v>
      </c>
      <c r="AH16" s="79"/>
      <c r="AI16" s="79"/>
      <c r="AJ16" s="70" t="str">
        <f>IF(tblTarget[[#This Row],[Target to PiN (%)]]&gt;Targ_vs_PiN,"Flagged","")</f>
        <v/>
      </c>
      <c r="AK16" s="69" t="str">
        <f>IF(AND(tblTarget[[#This Row],[Qualifies for exception]]="Flagged",tblTarget[[#This Row],[Target to PiN (%)]]&gt;Targ_severity5),"Flagged","")</f>
        <v/>
      </c>
      <c r="AL16" s="68" t="str">
        <f>IFERROR(IF(AND(tblTarget[[#This Row],[Intercluser Severity]]=4,tblTarget[[#This Row],[Qualifies for exception]]="Flagged",(tblTarget[[#This Row],[Cluster Target]]-tblTarget[[#This Row],[2024 Response capacity up to December]])/tblTarget[[#This Row],[Cluster Target]]&gt;Diff_severity4),"Flagged",""),"No target")</f>
        <v/>
      </c>
      <c r="AM16" s="68" t="str">
        <f>IFERROR(IF(AND(tblTarget[[#This Row],[Intercluser Severity]]=3,tblTarget[[#This Row],[Qualifies for exception]]="Flagged",(tblTarget[[#This Row],[Cluster Target]]-tblTarget[[#This Row],[2024 Response capacity up to December]])/tblTarget[[#This Row],[Cluster Target]]&gt;Diff_severity3),"Flagged",""),"No target")</f>
        <v/>
      </c>
      <c r="AN16" s="81" t="s">
        <v>1099</v>
      </c>
      <c r="AO16" s="81"/>
      <c r="AP16" s="81" t="s">
        <v>15</v>
      </c>
      <c r="AQ16" s="81" t="s">
        <v>1098</v>
      </c>
    </row>
    <row r="17" spans="1:43" ht="15.95" hidden="1" customHeight="1" x14ac:dyDescent="0.2">
      <c r="A17" s="62" t="s">
        <v>454</v>
      </c>
      <c r="B17" s="63" t="s">
        <v>42</v>
      </c>
      <c r="C17" s="64" t="s">
        <v>43</v>
      </c>
      <c r="D17" s="63" t="s">
        <v>50</v>
      </c>
      <c r="E17" s="64" t="s">
        <v>51</v>
      </c>
      <c r="F17" s="65">
        <v>6255</v>
      </c>
      <c r="G17" s="66" t="s">
        <v>30</v>
      </c>
      <c r="H17" s="67">
        <v>1246</v>
      </c>
      <c r="I17" s="68">
        <v>3</v>
      </c>
      <c r="J17" s="68">
        <v>4</v>
      </c>
      <c r="K17" s="91">
        <v>25</v>
      </c>
      <c r="L17" s="91">
        <v>12.082834928229664</v>
      </c>
      <c r="M17" s="91">
        <v>12.917165071770334</v>
      </c>
      <c r="N17" s="91">
        <v>12.5</v>
      </c>
      <c r="O17" s="91">
        <v>11</v>
      </c>
      <c r="P17" s="91">
        <v>1.5</v>
      </c>
      <c r="Q17" s="85">
        <v>3.75</v>
      </c>
      <c r="R17" s="69" t="s">
        <v>1107</v>
      </c>
      <c r="S17" s="86">
        <v>4</v>
      </c>
      <c r="T17" s="69">
        <v>1</v>
      </c>
      <c r="U17" s="68">
        <v>0</v>
      </c>
      <c r="V17" s="68">
        <v>0</v>
      </c>
      <c r="W17" s="68">
        <v>0</v>
      </c>
      <c r="X17" s="68">
        <v>1</v>
      </c>
      <c r="Y17" s="68">
        <v>2</v>
      </c>
      <c r="Z17" s="68">
        <v>0</v>
      </c>
      <c r="AA17" s="68">
        <v>0</v>
      </c>
      <c r="AB17" s="69">
        <v>0</v>
      </c>
      <c r="AC17" s="69">
        <v>0</v>
      </c>
      <c r="AD17" s="70">
        <f>IFERROR(tblTarget[[#This Row],[Cluster Target]]/tblTarget[[#This Row],[Cluster PiN]],0)</f>
        <v>2.0064205457463884E-2</v>
      </c>
      <c r="AE17" s="79">
        <f>_xlfn.XLOOKUP(tblTarget[[#This Row],[ID]],tblResponse[ID],tblResponse[2024 Projected reached (Dec 2024)])</f>
        <v>0</v>
      </c>
      <c r="AF17" s="79">
        <f>_xlfn.XLOOKUP(tblTarget[[#This Row],[ID]],tblResponse[ID],tblResponse[2024 Intercluster reached -August RPM])</f>
        <v>14211.77038632163</v>
      </c>
      <c r="AG17" s="79">
        <v>2</v>
      </c>
      <c r="AH17" s="79"/>
      <c r="AI17" s="79"/>
      <c r="AJ17" s="70" t="str">
        <f>IF(tblTarget[[#This Row],[Target to PiN (%)]]&gt;Targ_vs_PiN,"Flagged","")</f>
        <v/>
      </c>
      <c r="AK17" s="69" t="str">
        <f>IF(AND(tblTarget[[#This Row],[Qualifies for exception]]="Flagged",tblTarget[[#This Row],[Target to PiN (%)]]&gt;Targ_severity5),"Flagged","")</f>
        <v/>
      </c>
      <c r="AL17" s="68" t="str">
        <f>IFERROR(IF(AND(tblTarget[[#This Row],[Intercluser Severity]]=4,tblTarget[[#This Row],[Qualifies for exception]]="Flagged",(tblTarget[[#This Row],[Cluster Target]]-tblTarget[[#This Row],[2024 Response capacity up to December]])/tblTarget[[#This Row],[Cluster Target]]&gt;Diff_severity4),"Flagged",""),"No target")</f>
        <v>Flagged</v>
      </c>
      <c r="AM17" s="68" t="str">
        <f>IFERROR(IF(AND(tblTarget[[#This Row],[Intercluser Severity]]=3,tblTarget[[#This Row],[Qualifies for exception]]="Flagged",(tblTarget[[#This Row],[Cluster Target]]-tblTarget[[#This Row],[2024 Response capacity up to December]])/tblTarget[[#This Row],[Cluster Target]]&gt;Diff_severity3),"Flagged",""),"No target")</f>
        <v/>
      </c>
      <c r="AN17" s="81" t="s">
        <v>1099</v>
      </c>
      <c r="AO17" s="81"/>
      <c r="AP17" s="81" t="s">
        <v>1099</v>
      </c>
      <c r="AQ17" s="81" t="s">
        <v>1107</v>
      </c>
    </row>
    <row r="18" spans="1:43" ht="15.95" hidden="1" customHeight="1" x14ac:dyDescent="0.2">
      <c r="A18" s="62" t="s">
        <v>455</v>
      </c>
      <c r="B18" s="63" t="s">
        <v>42</v>
      </c>
      <c r="C18" s="64" t="s">
        <v>43</v>
      </c>
      <c r="D18" s="63" t="s">
        <v>52</v>
      </c>
      <c r="E18" s="64" t="s">
        <v>53</v>
      </c>
      <c r="F18" s="65">
        <v>13075</v>
      </c>
      <c r="G18" s="66" t="s">
        <v>30</v>
      </c>
      <c r="H18" s="67">
        <v>9042</v>
      </c>
      <c r="I18" s="68">
        <v>3</v>
      </c>
      <c r="J18" s="68">
        <v>4</v>
      </c>
      <c r="K18" s="91">
        <v>723.40000000000009</v>
      </c>
      <c r="L18" s="91">
        <v>355.65772295039841</v>
      </c>
      <c r="M18" s="91">
        <v>367.74227704960174</v>
      </c>
      <c r="N18" s="91">
        <v>361.70000000000005</v>
      </c>
      <c r="O18" s="91">
        <v>318.29600000000005</v>
      </c>
      <c r="P18" s="91">
        <v>43.404000000000003</v>
      </c>
      <c r="Q18" s="85">
        <v>108.51</v>
      </c>
      <c r="R18" s="69" t="s">
        <v>1107</v>
      </c>
      <c r="S18" s="86">
        <v>104</v>
      </c>
      <c r="T18" s="69">
        <v>26</v>
      </c>
      <c r="U18" s="68">
        <v>0</v>
      </c>
      <c r="V18" s="68">
        <v>0</v>
      </c>
      <c r="W18" s="68">
        <v>7</v>
      </c>
      <c r="X18" s="68">
        <v>14</v>
      </c>
      <c r="Y18" s="68">
        <v>43</v>
      </c>
      <c r="Z18" s="68">
        <v>7</v>
      </c>
      <c r="AA18" s="68">
        <v>0</v>
      </c>
      <c r="AB18" s="69">
        <v>0</v>
      </c>
      <c r="AC18" s="69">
        <v>0</v>
      </c>
      <c r="AD18" s="70">
        <f>IFERROR(tblTarget[[#This Row],[Cluster Target]]/tblTarget[[#This Row],[Cluster PiN]],0)</f>
        <v>8.0004423800044244E-2</v>
      </c>
      <c r="AE18" s="79">
        <f>_xlfn.XLOOKUP(tblTarget[[#This Row],[ID]],tblResponse[ID],tblResponse[2024 Projected reached (Dec 2024)])</f>
        <v>0</v>
      </c>
      <c r="AF18" s="79">
        <f>_xlfn.XLOOKUP(tblTarget[[#This Row],[ID]],tblResponse[ID],tblResponse[2024 Intercluster reached -August RPM])</f>
        <v>1083.0414295291628</v>
      </c>
      <c r="AG18" s="79">
        <v>1</v>
      </c>
      <c r="AH18" s="79"/>
      <c r="AI18" s="79"/>
      <c r="AJ18" s="70" t="str">
        <f>IF(tblTarget[[#This Row],[Target to PiN (%)]]&gt;Targ_vs_PiN,"Flagged","")</f>
        <v/>
      </c>
      <c r="AK18" s="69" t="str">
        <f>IF(AND(tblTarget[[#This Row],[Qualifies for exception]]="Flagged",tblTarget[[#This Row],[Target to PiN (%)]]&gt;Targ_severity5),"Flagged","")</f>
        <v/>
      </c>
      <c r="AL18" s="68" t="str">
        <f>IFERROR(IF(AND(tblTarget[[#This Row],[Intercluser Severity]]=4,tblTarget[[#This Row],[Qualifies for exception]]="Flagged",(tblTarget[[#This Row],[Cluster Target]]-tblTarget[[#This Row],[2024 Response capacity up to December]])/tblTarget[[#This Row],[Cluster Target]]&gt;Diff_severity4),"Flagged",""),"No target")</f>
        <v>Flagged</v>
      </c>
      <c r="AM18" s="68" t="str">
        <f>IFERROR(IF(AND(tblTarget[[#This Row],[Intercluser Severity]]=3,tblTarget[[#This Row],[Qualifies for exception]]="Flagged",(tblTarget[[#This Row],[Cluster Target]]-tblTarget[[#This Row],[2024 Response capacity up to December]])/tblTarget[[#This Row],[Cluster Target]]&gt;Diff_severity3),"Flagged",""),"No target")</f>
        <v/>
      </c>
      <c r="AN18" s="81" t="s">
        <v>1099</v>
      </c>
      <c r="AO18" s="81"/>
      <c r="AP18" s="81" t="s">
        <v>1099</v>
      </c>
      <c r="AQ18" s="81" t="s">
        <v>1107</v>
      </c>
    </row>
    <row r="19" spans="1:43" ht="15.95" customHeight="1" x14ac:dyDescent="0.2">
      <c r="A19" s="62" t="s">
        <v>456</v>
      </c>
      <c r="B19" s="63" t="s">
        <v>42</v>
      </c>
      <c r="C19" s="64" t="s">
        <v>43</v>
      </c>
      <c r="D19" s="63" t="s">
        <v>54</v>
      </c>
      <c r="E19" s="64" t="s">
        <v>55</v>
      </c>
      <c r="F19" s="65">
        <v>1946</v>
      </c>
      <c r="G19" s="66" t="s">
        <v>30</v>
      </c>
      <c r="H19" s="67">
        <v>700</v>
      </c>
      <c r="I19" s="68">
        <v>3</v>
      </c>
      <c r="J19" s="68">
        <v>3</v>
      </c>
      <c r="K19" s="91">
        <v>0</v>
      </c>
      <c r="L19" s="91">
        <v>0</v>
      </c>
      <c r="M19" s="91">
        <v>0</v>
      </c>
      <c r="N19" s="91">
        <v>0</v>
      </c>
      <c r="O19" s="91">
        <v>0</v>
      </c>
      <c r="P19" s="91">
        <v>0</v>
      </c>
      <c r="Q19" s="85">
        <v>0</v>
      </c>
      <c r="R19" s="69" t="s">
        <v>15</v>
      </c>
      <c r="S19" s="86">
        <v>0</v>
      </c>
      <c r="T19" s="69">
        <v>0</v>
      </c>
      <c r="U19" s="68">
        <v>0</v>
      </c>
      <c r="V19" s="68">
        <v>0</v>
      </c>
      <c r="W19" s="68">
        <v>0</v>
      </c>
      <c r="X19" s="68">
        <v>0</v>
      </c>
      <c r="Y19" s="68">
        <v>0</v>
      </c>
      <c r="Z19" s="68">
        <v>0</v>
      </c>
      <c r="AA19" s="68">
        <v>0</v>
      </c>
      <c r="AB19" s="69">
        <v>0</v>
      </c>
      <c r="AC19" s="69">
        <v>0</v>
      </c>
      <c r="AD19" s="70">
        <f>IFERROR(tblTarget[[#This Row],[Cluster Target]]/tblTarget[[#This Row],[Cluster PiN]],0)</f>
        <v>0</v>
      </c>
      <c r="AE19" s="79">
        <f>_xlfn.XLOOKUP(tblTarget[[#This Row],[ID]],tblResponse[ID],tblResponse[2024 Projected reached (Dec 2024)])</f>
        <v>0</v>
      </c>
      <c r="AF19" s="79">
        <f>_xlfn.XLOOKUP(tblTarget[[#This Row],[ID]],tblResponse[ID],tblResponse[2024 Intercluster reached -August RPM])</f>
        <v>1903.7181716723849</v>
      </c>
      <c r="AG19" s="79">
        <v>1</v>
      </c>
      <c r="AH19" s="79"/>
      <c r="AI19" s="79"/>
      <c r="AJ19" s="70" t="str">
        <f>IF(tblTarget[[#This Row],[Target to PiN (%)]]&gt;Targ_vs_PiN,"Flagged","")</f>
        <v/>
      </c>
      <c r="AK19" s="69" t="str">
        <f>IF(AND(tblTarget[[#This Row],[Qualifies for exception]]="Flagged",tblTarget[[#This Row],[Target to PiN (%)]]&gt;Targ_severity5),"Flagged","")</f>
        <v/>
      </c>
      <c r="AL19" s="68" t="str">
        <f>IFERROR(IF(AND(tblTarget[[#This Row],[Intercluser Severity]]=4,tblTarget[[#This Row],[Qualifies for exception]]="Flagged",(tblTarget[[#This Row],[Cluster Target]]-tblTarget[[#This Row],[2024 Response capacity up to December]])/tblTarget[[#This Row],[Cluster Target]]&gt;Diff_severity4),"Flagged",""),"No target")</f>
        <v>No target</v>
      </c>
      <c r="AM19" s="68" t="str">
        <f>IFERROR(IF(AND(tblTarget[[#This Row],[Intercluser Severity]]=3,tblTarget[[#This Row],[Qualifies for exception]]="Flagged",(tblTarget[[#This Row],[Cluster Target]]-tblTarget[[#This Row],[2024 Response capacity up to December]])/tblTarget[[#This Row],[Cluster Target]]&gt;Diff_severity3),"Flagged",""),"No target")</f>
        <v>No target</v>
      </c>
      <c r="AN19" s="81" t="s">
        <v>1099</v>
      </c>
      <c r="AO19" s="81" t="s">
        <v>15</v>
      </c>
      <c r="AP19" s="81" t="s">
        <v>1099</v>
      </c>
      <c r="AQ19" s="81" t="s">
        <v>1098</v>
      </c>
    </row>
    <row r="20" spans="1:43" ht="15.95" hidden="1" customHeight="1" x14ac:dyDescent="0.2">
      <c r="A20" s="62" t="s">
        <v>457</v>
      </c>
      <c r="B20" s="63" t="s">
        <v>42</v>
      </c>
      <c r="C20" s="64" t="s">
        <v>43</v>
      </c>
      <c r="D20" s="63" t="s">
        <v>56</v>
      </c>
      <c r="E20" s="64" t="s">
        <v>57</v>
      </c>
      <c r="F20" s="65">
        <v>1360</v>
      </c>
      <c r="G20" s="66" t="s">
        <v>30</v>
      </c>
      <c r="H20" s="67">
        <v>231</v>
      </c>
      <c r="I20" s="68">
        <v>3</v>
      </c>
      <c r="J20" s="68">
        <v>4</v>
      </c>
      <c r="K20" s="91">
        <v>27.8</v>
      </c>
      <c r="L20" s="91">
        <v>14.164751415562966</v>
      </c>
      <c r="M20" s="91">
        <v>13.635248584437035</v>
      </c>
      <c r="N20" s="91">
        <v>13.9</v>
      </c>
      <c r="O20" s="91">
        <v>12.232000000000001</v>
      </c>
      <c r="P20" s="91">
        <v>1.6679999999999999</v>
      </c>
      <c r="Q20" s="85">
        <v>4.17</v>
      </c>
      <c r="R20" s="69" t="s">
        <v>1107</v>
      </c>
      <c r="S20" s="86">
        <v>4</v>
      </c>
      <c r="T20" s="69">
        <v>1</v>
      </c>
      <c r="U20" s="68">
        <v>0</v>
      </c>
      <c r="V20" s="68">
        <v>0</v>
      </c>
      <c r="W20" s="68">
        <v>0</v>
      </c>
      <c r="X20" s="68">
        <v>1</v>
      </c>
      <c r="Y20" s="68">
        <v>2</v>
      </c>
      <c r="Z20" s="68">
        <v>0</v>
      </c>
      <c r="AA20" s="68">
        <v>0</v>
      </c>
      <c r="AB20" s="69">
        <v>0</v>
      </c>
      <c r="AC20" s="69">
        <v>0</v>
      </c>
      <c r="AD20" s="70">
        <f>IFERROR(tblTarget[[#This Row],[Cluster Target]]/tblTarget[[#This Row],[Cluster PiN]],0)</f>
        <v>0.12034632034632035</v>
      </c>
      <c r="AE20" s="79">
        <f>_xlfn.XLOOKUP(tblTarget[[#This Row],[ID]],tblResponse[ID],tblResponse[2024 Projected reached (Dec 2024)])</f>
        <v>0</v>
      </c>
      <c r="AF20" s="79">
        <f>_xlfn.XLOOKUP(tblTarget[[#This Row],[ID]],tblResponse[ID],tblResponse[2024 Intercluster reached -August RPM])</f>
        <v>2448.737082268779</v>
      </c>
      <c r="AG20" s="79">
        <v>2</v>
      </c>
      <c r="AH20" s="79"/>
      <c r="AI20" s="79"/>
      <c r="AJ20" s="70" t="str">
        <f>IF(tblTarget[[#This Row],[Target to PiN (%)]]&gt;Targ_vs_PiN,"Flagged","")</f>
        <v/>
      </c>
      <c r="AK20" s="69" t="str">
        <f>IF(AND(tblTarget[[#This Row],[Qualifies for exception]]="Flagged",tblTarget[[#This Row],[Target to PiN (%)]]&gt;Targ_severity5),"Flagged","")</f>
        <v/>
      </c>
      <c r="AL20" s="68" t="str">
        <f>IFERROR(IF(AND(tblTarget[[#This Row],[Intercluser Severity]]=4,tblTarget[[#This Row],[Qualifies for exception]]="Flagged",(tblTarget[[#This Row],[Cluster Target]]-tblTarget[[#This Row],[2024 Response capacity up to December]])/tblTarget[[#This Row],[Cluster Target]]&gt;Diff_severity4),"Flagged",""),"No target")</f>
        <v>Flagged</v>
      </c>
      <c r="AM20" s="68" t="str">
        <f>IFERROR(IF(AND(tblTarget[[#This Row],[Intercluser Severity]]=3,tblTarget[[#This Row],[Qualifies for exception]]="Flagged",(tblTarget[[#This Row],[Cluster Target]]-tblTarget[[#This Row],[2024 Response capacity up to December]])/tblTarget[[#This Row],[Cluster Target]]&gt;Diff_severity3),"Flagged",""),"No target")</f>
        <v/>
      </c>
      <c r="AN20" s="81" t="s">
        <v>1099</v>
      </c>
      <c r="AO20" s="81"/>
      <c r="AP20" s="81" t="s">
        <v>1099</v>
      </c>
      <c r="AQ20" s="81" t="s">
        <v>1107</v>
      </c>
    </row>
    <row r="21" spans="1:43" ht="15.95" hidden="1" customHeight="1" x14ac:dyDescent="0.2">
      <c r="A21" s="62" t="s">
        <v>458</v>
      </c>
      <c r="B21" s="63" t="s">
        <v>42</v>
      </c>
      <c r="C21" s="64" t="s">
        <v>43</v>
      </c>
      <c r="D21" s="63" t="s">
        <v>58</v>
      </c>
      <c r="E21" s="64" t="s">
        <v>59</v>
      </c>
      <c r="F21" s="65">
        <v>82555</v>
      </c>
      <c r="G21" s="66" t="s">
        <v>30</v>
      </c>
      <c r="H21" s="67">
        <v>61047</v>
      </c>
      <c r="I21" s="68">
        <v>4</v>
      </c>
      <c r="J21" s="68">
        <v>4</v>
      </c>
      <c r="K21" s="91">
        <v>4883.8</v>
      </c>
      <c r="L21" s="91">
        <v>2443.6421876592535</v>
      </c>
      <c r="M21" s="91">
        <v>2440.1578123407467</v>
      </c>
      <c r="N21" s="91">
        <v>2441.9</v>
      </c>
      <c r="O21" s="91">
        <v>2148.8720000000003</v>
      </c>
      <c r="P21" s="91">
        <v>293.02800000000002</v>
      </c>
      <c r="Q21" s="85">
        <v>732.57</v>
      </c>
      <c r="R21" s="69" t="s">
        <v>1107</v>
      </c>
      <c r="S21" s="86">
        <v>703</v>
      </c>
      <c r="T21" s="69">
        <v>176</v>
      </c>
      <c r="U21" s="68">
        <v>0</v>
      </c>
      <c r="V21" s="68">
        <v>0</v>
      </c>
      <c r="W21" s="68">
        <v>49</v>
      </c>
      <c r="X21" s="68">
        <v>98</v>
      </c>
      <c r="Y21" s="68">
        <v>293</v>
      </c>
      <c r="Z21" s="68">
        <v>49</v>
      </c>
      <c r="AA21" s="68">
        <v>0</v>
      </c>
      <c r="AB21" s="69">
        <v>0</v>
      </c>
      <c r="AC21" s="69">
        <v>0</v>
      </c>
      <c r="AD21" s="70">
        <f>IFERROR(tblTarget[[#This Row],[Cluster Target]]/tblTarget[[#This Row],[Cluster PiN]],0)</f>
        <v>8.0000655232853379E-2</v>
      </c>
      <c r="AE21" s="79">
        <f>_xlfn.XLOOKUP(tblTarget[[#This Row],[ID]],tblResponse[ID],tblResponse[2024 Projected reached (Dec 2024)])</f>
        <v>0</v>
      </c>
      <c r="AF21" s="79">
        <f>_xlfn.XLOOKUP(tblTarget[[#This Row],[ID]],tblResponse[ID],tblResponse[2024 Intercluster reached -August RPM])</f>
        <v>10773.743522816265</v>
      </c>
      <c r="AG21" s="79">
        <v>1</v>
      </c>
      <c r="AH21" s="79"/>
      <c r="AI21" s="79"/>
      <c r="AJ21" s="70" t="str">
        <f>IF(tblTarget[[#This Row],[Target to PiN (%)]]&gt;Targ_vs_PiN,"Flagged","")</f>
        <v/>
      </c>
      <c r="AK21" s="69" t="str">
        <f>IF(AND(tblTarget[[#This Row],[Qualifies for exception]]="Flagged",tblTarget[[#This Row],[Target to PiN (%)]]&gt;Targ_severity5),"Flagged","")</f>
        <v/>
      </c>
      <c r="AL21" s="68" t="str">
        <f>IFERROR(IF(AND(tblTarget[[#This Row],[Intercluser Severity]]=4,tblTarget[[#This Row],[Qualifies for exception]]="Flagged",(tblTarget[[#This Row],[Cluster Target]]-tblTarget[[#This Row],[2024 Response capacity up to December]])/tblTarget[[#This Row],[Cluster Target]]&gt;Diff_severity4),"Flagged",""),"No target")</f>
        <v>Flagged</v>
      </c>
      <c r="AM21" s="68" t="str">
        <f>IFERROR(IF(AND(tblTarget[[#This Row],[Intercluser Severity]]=3,tblTarget[[#This Row],[Qualifies for exception]]="Flagged",(tblTarget[[#This Row],[Cluster Target]]-tblTarget[[#This Row],[2024 Response capacity up to December]])/tblTarget[[#This Row],[Cluster Target]]&gt;Diff_severity3),"Flagged",""),"No target")</f>
        <v/>
      </c>
      <c r="AN21" s="81" t="s">
        <v>1099</v>
      </c>
      <c r="AO21" s="81"/>
      <c r="AP21" s="81" t="s">
        <v>1099</v>
      </c>
      <c r="AQ21" s="81" t="s">
        <v>1107</v>
      </c>
    </row>
    <row r="22" spans="1:43" ht="15.95" hidden="1" customHeight="1" x14ac:dyDescent="0.2">
      <c r="A22" s="62" t="s">
        <v>459</v>
      </c>
      <c r="B22" s="63" t="s">
        <v>42</v>
      </c>
      <c r="C22" s="64" t="s">
        <v>43</v>
      </c>
      <c r="D22" s="63" t="s">
        <v>60</v>
      </c>
      <c r="E22" s="64" t="s">
        <v>61</v>
      </c>
      <c r="F22" s="65">
        <v>13232</v>
      </c>
      <c r="G22" s="66" t="s">
        <v>30</v>
      </c>
      <c r="H22" s="67">
        <v>3734</v>
      </c>
      <c r="I22" s="68">
        <v>3</v>
      </c>
      <c r="J22" s="68">
        <v>4</v>
      </c>
      <c r="K22" s="91">
        <v>37.4</v>
      </c>
      <c r="L22" s="91">
        <v>19.113236371836066</v>
      </c>
      <c r="M22" s="91">
        <v>18.286763628163932</v>
      </c>
      <c r="N22" s="91">
        <v>18.7</v>
      </c>
      <c r="O22" s="91">
        <v>16.456</v>
      </c>
      <c r="P22" s="91">
        <v>2.2439999999999998</v>
      </c>
      <c r="Q22" s="85">
        <v>5.6099999999999994</v>
      </c>
      <c r="R22" s="69" t="s">
        <v>1107</v>
      </c>
      <c r="S22" s="86">
        <v>5</v>
      </c>
      <c r="T22" s="69">
        <v>1</v>
      </c>
      <c r="U22" s="68">
        <v>0</v>
      </c>
      <c r="V22" s="68">
        <v>0</v>
      </c>
      <c r="W22" s="68">
        <v>0</v>
      </c>
      <c r="X22" s="68">
        <v>1</v>
      </c>
      <c r="Y22" s="68">
        <v>2</v>
      </c>
      <c r="Z22" s="68">
        <v>0</v>
      </c>
      <c r="AA22" s="68">
        <v>0</v>
      </c>
      <c r="AB22" s="69">
        <v>0</v>
      </c>
      <c r="AC22" s="69">
        <v>0</v>
      </c>
      <c r="AD22" s="70">
        <f>IFERROR(tblTarget[[#This Row],[Cluster Target]]/tblTarget[[#This Row],[Cluster PiN]],0)</f>
        <v>1.0016068559185859E-2</v>
      </c>
      <c r="AE22" s="79">
        <f>_xlfn.XLOOKUP(tblTarget[[#This Row],[ID]],tblResponse[ID],tblResponse[2024 Projected reached (Dec 2024)])</f>
        <v>0</v>
      </c>
      <c r="AF22" s="79">
        <f>_xlfn.XLOOKUP(tblTarget[[#This Row],[ID]],tblResponse[ID],tblResponse[2024 Intercluster reached -August RPM])</f>
        <v>2657.2295538448061</v>
      </c>
      <c r="AG22" s="79">
        <v>1</v>
      </c>
      <c r="AH22" s="79"/>
      <c r="AI22" s="79"/>
      <c r="AJ22" s="70" t="str">
        <f>IF(tblTarget[[#This Row],[Target to PiN (%)]]&gt;Targ_vs_PiN,"Flagged","")</f>
        <v/>
      </c>
      <c r="AK22" s="69" t="str">
        <f>IF(AND(tblTarget[[#This Row],[Qualifies for exception]]="Flagged",tblTarget[[#This Row],[Target to PiN (%)]]&gt;Targ_severity5),"Flagged","")</f>
        <v/>
      </c>
      <c r="AL22" s="68" t="str">
        <f>IFERROR(IF(AND(tblTarget[[#This Row],[Intercluser Severity]]=4,tblTarget[[#This Row],[Qualifies for exception]]="Flagged",(tblTarget[[#This Row],[Cluster Target]]-tblTarget[[#This Row],[2024 Response capacity up to December]])/tblTarget[[#This Row],[Cluster Target]]&gt;Diff_severity4),"Flagged",""),"No target")</f>
        <v>Flagged</v>
      </c>
      <c r="AM22" s="68" t="str">
        <f>IFERROR(IF(AND(tblTarget[[#This Row],[Intercluser Severity]]=3,tblTarget[[#This Row],[Qualifies for exception]]="Flagged",(tblTarget[[#This Row],[Cluster Target]]-tblTarget[[#This Row],[2024 Response capacity up to December]])/tblTarget[[#This Row],[Cluster Target]]&gt;Diff_severity3),"Flagged",""),"No target")</f>
        <v/>
      </c>
      <c r="AN22" s="81" t="s">
        <v>1099</v>
      </c>
      <c r="AO22" s="81"/>
      <c r="AP22" s="81" t="s">
        <v>1099</v>
      </c>
      <c r="AQ22" s="81" t="s">
        <v>1107</v>
      </c>
    </row>
    <row r="23" spans="1:43" ht="15.95" customHeight="1" x14ac:dyDescent="0.2">
      <c r="A23" s="62" t="s">
        <v>460</v>
      </c>
      <c r="B23" s="63" t="s">
        <v>42</v>
      </c>
      <c r="C23" s="64" t="s">
        <v>43</v>
      </c>
      <c r="D23" s="63" t="s">
        <v>62</v>
      </c>
      <c r="E23" s="64" t="s">
        <v>63</v>
      </c>
      <c r="F23" s="65">
        <v>122856</v>
      </c>
      <c r="G23" s="66" t="s">
        <v>30</v>
      </c>
      <c r="H23" s="67">
        <v>109172</v>
      </c>
      <c r="I23" s="68">
        <v>3</v>
      </c>
      <c r="J23" s="68">
        <v>4</v>
      </c>
      <c r="K23" s="91">
        <v>1377.4</v>
      </c>
      <c r="L23" s="91">
        <v>697.7741372422704</v>
      </c>
      <c r="M23" s="91">
        <v>679.62586275772969</v>
      </c>
      <c r="N23" s="91">
        <v>688.7</v>
      </c>
      <c r="O23" s="91">
        <v>606.05600000000004</v>
      </c>
      <c r="P23" s="91">
        <v>82.644000000000005</v>
      </c>
      <c r="Q23" s="85">
        <v>206.61</v>
      </c>
      <c r="R23" s="69" t="s">
        <v>15</v>
      </c>
      <c r="S23" s="86">
        <v>198</v>
      </c>
      <c r="T23" s="69">
        <v>50</v>
      </c>
      <c r="U23" s="68">
        <v>0</v>
      </c>
      <c r="V23" s="68">
        <v>0</v>
      </c>
      <c r="W23" s="68">
        <v>14</v>
      </c>
      <c r="X23" s="68">
        <v>28</v>
      </c>
      <c r="Y23" s="68">
        <v>83</v>
      </c>
      <c r="Z23" s="68">
        <v>14</v>
      </c>
      <c r="AA23" s="68">
        <v>0</v>
      </c>
      <c r="AB23" s="69">
        <v>0</v>
      </c>
      <c r="AC23" s="69">
        <v>0</v>
      </c>
      <c r="AD23" s="70">
        <f>IFERROR(tblTarget[[#This Row],[Cluster Target]]/tblTarget[[#This Row],[Cluster PiN]],0)</f>
        <v>1.2616788187447332E-2</v>
      </c>
      <c r="AE23" s="79">
        <f>_xlfn.XLOOKUP(tblTarget[[#This Row],[ID]],tblResponse[ID],tblResponse[2024 Projected reached (Dec 2024)])</f>
        <v>0</v>
      </c>
      <c r="AF23" s="79">
        <f>_xlfn.XLOOKUP(tblTarget[[#This Row],[ID]],tblResponse[ID],tblResponse[2024 Intercluster reached -August RPM])</f>
        <v>12563.420510371559</v>
      </c>
      <c r="AG23" s="79">
        <v>1</v>
      </c>
      <c r="AH23" s="79"/>
      <c r="AI23" s="79"/>
      <c r="AJ23" s="70" t="str">
        <f>IF(tblTarget[[#This Row],[Target to PiN (%)]]&gt;Targ_vs_PiN,"Flagged","")</f>
        <v/>
      </c>
      <c r="AK23" s="69" t="str">
        <f>IF(AND(tblTarget[[#This Row],[Qualifies for exception]]="Flagged",tblTarget[[#This Row],[Target to PiN (%)]]&gt;Targ_severity5),"Flagged","")</f>
        <v/>
      </c>
      <c r="AL23" s="68" t="str">
        <f>IFERROR(IF(AND(tblTarget[[#This Row],[Intercluser Severity]]=4,tblTarget[[#This Row],[Qualifies for exception]]="Flagged",(tblTarget[[#This Row],[Cluster Target]]-tblTarget[[#This Row],[2024 Response capacity up to December]])/tblTarget[[#This Row],[Cluster Target]]&gt;Diff_severity4),"Flagged",""),"No target")</f>
        <v/>
      </c>
      <c r="AM23" s="68" t="str">
        <f>IFERROR(IF(AND(tblTarget[[#This Row],[Intercluser Severity]]=3,tblTarget[[#This Row],[Qualifies for exception]]="Flagged",(tblTarget[[#This Row],[Cluster Target]]-tblTarget[[#This Row],[2024 Response capacity up to December]])/tblTarget[[#This Row],[Cluster Target]]&gt;Diff_severity3),"Flagged",""),"No target")</f>
        <v/>
      </c>
      <c r="AN23" s="81" t="s">
        <v>1099</v>
      </c>
      <c r="AO23" s="81"/>
      <c r="AP23" s="81" t="s">
        <v>15</v>
      </c>
      <c r="AQ23" s="81" t="s">
        <v>1098</v>
      </c>
    </row>
    <row r="24" spans="1:43" ht="15.95" hidden="1" customHeight="1" x14ac:dyDescent="0.2">
      <c r="A24" s="62" t="s">
        <v>461</v>
      </c>
      <c r="B24" s="63" t="s">
        <v>42</v>
      </c>
      <c r="C24" s="64" t="s">
        <v>43</v>
      </c>
      <c r="D24" s="63" t="s">
        <v>64</v>
      </c>
      <c r="E24" s="64" t="s">
        <v>65</v>
      </c>
      <c r="F24" s="65">
        <v>46779</v>
      </c>
      <c r="G24" s="66" t="s">
        <v>30</v>
      </c>
      <c r="H24" s="67">
        <v>23827</v>
      </c>
      <c r="I24" s="68">
        <v>3</v>
      </c>
      <c r="J24" s="68">
        <v>4</v>
      </c>
      <c r="K24" s="91">
        <v>238.20000000000002</v>
      </c>
      <c r="L24" s="91">
        <v>120.24691033130235</v>
      </c>
      <c r="M24" s="91">
        <v>117.95308966869767</v>
      </c>
      <c r="N24" s="91">
        <v>119.10000000000001</v>
      </c>
      <c r="O24" s="91">
        <v>104.80800000000001</v>
      </c>
      <c r="P24" s="91">
        <v>14.292</v>
      </c>
      <c r="Q24" s="85">
        <v>35.730000000000004</v>
      </c>
      <c r="R24" s="69" t="s">
        <v>1107</v>
      </c>
      <c r="S24" s="86">
        <v>34</v>
      </c>
      <c r="T24" s="69">
        <v>9</v>
      </c>
      <c r="U24" s="68">
        <v>0</v>
      </c>
      <c r="V24" s="68">
        <v>0</v>
      </c>
      <c r="W24" s="68">
        <v>2</v>
      </c>
      <c r="X24" s="68">
        <v>5</v>
      </c>
      <c r="Y24" s="68">
        <v>14</v>
      </c>
      <c r="Z24" s="68">
        <v>2</v>
      </c>
      <c r="AA24" s="68">
        <v>0</v>
      </c>
      <c r="AB24" s="69">
        <v>0</v>
      </c>
      <c r="AC24" s="69">
        <v>0</v>
      </c>
      <c r="AD24" s="70">
        <f>IFERROR(tblTarget[[#This Row],[Cluster Target]]/tblTarget[[#This Row],[Cluster PiN]],0)</f>
        <v>9.9970621563772195E-3</v>
      </c>
      <c r="AE24" s="79">
        <f>_xlfn.XLOOKUP(tblTarget[[#This Row],[ID]],tblResponse[ID],tblResponse[2024 Projected reached (Dec 2024)])</f>
        <v>0</v>
      </c>
      <c r="AF24" s="79">
        <f>_xlfn.XLOOKUP(tblTarget[[#This Row],[ID]],tblResponse[ID],tblResponse[2024 Intercluster reached -August RPM])</f>
        <v>59363.683626692458</v>
      </c>
      <c r="AG24" s="79">
        <v>1</v>
      </c>
      <c r="AH24" s="79"/>
      <c r="AI24" s="79"/>
      <c r="AJ24" s="70" t="str">
        <f>IF(tblTarget[[#This Row],[Target to PiN (%)]]&gt;Targ_vs_PiN,"Flagged","")</f>
        <v/>
      </c>
      <c r="AK24" s="69" t="str">
        <f>IF(AND(tblTarget[[#This Row],[Qualifies for exception]]="Flagged",tblTarget[[#This Row],[Target to PiN (%)]]&gt;Targ_severity5),"Flagged","")</f>
        <v/>
      </c>
      <c r="AL24" s="68" t="str">
        <f>IFERROR(IF(AND(tblTarget[[#This Row],[Intercluser Severity]]=4,tblTarget[[#This Row],[Qualifies for exception]]="Flagged",(tblTarget[[#This Row],[Cluster Target]]-tblTarget[[#This Row],[2024 Response capacity up to December]])/tblTarget[[#This Row],[Cluster Target]]&gt;Diff_severity4),"Flagged",""),"No target")</f>
        <v>Flagged</v>
      </c>
      <c r="AM24" s="68" t="str">
        <f>IFERROR(IF(AND(tblTarget[[#This Row],[Intercluser Severity]]=3,tblTarget[[#This Row],[Qualifies for exception]]="Flagged",(tblTarget[[#This Row],[Cluster Target]]-tblTarget[[#This Row],[2024 Response capacity up to December]])/tblTarget[[#This Row],[Cluster Target]]&gt;Diff_severity3),"Flagged",""),"No target")</f>
        <v/>
      </c>
      <c r="AN24" s="81" t="s">
        <v>1099</v>
      </c>
      <c r="AO24" s="81"/>
      <c r="AP24" s="81" t="s">
        <v>1099</v>
      </c>
      <c r="AQ24" s="81" t="s">
        <v>1107</v>
      </c>
    </row>
    <row r="25" spans="1:43" ht="15.95" hidden="1" customHeight="1" x14ac:dyDescent="0.2">
      <c r="A25" s="62" t="s">
        <v>462</v>
      </c>
      <c r="B25" s="63" t="s">
        <v>42</v>
      </c>
      <c r="C25" s="64" t="s">
        <v>43</v>
      </c>
      <c r="D25" s="63" t="s">
        <v>66</v>
      </c>
      <c r="E25" s="64" t="s">
        <v>67</v>
      </c>
      <c r="F25" s="65">
        <v>65012</v>
      </c>
      <c r="G25" s="66" t="s">
        <v>30</v>
      </c>
      <c r="H25" s="67">
        <v>52519</v>
      </c>
      <c r="I25" s="68">
        <v>3</v>
      </c>
      <c r="J25" s="68">
        <v>4</v>
      </c>
      <c r="K25" s="91">
        <v>4201.6000000000004</v>
      </c>
      <c r="L25" s="91">
        <v>2120.2766300267417</v>
      </c>
      <c r="M25" s="91">
        <v>2081.3233699732582</v>
      </c>
      <c r="N25" s="91">
        <v>2100.8000000000002</v>
      </c>
      <c r="O25" s="91">
        <v>1848.7040000000002</v>
      </c>
      <c r="P25" s="91">
        <v>252.096</v>
      </c>
      <c r="Q25" s="85">
        <v>630.24</v>
      </c>
      <c r="R25" s="69" t="s">
        <v>1107</v>
      </c>
      <c r="S25" s="86">
        <v>605</v>
      </c>
      <c r="T25" s="69">
        <v>151</v>
      </c>
      <c r="U25" s="68">
        <v>0</v>
      </c>
      <c r="V25" s="68">
        <v>0</v>
      </c>
      <c r="W25" s="68">
        <v>42</v>
      </c>
      <c r="X25" s="68">
        <v>84</v>
      </c>
      <c r="Y25" s="68">
        <v>252</v>
      </c>
      <c r="Z25" s="68">
        <v>42</v>
      </c>
      <c r="AA25" s="68">
        <v>0</v>
      </c>
      <c r="AB25" s="69">
        <v>0</v>
      </c>
      <c r="AC25" s="69">
        <v>0</v>
      </c>
      <c r="AD25" s="70">
        <f>IFERROR(tblTarget[[#This Row],[Cluster Target]]/tblTarget[[#This Row],[Cluster PiN]],0)</f>
        <v>8.0001523258249399E-2</v>
      </c>
      <c r="AE25" s="79">
        <f>_xlfn.XLOOKUP(tblTarget[[#This Row],[ID]],tblResponse[ID],tblResponse[2024 Projected reached (Dec 2024)])</f>
        <v>0</v>
      </c>
      <c r="AF25" s="79">
        <f>_xlfn.XLOOKUP(tblTarget[[#This Row],[ID]],tblResponse[ID],tblResponse[2024 Intercluster reached -August RPM])</f>
        <v>6716.5359970800791</v>
      </c>
      <c r="AG25" s="79">
        <v>1</v>
      </c>
      <c r="AH25" s="79"/>
      <c r="AI25" s="79"/>
      <c r="AJ25" s="70" t="str">
        <f>IF(tblTarget[[#This Row],[Target to PiN (%)]]&gt;Targ_vs_PiN,"Flagged","")</f>
        <v/>
      </c>
      <c r="AK25" s="69" t="str">
        <f>IF(AND(tblTarget[[#This Row],[Qualifies for exception]]="Flagged",tblTarget[[#This Row],[Target to PiN (%)]]&gt;Targ_severity5),"Flagged","")</f>
        <v/>
      </c>
      <c r="AL25" s="68" t="str">
        <f>IFERROR(IF(AND(tblTarget[[#This Row],[Intercluser Severity]]=4,tblTarget[[#This Row],[Qualifies for exception]]="Flagged",(tblTarget[[#This Row],[Cluster Target]]-tblTarget[[#This Row],[2024 Response capacity up to December]])/tblTarget[[#This Row],[Cluster Target]]&gt;Diff_severity4),"Flagged",""),"No target")</f>
        <v>Flagged</v>
      </c>
      <c r="AM25" s="68" t="str">
        <f>IFERROR(IF(AND(tblTarget[[#This Row],[Intercluser Severity]]=3,tblTarget[[#This Row],[Qualifies for exception]]="Flagged",(tblTarget[[#This Row],[Cluster Target]]-tblTarget[[#This Row],[2024 Response capacity up to December]])/tblTarget[[#This Row],[Cluster Target]]&gt;Diff_severity3),"Flagged",""),"No target")</f>
        <v/>
      </c>
      <c r="AN25" s="81" t="s">
        <v>1099</v>
      </c>
      <c r="AO25" s="81"/>
      <c r="AP25" s="81" t="s">
        <v>1099</v>
      </c>
      <c r="AQ25" s="81" t="s">
        <v>1107</v>
      </c>
    </row>
    <row r="26" spans="1:43" ht="15.95" customHeight="1" x14ac:dyDescent="0.2">
      <c r="A26" s="62" t="s">
        <v>463</v>
      </c>
      <c r="B26" s="63" t="s">
        <v>42</v>
      </c>
      <c r="C26" s="64" t="s">
        <v>43</v>
      </c>
      <c r="D26" s="63" t="s">
        <v>68</v>
      </c>
      <c r="E26" s="64" t="s">
        <v>69</v>
      </c>
      <c r="F26" s="65">
        <v>38640</v>
      </c>
      <c r="G26" s="66" t="s">
        <v>30</v>
      </c>
      <c r="H26" s="67">
        <v>19288</v>
      </c>
      <c r="I26" s="68">
        <v>3</v>
      </c>
      <c r="J26" s="68">
        <v>4</v>
      </c>
      <c r="K26" s="91">
        <v>1543</v>
      </c>
      <c r="L26" s="91">
        <v>796.25926476206644</v>
      </c>
      <c r="M26" s="91">
        <v>746.74073523793356</v>
      </c>
      <c r="N26" s="91">
        <v>771.5</v>
      </c>
      <c r="O26" s="91">
        <v>678.92</v>
      </c>
      <c r="P26" s="91">
        <v>92.58</v>
      </c>
      <c r="Q26" s="85">
        <v>231.45</v>
      </c>
      <c r="R26" s="69" t="s">
        <v>15</v>
      </c>
      <c r="S26" s="86">
        <v>222</v>
      </c>
      <c r="T26" s="69">
        <v>56</v>
      </c>
      <c r="U26" s="68">
        <v>0</v>
      </c>
      <c r="V26" s="68">
        <v>0</v>
      </c>
      <c r="W26" s="68">
        <v>15</v>
      </c>
      <c r="X26" s="68">
        <v>31</v>
      </c>
      <c r="Y26" s="68">
        <v>93</v>
      </c>
      <c r="Z26" s="68">
        <v>15</v>
      </c>
      <c r="AA26" s="68">
        <v>0</v>
      </c>
      <c r="AB26" s="69">
        <v>0</v>
      </c>
      <c r="AC26" s="69">
        <v>0</v>
      </c>
      <c r="AD26" s="70">
        <f>IFERROR(tblTarget[[#This Row],[Cluster Target]]/tblTarget[[#This Row],[Cluster PiN]],0)</f>
        <v>7.9997926171712988E-2</v>
      </c>
      <c r="AE26" s="79">
        <f>_xlfn.XLOOKUP(tblTarget[[#This Row],[ID]],tblResponse[ID],tblResponse[2024 Projected reached (Dec 2024)])</f>
        <v>0</v>
      </c>
      <c r="AF26" s="79">
        <f>_xlfn.XLOOKUP(tblTarget[[#This Row],[ID]],tblResponse[ID],tblResponse[2024 Intercluster reached -August RPM])</f>
        <v>1945.6965216541353</v>
      </c>
      <c r="AG26" s="79">
        <v>1</v>
      </c>
      <c r="AH26" s="79"/>
      <c r="AI26" s="79"/>
      <c r="AJ26" s="70" t="str">
        <f>IF(tblTarget[[#This Row],[Target to PiN (%)]]&gt;Targ_vs_PiN,"Flagged","")</f>
        <v/>
      </c>
      <c r="AK26" s="69" t="str">
        <f>IF(AND(tblTarget[[#This Row],[Qualifies for exception]]="Flagged",tblTarget[[#This Row],[Target to PiN (%)]]&gt;Targ_severity5),"Flagged","")</f>
        <v/>
      </c>
      <c r="AL26" s="68" t="str">
        <f>IFERROR(IF(AND(tblTarget[[#This Row],[Intercluser Severity]]=4,tblTarget[[#This Row],[Qualifies for exception]]="Flagged",(tblTarget[[#This Row],[Cluster Target]]-tblTarget[[#This Row],[2024 Response capacity up to December]])/tblTarget[[#This Row],[Cluster Target]]&gt;Diff_severity4),"Flagged",""),"No target")</f>
        <v/>
      </c>
      <c r="AM26" s="68" t="str">
        <f>IFERROR(IF(AND(tblTarget[[#This Row],[Intercluser Severity]]=3,tblTarget[[#This Row],[Qualifies for exception]]="Flagged",(tblTarget[[#This Row],[Cluster Target]]-tblTarget[[#This Row],[2024 Response capacity up to December]])/tblTarget[[#This Row],[Cluster Target]]&gt;Diff_severity3),"Flagged",""),"No target")</f>
        <v/>
      </c>
      <c r="AN26" s="81" t="s">
        <v>1099</v>
      </c>
      <c r="AO26" s="81" t="s">
        <v>15</v>
      </c>
      <c r="AP26" s="81" t="s">
        <v>15</v>
      </c>
      <c r="AQ26" s="81" t="s">
        <v>1098</v>
      </c>
    </row>
    <row r="27" spans="1:43" ht="15.95" hidden="1" customHeight="1" x14ac:dyDescent="0.2">
      <c r="A27" s="62" t="s">
        <v>464</v>
      </c>
      <c r="B27" s="63" t="s">
        <v>42</v>
      </c>
      <c r="C27" s="64" t="s">
        <v>43</v>
      </c>
      <c r="D27" s="63" t="s">
        <v>70</v>
      </c>
      <c r="E27" s="64" t="s">
        <v>71</v>
      </c>
      <c r="F27" s="65">
        <v>1605</v>
      </c>
      <c r="G27" s="66" t="s">
        <v>30</v>
      </c>
      <c r="H27" s="67">
        <v>436</v>
      </c>
      <c r="I27" s="68">
        <v>3</v>
      </c>
      <c r="J27" s="68">
        <v>4</v>
      </c>
      <c r="K27" s="91">
        <v>34.800000000000004</v>
      </c>
      <c r="L27" s="91">
        <v>17.733757751136835</v>
      </c>
      <c r="M27" s="91">
        <v>17.066242248863169</v>
      </c>
      <c r="N27" s="91">
        <v>17.400000000000002</v>
      </c>
      <c r="O27" s="91">
        <v>15.312000000000001</v>
      </c>
      <c r="P27" s="91">
        <v>2.0880000000000001</v>
      </c>
      <c r="Q27" s="85">
        <v>5.2200000000000006</v>
      </c>
      <c r="R27" s="69" t="s">
        <v>1107</v>
      </c>
      <c r="S27" s="86">
        <v>5</v>
      </c>
      <c r="T27" s="69">
        <v>1</v>
      </c>
      <c r="U27" s="68">
        <v>0</v>
      </c>
      <c r="V27" s="68">
        <v>0</v>
      </c>
      <c r="W27" s="68">
        <v>0</v>
      </c>
      <c r="X27" s="68">
        <v>1</v>
      </c>
      <c r="Y27" s="68">
        <v>2</v>
      </c>
      <c r="Z27" s="68">
        <v>0</v>
      </c>
      <c r="AA27" s="68">
        <v>0</v>
      </c>
      <c r="AB27" s="69">
        <v>0</v>
      </c>
      <c r="AC27" s="69">
        <v>0</v>
      </c>
      <c r="AD27" s="70">
        <f>IFERROR(tblTarget[[#This Row],[Cluster Target]]/tblTarget[[#This Row],[Cluster PiN]],0)</f>
        <v>7.9816513761467894E-2</v>
      </c>
      <c r="AE27" s="79">
        <f>_xlfn.XLOOKUP(tblTarget[[#This Row],[ID]],tblResponse[ID],tblResponse[2024 Projected reached (Dec 2024)])</f>
        <v>0</v>
      </c>
      <c r="AF27" s="79">
        <f>_xlfn.XLOOKUP(tblTarget[[#This Row],[ID]],tblResponse[ID],tblResponse[2024 Intercluster reached -August RPM])</f>
        <v>1661.643020110957</v>
      </c>
      <c r="AG27" s="79">
        <v>2</v>
      </c>
      <c r="AH27" s="79"/>
      <c r="AI27" s="79"/>
      <c r="AJ27" s="70" t="str">
        <f>IF(tblTarget[[#This Row],[Target to PiN (%)]]&gt;Targ_vs_PiN,"Flagged","")</f>
        <v/>
      </c>
      <c r="AK27" s="69" t="str">
        <f>IF(AND(tblTarget[[#This Row],[Qualifies for exception]]="Flagged",tblTarget[[#This Row],[Target to PiN (%)]]&gt;Targ_severity5),"Flagged","")</f>
        <v/>
      </c>
      <c r="AL27" s="68" t="str">
        <f>IFERROR(IF(AND(tblTarget[[#This Row],[Intercluser Severity]]=4,tblTarget[[#This Row],[Qualifies for exception]]="Flagged",(tblTarget[[#This Row],[Cluster Target]]-tblTarget[[#This Row],[2024 Response capacity up to December]])/tblTarget[[#This Row],[Cluster Target]]&gt;Diff_severity4),"Flagged",""),"No target")</f>
        <v>Flagged</v>
      </c>
      <c r="AM27" s="68" t="str">
        <f>IFERROR(IF(AND(tblTarget[[#This Row],[Intercluser Severity]]=3,tblTarget[[#This Row],[Qualifies for exception]]="Flagged",(tblTarget[[#This Row],[Cluster Target]]-tblTarget[[#This Row],[2024 Response capacity up to December]])/tblTarget[[#This Row],[Cluster Target]]&gt;Diff_severity3),"Flagged",""),"No target")</f>
        <v/>
      </c>
      <c r="AN27" s="81" t="s">
        <v>1099</v>
      </c>
      <c r="AO27" s="81"/>
      <c r="AP27" s="81" t="s">
        <v>1099</v>
      </c>
      <c r="AQ27" s="81" t="s">
        <v>1107</v>
      </c>
    </row>
    <row r="28" spans="1:43" ht="15.95" customHeight="1" x14ac:dyDescent="0.2">
      <c r="A28" s="62" t="s">
        <v>465</v>
      </c>
      <c r="B28" s="63" t="s">
        <v>42</v>
      </c>
      <c r="C28" s="64" t="s">
        <v>43</v>
      </c>
      <c r="D28" s="63" t="s">
        <v>72</v>
      </c>
      <c r="E28" s="64" t="s">
        <v>73</v>
      </c>
      <c r="F28" s="65">
        <v>32363</v>
      </c>
      <c r="G28" s="66" t="s">
        <v>30</v>
      </c>
      <c r="H28" s="67">
        <v>20237</v>
      </c>
      <c r="I28" s="68">
        <v>3</v>
      </c>
      <c r="J28" s="68">
        <v>4</v>
      </c>
      <c r="K28" s="91">
        <v>683.6</v>
      </c>
      <c r="L28" s="91">
        <v>348.80270690909867</v>
      </c>
      <c r="M28" s="91">
        <v>334.79729309090141</v>
      </c>
      <c r="N28" s="91">
        <v>341.8</v>
      </c>
      <c r="O28" s="91">
        <v>300.78399999999999</v>
      </c>
      <c r="P28" s="91">
        <v>41.015999999999998</v>
      </c>
      <c r="Q28" s="85">
        <v>102.54</v>
      </c>
      <c r="R28" s="69" t="s">
        <v>15</v>
      </c>
      <c r="S28" s="86">
        <v>98</v>
      </c>
      <c r="T28" s="69">
        <v>25</v>
      </c>
      <c r="U28" s="68">
        <v>0</v>
      </c>
      <c r="V28" s="68">
        <v>0</v>
      </c>
      <c r="W28" s="68">
        <v>7</v>
      </c>
      <c r="X28" s="68">
        <v>14</v>
      </c>
      <c r="Y28" s="68">
        <v>41</v>
      </c>
      <c r="Z28" s="68">
        <v>7</v>
      </c>
      <c r="AA28" s="68">
        <v>0</v>
      </c>
      <c r="AB28" s="69">
        <v>0</v>
      </c>
      <c r="AC28" s="69">
        <v>0</v>
      </c>
      <c r="AD28" s="70">
        <f>IFERROR(tblTarget[[#This Row],[Cluster Target]]/tblTarget[[#This Row],[Cluster PiN]],0)</f>
        <v>3.3779710431388055E-2</v>
      </c>
      <c r="AE28" s="79">
        <f>_xlfn.XLOOKUP(tblTarget[[#This Row],[ID]],tblResponse[ID],tblResponse[2024 Projected reached (Dec 2024)])</f>
        <v>0</v>
      </c>
      <c r="AF28" s="79">
        <f>_xlfn.XLOOKUP(tblTarget[[#This Row],[ID]],tblResponse[ID],tblResponse[2024 Intercluster reached -August RPM])</f>
        <v>2969.9682612088473</v>
      </c>
      <c r="AG28" s="79">
        <v>3</v>
      </c>
      <c r="AH28" s="79"/>
      <c r="AI28" s="79"/>
      <c r="AJ28" s="70" t="str">
        <f>IF(tblTarget[[#This Row],[Target to PiN (%)]]&gt;Targ_vs_PiN,"Flagged","")</f>
        <v/>
      </c>
      <c r="AK28" s="69" t="str">
        <f>IF(AND(tblTarget[[#This Row],[Qualifies for exception]]="Flagged",tblTarget[[#This Row],[Target to PiN (%)]]&gt;Targ_severity5),"Flagged","")</f>
        <v/>
      </c>
      <c r="AL28" s="68" t="str">
        <f>IFERROR(IF(AND(tblTarget[[#This Row],[Intercluser Severity]]=4,tblTarget[[#This Row],[Qualifies for exception]]="Flagged",(tblTarget[[#This Row],[Cluster Target]]-tblTarget[[#This Row],[2024 Response capacity up to December]])/tblTarget[[#This Row],[Cluster Target]]&gt;Diff_severity4),"Flagged",""),"No target")</f>
        <v/>
      </c>
      <c r="AM28" s="68" t="str">
        <f>IFERROR(IF(AND(tblTarget[[#This Row],[Intercluser Severity]]=3,tblTarget[[#This Row],[Qualifies for exception]]="Flagged",(tblTarget[[#This Row],[Cluster Target]]-tblTarget[[#This Row],[2024 Response capacity up to December]])/tblTarget[[#This Row],[Cluster Target]]&gt;Diff_severity3),"Flagged",""),"No target")</f>
        <v/>
      </c>
      <c r="AN28" s="81" t="s">
        <v>1099</v>
      </c>
      <c r="AO28" s="81" t="s">
        <v>15</v>
      </c>
      <c r="AP28" s="81" t="s">
        <v>1099</v>
      </c>
      <c r="AQ28" s="81" t="s">
        <v>1098</v>
      </c>
    </row>
    <row r="29" spans="1:43" ht="15.95" customHeight="1" x14ac:dyDescent="0.2">
      <c r="A29" s="62" t="s">
        <v>466</v>
      </c>
      <c r="B29" s="63" t="s">
        <v>42</v>
      </c>
      <c r="C29" s="64" t="s">
        <v>43</v>
      </c>
      <c r="D29" s="63" t="s">
        <v>74</v>
      </c>
      <c r="E29" s="64" t="s">
        <v>75</v>
      </c>
      <c r="F29" s="65">
        <v>0</v>
      </c>
      <c r="G29" s="66" t="s">
        <v>30</v>
      </c>
      <c r="H29" s="67">
        <v>0</v>
      </c>
      <c r="I29" s="68">
        <v>4</v>
      </c>
      <c r="J29" s="68">
        <v>5</v>
      </c>
      <c r="K29" s="91">
        <v>0</v>
      </c>
      <c r="L29" s="91">
        <v>0</v>
      </c>
      <c r="M29" s="91">
        <v>0</v>
      </c>
      <c r="N29" s="91">
        <v>0</v>
      </c>
      <c r="O29" s="91">
        <v>0</v>
      </c>
      <c r="P29" s="91">
        <v>0</v>
      </c>
      <c r="Q29" s="85">
        <v>0</v>
      </c>
      <c r="R29" s="69" t="s">
        <v>15</v>
      </c>
      <c r="S29" s="86">
        <v>0</v>
      </c>
      <c r="T29" s="69">
        <v>0</v>
      </c>
      <c r="U29" s="68">
        <v>0</v>
      </c>
      <c r="V29" s="68">
        <v>0</v>
      </c>
      <c r="W29" s="68">
        <v>0</v>
      </c>
      <c r="X29" s="68">
        <v>0</v>
      </c>
      <c r="Y29" s="68">
        <v>0</v>
      </c>
      <c r="Z29" s="68">
        <v>0</v>
      </c>
      <c r="AA29" s="68">
        <v>0</v>
      </c>
      <c r="AB29" s="69">
        <v>0</v>
      </c>
      <c r="AC29" s="69">
        <v>0</v>
      </c>
      <c r="AD29" s="70">
        <f>IFERROR(tblTarget[[#This Row],[Cluster Target]]/tblTarget[[#This Row],[Cluster PiN]],0)</f>
        <v>0</v>
      </c>
      <c r="AE29" s="79">
        <f>_xlfn.XLOOKUP(tblTarget[[#This Row],[ID]],tblResponse[ID],tblResponse[2024 Projected reached (Dec 2024)])</f>
        <v>0</v>
      </c>
      <c r="AF29" s="79">
        <f>_xlfn.XLOOKUP(tblTarget[[#This Row],[ID]],tblResponse[ID],tblResponse[2024 Intercluster reached -August RPM])</f>
        <v>9668.3136399635005</v>
      </c>
      <c r="AG29" s="79">
        <v>1</v>
      </c>
      <c r="AH29" s="79"/>
      <c r="AI29" s="79"/>
      <c r="AJ29" s="70" t="str">
        <f>IF(tblTarget[[#This Row],[Target to PiN (%)]]&gt;Targ_vs_PiN,"Flagged","")</f>
        <v/>
      </c>
      <c r="AK29" s="69" t="str">
        <f>IF(AND(tblTarget[[#This Row],[Qualifies for exception]]="Flagged",tblTarget[[#This Row],[Target to PiN (%)]]&gt;Targ_severity5),"Flagged","")</f>
        <v/>
      </c>
      <c r="AL29" s="68" t="str">
        <f>IFERROR(IF(AND(tblTarget[[#This Row],[Intercluser Severity]]=4,tblTarget[[#This Row],[Qualifies for exception]]="Flagged",(tblTarget[[#This Row],[Cluster Target]]-tblTarget[[#This Row],[2024 Response capacity up to December]])/tblTarget[[#This Row],[Cluster Target]]&gt;Diff_severity4),"Flagged",""),"No target")</f>
        <v>No target</v>
      </c>
      <c r="AM29" s="68" t="str">
        <f>IFERROR(IF(AND(tblTarget[[#This Row],[Intercluser Severity]]=3,tblTarget[[#This Row],[Qualifies for exception]]="Flagged",(tblTarget[[#This Row],[Cluster Target]]-tblTarget[[#This Row],[2024 Response capacity up to December]])/tblTarget[[#This Row],[Cluster Target]]&gt;Diff_severity3),"Flagged",""),"No target")</f>
        <v>No target</v>
      </c>
      <c r="AN29" s="81" t="s">
        <v>1099</v>
      </c>
      <c r="AO29" s="81"/>
      <c r="AP29" s="81" t="s">
        <v>1099</v>
      </c>
      <c r="AQ29" s="81" t="s">
        <v>1098</v>
      </c>
    </row>
    <row r="30" spans="1:43" ht="15.95" hidden="1" customHeight="1" x14ac:dyDescent="0.2">
      <c r="A30" s="62" t="s">
        <v>467</v>
      </c>
      <c r="B30" s="63" t="s">
        <v>42</v>
      </c>
      <c r="C30" s="64" t="s">
        <v>43</v>
      </c>
      <c r="D30" s="63" t="s">
        <v>76</v>
      </c>
      <c r="E30" s="64" t="s">
        <v>77</v>
      </c>
      <c r="F30" s="65">
        <v>5385</v>
      </c>
      <c r="G30" s="66" t="s">
        <v>30</v>
      </c>
      <c r="H30" s="67">
        <v>4559</v>
      </c>
      <c r="I30" s="68">
        <v>3</v>
      </c>
      <c r="J30" s="68">
        <v>4</v>
      </c>
      <c r="K30" s="91">
        <v>364.8</v>
      </c>
      <c r="L30" s="91">
        <v>185.02322909285891</v>
      </c>
      <c r="M30" s="91">
        <v>179.7767709071411</v>
      </c>
      <c r="N30" s="91">
        <v>182.4</v>
      </c>
      <c r="O30" s="91">
        <v>160.512</v>
      </c>
      <c r="P30" s="91">
        <v>21.887999999999998</v>
      </c>
      <c r="Q30" s="85">
        <v>54.72</v>
      </c>
      <c r="R30" s="69" t="s">
        <v>1107</v>
      </c>
      <c r="S30" s="86">
        <v>53</v>
      </c>
      <c r="T30" s="69">
        <v>13</v>
      </c>
      <c r="U30" s="68">
        <v>0</v>
      </c>
      <c r="V30" s="68">
        <v>0</v>
      </c>
      <c r="W30" s="68">
        <v>4</v>
      </c>
      <c r="X30" s="68">
        <v>7</v>
      </c>
      <c r="Y30" s="68">
        <v>22</v>
      </c>
      <c r="Z30" s="68">
        <v>4</v>
      </c>
      <c r="AA30" s="68">
        <v>0</v>
      </c>
      <c r="AB30" s="69">
        <v>0</v>
      </c>
      <c r="AC30" s="69">
        <v>0</v>
      </c>
      <c r="AD30" s="70">
        <f>IFERROR(tblTarget[[#This Row],[Cluster Target]]/tblTarget[[#This Row],[Cluster PiN]],0)</f>
        <v>8.0017547707830664E-2</v>
      </c>
      <c r="AE30" s="79">
        <f>_xlfn.XLOOKUP(tblTarget[[#This Row],[ID]],tblResponse[ID],tblResponse[2024 Projected reached (Dec 2024)])</f>
        <v>0</v>
      </c>
      <c r="AF30" s="79">
        <f>_xlfn.XLOOKUP(tblTarget[[#This Row],[ID]],tblResponse[ID],tblResponse[2024 Intercluster reached -August RPM])</f>
        <v>1262.8486952843273</v>
      </c>
      <c r="AG30" s="79">
        <v>3</v>
      </c>
      <c r="AH30" s="79"/>
      <c r="AI30" s="79"/>
      <c r="AJ30" s="70" t="str">
        <f>IF(tblTarget[[#This Row],[Target to PiN (%)]]&gt;Targ_vs_PiN,"Flagged","")</f>
        <v/>
      </c>
      <c r="AK30" s="69" t="str">
        <f>IF(AND(tblTarget[[#This Row],[Qualifies for exception]]="Flagged",tblTarget[[#This Row],[Target to PiN (%)]]&gt;Targ_severity5),"Flagged","")</f>
        <v/>
      </c>
      <c r="AL30" s="68" t="str">
        <f>IFERROR(IF(AND(tblTarget[[#This Row],[Intercluser Severity]]=4,tblTarget[[#This Row],[Qualifies for exception]]="Flagged",(tblTarget[[#This Row],[Cluster Target]]-tblTarget[[#This Row],[2024 Response capacity up to December]])/tblTarget[[#This Row],[Cluster Target]]&gt;Diff_severity4),"Flagged",""),"No target")</f>
        <v>Flagged</v>
      </c>
      <c r="AM30" s="68" t="str">
        <f>IFERROR(IF(AND(tblTarget[[#This Row],[Intercluser Severity]]=3,tblTarget[[#This Row],[Qualifies for exception]]="Flagged",(tblTarget[[#This Row],[Cluster Target]]-tblTarget[[#This Row],[2024 Response capacity up to December]])/tblTarget[[#This Row],[Cluster Target]]&gt;Diff_severity3),"Flagged",""),"No target")</f>
        <v/>
      </c>
      <c r="AN30" s="81" t="s">
        <v>1099</v>
      </c>
      <c r="AO30" s="81"/>
      <c r="AP30" s="81" t="s">
        <v>1099</v>
      </c>
      <c r="AQ30" s="81" t="s">
        <v>1107</v>
      </c>
    </row>
    <row r="31" spans="1:43" ht="15.95" hidden="1" customHeight="1" x14ac:dyDescent="0.2">
      <c r="A31" s="62" t="s">
        <v>468</v>
      </c>
      <c r="B31" s="63" t="s">
        <v>78</v>
      </c>
      <c r="C31" s="64" t="s">
        <v>79</v>
      </c>
      <c r="D31" s="63" t="s">
        <v>80</v>
      </c>
      <c r="E31" s="64" t="s">
        <v>81</v>
      </c>
      <c r="F31" s="65">
        <v>46725</v>
      </c>
      <c r="G31" s="66" t="s">
        <v>30</v>
      </c>
      <c r="H31" s="67">
        <v>11819</v>
      </c>
      <c r="I31" s="68">
        <v>3</v>
      </c>
      <c r="J31" s="68">
        <v>3</v>
      </c>
      <c r="K31" s="91">
        <v>0</v>
      </c>
      <c r="L31" s="91">
        <v>0</v>
      </c>
      <c r="M31" s="91">
        <v>0</v>
      </c>
      <c r="N31" s="91">
        <v>0</v>
      </c>
      <c r="O31" s="91">
        <v>0</v>
      </c>
      <c r="P31" s="91">
        <v>0</v>
      </c>
      <c r="Q31" s="85">
        <v>0</v>
      </c>
      <c r="R31" s="69" t="s">
        <v>1107</v>
      </c>
      <c r="S31" s="86">
        <v>0</v>
      </c>
      <c r="T31" s="69">
        <v>0</v>
      </c>
      <c r="U31" s="68">
        <v>0</v>
      </c>
      <c r="V31" s="68">
        <v>0</v>
      </c>
      <c r="W31" s="68">
        <v>0</v>
      </c>
      <c r="X31" s="68">
        <v>0</v>
      </c>
      <c r="Y31" s="68">
        <v>0</v>
      </c>
      <c r="Z31" s="68">
        <v>0</v>
      </c>
      <c r="AA31" s="68">
        <v>0</v>
      </c>
      <c r="AB31" s="69">
        <v>0</v>
      </c>
      <c r="AC31" s="69">
        <v>0</v>
      </c>
      <c r="AD31" s="70">
        <f>IFERROR(tblTarget[[#This Row],[Cluster Target]]/tblTarget[[#This Row],[Cluster PiN]],0)</f>
        <v>0</v>
      </c>
      <c r="AE31" s="79">
        <f>_xlfn.XLOOKUP(tblTarget[[#This Row],[ID]],tblResponse[ID],tblResponse[2024 Projected reached (Dec 2024)])</f>
        <v>0</v>
      </c>
      <c r="AF31" s="79">
        <f>_xlfn.XLOOKUP(tblTarget[[#This Row],[ID]],tblResponse[ID],tblResponse[2024 Intercluster reached -August RPM])</f>
        <v>20.989174990875245</v>
      </c>
      <c r="AG31" s="79">
        <v>1</v>
      </c>
      <c r="AH31" s="79"/>
      <c r="AI31" s="79"/>
      <c r="AJ31" s="70" t="str">
        <f>IF(tblTarget[[#This Row],[Target to PiN (%)]]&gt;Targ_vs_PiN,"Flagged","")</f>
        <v/>
      </c>
      <c r="AK31" s="69" t="str">
        <f>IF(AND(tblTarget[[#This Row],[Qualifies for exception]]="Flagged",tblTarget[[#This Row],[Target to PiN (%)]]&gt;Targ_severity5),"Flagged","")</f>
        <v/>
      </c>
      <c r="AL31" s="68" t="str">
        <f>IFERROR(IF(AND(tblTarget[[#This Row],[Intercluser Severity]]=4,tblTarget[[#This Row],[Qualifies for exception]]="Flagged",(tblTarget[[#This Row],[Cluster Target]]-tblTarget[[#This Row],[2024 Response capacity up to December]])/tblTarget[[#This Row],[Cluster Target]]&gt;Diff_severity4),"Flagged",""),"No target")</f>
        <v>No target</v>
      </c>
      <c r="AM31" s="68" t="str">
        <f>IFERROR(IF(AND(tblTarget[[#This Row],[Intercluser Severity]]=3,tblTarget[[#This Row],[Qualifies for exception]]="Flagged",(tblTarget[[#This Row],[Cluster Target]]-tblTarget[[#This Row],[2024 Response capacity up to December]])/tblTarget[[#This Row],[Cluster Target]]&gt;Diff_severity3),"Flagged",""),"No target")</f>
        <v>No target</v>
      </c>
      <c r="AN31" s="81" t="s">
        <v>1099</v>
      </c>
      <c r="AO31" s="81"/>
      <c r="AP31" s="81" t="s">
        <v>1099</v>
      </c>
      <c r="AQ31" s="81" t="s">
        <v>1107</v>
      </c>
    </row>
    <row r="32" spans="1:43" ht="15.95" hidden="1" customHeight="1" x14ac:dyDescent="0.2">
      <c r="A32" s="62" t="s">
        <v>469</v>
      </c>
      <c r="B32" s="63" t="s">
        <v>78</v>
      </c>
      <c r="C32" s="64" t="s">
        <v>79</v>
      </c>
      <c r="D32" s="63" t="s">
        <v>82</v>
      </c>
      <c r="E32" s="64" t="s">
        <v>83</v>
      </c>
      <c r="F32" s="65">
        <v>33541</v>
      </c>
      <c r="G32" s="66" t="s">
        <v>30</v>
      </c>
      <c r="H32" s="67">
        <v>18038</v>
      </c>
      <c r="I32" s="68">
        <v>3</v>
      </c>
      <c r="J32" s="68">
        <v>4</v>
      </c>
      <c r="K32" s="91">
        <v>180.4</v>
      </c>
      <c r="L32" s="91">
        <v>89.504834945609218</v>
      </c>
      <c r="M32" s="91">
        <v>90.895165054390802</v>
      </c>
      <c r="N32" s="91">
        <v>90.2</v>
      </c>
      <c r="O32" s="91">
        <v>79.376000000000005</v>
      </c>
      <c r="P32" s="91">
        <v>10.824</v>
      </c>
      <c r="Q32" s="85">
        <v>27.06</v>
      </c>
      <c r="R32" s="69" t="s">
        <v>1107</v>
      </c>
      <c r="S32" s="86">
        <v>26</v>
      </c>
      <c r="T32" s="69">
        <v>6</v>
      </c>
      <c r="U32" s="68">
        <v>0</v>
      </c>
      <c r="V32" s="68">
        <v>0</v>
      </c>
      <c r="W32" s="68">
        <v>2</v>
      </c>
      <c r="X32" s="68">
        <v>4</v>
      </c>
      <c r="Y32" s="68">
        <v>11</v>
      </c>
      <c r="Z32" s="68">
        <v>2</v>
      </c>
      <c r="AA32" s="68">
        <v>0</v>
      </c>
      <c r="AB32" s="69">
        <v>0</v>
      </c>
      <c r="AC32" s="69">
        <v>0</v>
      </c>
      <c r="AD32" s="70">
        <f>IFERROR(tblTarget[[#This Row],[Cluster Target]]/tblTarget[[#This Row],[Cluster PiN]],0)</f>
        <v>1.0001108770373655E-2</v>
      </c>
      <c r="AE32" s="79">
        <f>_xlfn.XLOOKUP(tblTarget[[#This Row],[ID]],tblResponse[ID],tblResponse[2024 Projected reached (Dec 2024)])</f>
        <v>0</v>
      </c>
      <c r="AF32" s="79">
        <f>_xlfn.XLOOKUP(tblTarget[[#This Row],[ID]],tblResponse[ID],tblResponse[2024 Intercluster reached -August RPM])</f>
        <v>0</v>
      </c>
      <c r="AG32" s="79">
        <v>1</v>
      </c>
      <c r="AH32" s="79"/>
      <c r="AI32" s="79"/>
      <c r="AJ32" s="70" t="str">
        <f>IF(tblTarget[[#This Row],[Target to PiN (%)]]&gt;Targ_vs_PiN,"Flagged","")</f>
        <v/>
      </c>
      <c r="AK32" s="69" t="str">
        <f>IF(AND(tblTarget[[#This Row],[Qualifies for exception]]="Flagged",tblTarget[[#This Row],[Target to PiN (%)]]&gt;Targ_severity5),"Flagged","")</f>
        <v/>
      </c>
      <c r="AL32" s="68" t="str">
        <f>IFERROR(IF(AND(tblTarget[[#This Row],[Intercluser Severity]]=4,tblTarget[[#This Row],[Qualifies for exception]]="Flagged",(tblTarget[[#This Row],[Cluster Target]]-tblTarget[[#This Row],[2024 Response capacity up to December]])/tblTarget[[#This Row],[Cluster Target]]&gt;Diff_severity4),"Flagged",""),"No target")</f>
        <v>Flagged</v>
      </c>
      <c r="AM32" s="68" t="str">
        <f>IFERROR(IF(AND(tblTarget[[#This Row],[Intercluser Severity]]=3,tblTarget[[#This Row],[Qualifies for exception]]="Flagged",(tblTarget[[#This Row],[Cluster Target]]-tblTarget[[#This Row],[2024 Response capacity up to December]])/tblTarget[[#This Row],[Cluster Target]]&gt;Diff_severity3),"Flagged",""),"No target")</f>
        <v/>
      </c>
      <c r="AN32" s="81" t="s">
        <v>1099</v>
      </c>
      <c r="AO32" s="81"/>
      <c r="AP32" s="81" t="s">
        <v>1099</v>
      </c>
      <c r="AQ32" s="81" t="s">
        <v>1107</v>
      </c>
    </row>
    <row r="33" spans="1:43" ht="15.95" hidden="1" customHeight="1" x14ac:dyDescent="0.2">
      <c r="A33" s="62" t="s">
        <v>470</v>
      </c>
      <c r="B33" s="63" t="s">
        <v>78</v>
      </c>
      <c r="C33" s="64" t="s">
        <v>79</v>
      </c>
      <c r="D33" s="63" t="s">
        <v>84</v>
      </c>
      <c r="E33" s="64" t="s">
        <v>85</v>
      </c>
      <c r="F33" s="65">
        <v>153958</v>
      </c>
      <c r="G33" s="66" t="s">
        <v>30</v>
      </c>
      <c r="H33" s="66">
        <v>102181</v>
      </c>
      <c r="I33" s="68">
        <v>4</v>
      </c>
      <c r="J33" s="68">
        <v>4</v>
      </c>
      <c r="K33" s="91">
        <v>8174.4000000000005</v>
      </c>
      <c r="L33" s="91">
        <v>4082.0358561156386</v>
      </c>
      <c r="M33" s="91">
        <v>4092.364143884362</v>
      </c>
      <c r="N33" s="91">
        <v>4087.2000000000003</v>
      </c>
      <c r="O33" s="91">
        <v>3596.7360000000003</v>
      </c>
      <c r="P33" s="91">
        <v>490.464</v>
      </c>
      <c r="Q33" s="85">
        <v>1226.1600000000001</v>
      </c>
      <c r="R33" s="69" t="s">
        <v>1107</v>
      </c>
      <c r="S33" s="86">
        <v>1177</v>
      </c>
      <c r="T33" s="69">
        <v>294</v>
      </c>
      <c r="U33" s="68">
        <v>0</v>
      </c>
      <c r="V33" s="68">
        <v>0</v>
      </c>
      <c r="W33" s="68">
        <v>82</v>
      </c>
      <c r="X33" s="68">
        <v>163</v>
      </c>
      <c r="Y33" s="68">
        <v>490</v>
      </c>
      <c r="Z33" s="68">
        <v>82</v>
      </c>
      <c r="AA33" s="68">
        <v>0</v>
      </c>
      <c r="AB33" s="69">
        <v>0</v>
      </c>
      <c r="AC33" s="69">
        <v>0</v>
      </c>
      <c r="AD33" s="70">
        <f>IFERROR(tblTarget[[#This Row],[Cluster Target]]/tblTarget[[#This Row],[Cluster PiN]],0)</f>
        <v>7.9999217075581566E-2</v>
      </c>
      <c r="AE33" s="79">
        <f>_xlfn.XLOOKUP(tblTarget[[#This Row],[ID]],tblResponse[ID],tblResponse[2024 Projected reached (Dec 2024)])</f>
        <v>0</v>
      </c>
      <c r="AF33" s="79">
        <f>_xlfn.XLOOKUP(tblTarget[[#This Row],[ID]],tblResponse[ID],tblResponse[2024 Intercluster reached -August RPM])</f>
        <v>40066.236140081761</v>
      </c>
      <c r="AG33" s="79">
        <v>1</v>
      </c>
      <c r="AH33" s="79"/>
      <c r="AI33" s="79"/>
      <c r="AJ33" s="70" t="str">
        <f>IF(tblTarget[[#This Row],[Target to PiN (%)]]&gt;Targ_vs_PiN,"Flagged","")</f>
        <v/>
      </c>
      <c r="AK33" s="69" t="str">
        <f>IF(AND(tblTarget[[#This Row],[Qualifies for exception]]="Flagged",tblTarget[[#This Row],[Target to PiN (%)]]&gt;Targ_severity5),"Flagged","")</f>
        <v/>
      </c>
      <c r="AL33" s="68" t="str">
        <f>IFERROR(IF(AND(tblTarget[[#This Row],[Intercluser Severity]]=4,tblTarget[[#This Row],[Qualifies for exception]]="Flagged",(tblTarget[[#This Row],[Cluster Target]]-tblTarget[[#This Row],[2024 Response capacity up to December]])/tblTarget[[#This Row],[Cluster Target]]&gt;Diff_severity4),"Flagged",""),"No target")</f>
        <v/>
      </c>
      <c r="AM33" s="68" t="str">
        <f>IFERROR(IF(AND(tblTarget[[#This Row],[Intercluser Severity]]=3,tblTarget[[#This Row],[Qualifies for exception]]="Flagged",(tblTarget[[#This Row],[Cluster Target]]-tblTarget[[#This Row],[2024 Response capacity up to December]])/tblTarget[[#This Row],[Cluster Target]]&gt;Diff_severity3),"Flagged",""),"No target")</f>
        <v/>
      </c>
      <c r="AN33" s="81" t="s">
        <v>1099</v>
      </c>
      <c r="AO33" s="81"/>
      <c r="AP33" s="81" t="s">
        <v>1099</v>
      </c>
      <c r="AQ33" s="81" t="s">
        <v>1098</v>
      </c>
    </row>
    <row r="34" spans="1:43" ht="15.95" customHeight="1" x14ac:dyDescent="0.2">
      <c r="A34" s="62" t="s">
        <v>471</v>
      </c>
      <c r="B34" s="63" t="s">
        <v>78</v>
      </c>
      <c r="C34" s="64" t="s">
        <v>79</v>
      </c>
      <c r="D34" s="63" t="s">
        <v>86</v>
      </c>
      <c r="E34" s="64" t="s">
        <v>87</v>
      </c>
      <c r="F34" s="65">
        <v>525</v>
      </c>
      <c r="G34" s="66" t="s">
        <v>30</v>
      </c>
      <c r="H34" s="66">
        <v>279</v>
      </c>
      <c r="I34" s="68">
        <v>4</v>
      </c>
      <c r="J34" s="68">
        <v>4</v>
      </c>
      <c r="K34" s="91">
        <v>89.600000000000009</v>
      </c>
      <c r="L34" s="91">
        <v>42.487526961695806</v>
      </c>
      <c r="M34" s="91">
        <v>47.112473038304202</v>
      </c>
      <c r="N34" s="91">
        <v>44.800000000000004</v>
      </c>
      <c r="O34" s="91">
        <v>39.424000000000007</v>
      </c>
      <c r="P34" s="91">
        <v>5.3760000000000003</v>
      </c>
      <c r="Q34" s="85">
        <v>13.440000000000001</v>
      </c>
      <c r="R34" s="69" t="s">
        <v>15</v>
      </c>
      <c r="S34" s="86">
        <v>13</v>
      </c>
      <c r="T34" s="69">
        <v>3</v>
      </c>
      <c r="U34" s="68">
        <v>0</v>
      </c>
      <c r="V34" s="68">
        <v>0</v>
      </c>
      <c r="W34" s="68">
        <v>1</v>
      </c>
      <c r="X34" s="68">
        <v>2</v>
      </c>
      <c r="Y34" s="68">
        <v>5</v>
      </c>
      <c r="Z34" s="68">
        <v>1</v>
      </c>
      <c r="AA34" s="68">
        <v>0</v>
      </c>
      <c r="AB34" s="69">
        <v>0</v>
      </c>
      <c r="AC34" s="69">
        <v>0</v>
      </c>
      <c r="AD34" s="70">
        <f>IFERROR(tblTarget[[#This Row],[Cluster Target]]/tblTarget[[#This Row],[Cluster PiN]],0)</f>
        <v>0.32114695340501798</v>
      </c>
      <c r="AE34" s="79">
        <f>_xlfn.XLOOKUP(tblTarget[[#This Row],[ID]],tblResponse[ID],tblResponse[2024 Projected reached (Dec 2024)])</f>
        <v>0</v>
      </c>
      <c r="AF34" s="79">
        <f>_xlfn.XLOOKUP(tblTarget[[#This Row],[ID]],tblResponse[ID],tblResponse[2024 Intercluster reached -August RPM])</f>
        <v>566.70772475363162</v>
      </c>
      <c r="AG34" s="79">
        <v>1</v>
      </c>
      <c r="AH34" s="79"/>
      <c r="AI34" s="79"/>
      <c r="AJ34" s="70" t="str">
        <f>IF(tblTarget[[#This Row],[Target to PiN (%)]]&gt;Targ_vs_PiN,"Flagged","")</f>
        <v/>
      </c>
      <c r="AK34" s="69" t="str">
        <f>IF(AND(tblTarget[[#This Row],[Qualifies for exception]]="Flagged",tblTarget[[#This Row],[Target to PiN (%)]]&gt;Targ_severity5),"Flagged","")</f>
        <v/>
      </c>
      <c r="AL34" s="68" t="str">
        <f>IFERROR(IF(AND(tblTarget[[#This Row],[Intercluser Severity]]=4,tblTarget[[#This Row],[Qualifies for exception]]="Flagged",(tblTarget[[#This Row],[Cluster Target]]-tblTarget[[#This Row],[2024 Response capacity up to December]])/tblTarget[[#This Row],[Cluster Target]]&gt;Diff_severity4),"Flagged",""),"No target")</f>
        <v/>
      </c>
      <c r="AM34" s="68" t="str">
        <f>IFERROR(IF(AND(tblTarget[[#This Row],[Intercluser Severity]]=3,tblTarget[[#This Row],[Qualifies for exception]]="Flagged",(tblTarget[[#This Row],[Cluster Target]]-tblTarget[[#This Row],[2024 Response capacity up to December]])/tblTarget[[#This Row],[Cluster Target]]&gt;Diff_severity3),"Flagged",""),"No target")</f>
        <v/>
      </c>
      <c r="AN34" s="81" t="s">
        <v>1099</v>
      </c>
      <c r="AO34" s="81"/>
      <c r="AP34" s="81" t="s">
        <v>15</v>
      </c>
      <c r="AQ34" s="81" t="s">
        <v>1098</v>
      </c>
    </row>
    <row r="35" spans="1:43" ht="15.95" hidden="1" customHeight="1" x14ac:dyDescent="0.2">
      <c r="A35" s="62" t="s">
        <v>472</v>
      </c>
      <c r="B35" s="63" t="s">
        <v>78</v>
      </c>
      <c r="C35" s="64" t="s">
        <v>79</v>
      </c>
      <c r="D35" s="63" t="s">
        <v>88</v>
      </c>
      <c r="E35" s="64" t="s">
        <v>89</v>
      </c>
      <c r="F35" s="65">
        <v>7079</v>
      </c>
      <c r="G35" s="66" t="s">
        <v>30</v>
      </c>
      <c r="H35" s="67">
        <v>5289</v>
      </c>
      <c r="I35" s="68">
        <v>3</v>
      </c>
      <c r="J35" s="68">
        <v>3</v>
      </c>
      <c r="K35" s="91">
        <v>0</v>
      </c>
      <c r="L35" s="91">
        <v>0</v>
      </c>
      <c r="M35" s="91">
        <v>0</v>
      </c>
      <c r="N35" s="91">
        <v>0</v>
      </c>
      <c r="O35" s="91">
        <v>0</v>
      </c>
      <c r="P35" s="91">
        <v>0</v>
      </c>
      <c r="Q35" s="85">
        <v>0</v>
      </c>
      <c r="R35" s="69" t="s">
        <v>1107</v>
      </c>
      <c r="S35" s="86">
        <v>0</v>
      </c>
      <c r="T35" s="69">
        <v>0</v>
      </c>
      <c r="U35" s="68">
        <v>0</v>
      </c>
      <c r="V35" s="68">
        <v>0</v>
      </c>
      <c r="W35" s="68">
        <v>0</v>
      </c>
      <c r="X35" s="68">
        <v>0</v>
      </c>
      <c r="Y35" s="68">
        <v>0</v>
      </c>
      <c r="Z35" s="68">
        <v>0</v>
      </c>
      <c r="AA35" s="68">
        <v>0</v>
      </c>
      <c r="AB35" s="69">
        <v>0</v>
      </c>
      <c r="AC35" s="69">
        <v>0</v>
      </c>
      <c r="AD35" s="70">
        <f>IFERROR(tblTarget[[#This Row],[Cluster Target]]/tblTarget[[#This Row],[Cluster PiN]],0)</f>
        <v>0</v>
      </c>
      <c r="AE35" s="79">
        <f>_xlfn.XLOOKUP(tblTarget[[#This Row],[ID]],tblResponse[ID],tblResponse[2024 Projected reached (Dec 2024)])</f>
        <v>0</v>
      </c>
      <c r="AF35" s="79">
        <f>_xlfn.XLOOKUP(tblTarget[[#This Row],[ID]],tblResponse[ID],tblResponse[2024 Intercluster reached -August RPM])</f>
        <v>0</v>
      </c>
      <c r="AG35" s="79">
        <v>1</v>
      </c>
      <c r="AH35" s="79"/>
      <c r="AI35" s="79"/>
      <c r="AJ35" s="70" t="str">
        <f>IF(tblTarget[[#This Row],[Target to PiN (%)]]&gt;Targ_vs_PiN,"Flagged","")</f>
        <v/>
      </c>
      <c r="AK35" s="69" t="str">
        <f>IF(AND(tblTarget[[#This Row],[Qualifies for exception]]="Flagged",tblTarget[[#This Row],[Target to PiN (%)]]&gt;Targ_severity5),"Flagged","")</f>
        <v/>
      </c>
      <c r="AL35" s="68" t="str">
        <f>IFERROR(IF(AND(tblTarget[[#This Row],[Intercluser Severity]]=4,tblTarget[[#This Row],[Qualifies for exception]]="Flagged",(tblTarget[[#This Row],[Cluster Target]]-tblTarget[[#This Row],[2024 Response capacity up to December]])/tblTarget[[#This Row],[Cluster Target]]&gt;Diff_severity4),"Flagged",""),"No target")</f>
        <v>No target</v>
      </c>
      <c r="AM35" s="68" t="str">
        <f>IFERROR(IF(AND(tblTarget[[#This Row],[Intercluser Severity]]=3,tblTarget[[#This Row],[Qualifies for exception]]="Flagged",(tblTarget[[#This Row],[Cluster Target]]-tblTarget[[#This Row],[2024 Response capacity up to December]])/tblTarget[[#This Row],[Cluster Target]]&gt;Diff_severity3),"Flagged",""),"No target")</f>
        <v>No target</v>
      </c>
      <c r="AN35" s="81" t="s">
        <v>1099</v>
      </c>
      <c r="AO35" s="81"/>
      <c r="AP35" s="81" t="s">
        <v>1099</v>
      </c>
      <c r="AQ35" s="81" t="s">
        <v>1107</v>
      </c>
    </row>
    <row r="36" spans="1:43" ht="15.95" customHeight="1" x14ac:dyDescent="0.2">
      <c r="A36" s="62" t="s">
        <v>473</v>
      </c>
      <c r="B36" s="63" t="s">
        <v>78</v>
      </c>
      <c r="C36" s="64" t="s">
        <v>79</v>
      </c>
      <c r="D36" s="63" t="s">
        <v>90</v>
      </c>
      <c r="E36" s="64" t="s">
        <v>91</v>
      </c>
      <c r="F36" s="65">
        <v>0</v>
      </c>
      <c r="G36" s="66" t="s">
        <v>30</v>
      </c>
      <c r="H36" s="67">
        <v>0</v>
      </c>
      <c r="I36" s="68">
        <v>3</v>
      </c>
      <c r="J36" s="68">
        <v>4</v>
      </c>
      <c r="K36" s="91">
        <v>0</v>
      </c>
      <c r="L36" s="91">
        <v>0</v>
      </c>
      <c r="M36" s="91">
        <v>0</v>
      </c>
      <c r="N36" s="91">
        <v>0</v>
      </c>
      <c r="O36" s="91">
        <v>0</v>
      </c>
      <c r="P36" s="91">
        <v>0</v>
      </c>
      <c r="Q36" s="85">
        <v>0</v>
      </c>
      <c r="R36" s="69" t="s">
        <v>15</v>
      </c>
      <c r="S36" s="86">
        <v>0</v>
      </c>
      <c r="T36" s="69">
        <v>0</v>
      </c>
      <c r="U36" s="68">
        <v>0</v>
      </c>
      <c r="V36" s="68">
        <v>0</v>
      </c>
      <c r="W36" s="68">
        <v>0</v>
      </c>
      <c r="X36" s="68">
        <v>0</v>
      </c>
      <c r="Y36" s="68">
        <v>0</v>
      </c>
      <c r="Z36" s="68">
        <v>0</v>
      </c>
      <c r="AA36" s="68">
        <v>0</v>
      </c>
      <c r="AB36" s="69">
        <v>0</v>
      </c>
      <c r="AC36" s="69">
        <v>0</v>
      </c>
      <c r="AD36" s="70">
        <f>IFERROR(tblTarget[[#This Row],[Cluster Target]]/tblTarget[[#This Row],[Cluster PiN]],0)</f>
        <v>0</v>
      </c>
      <c r="AE36" s="79">
        <f>_xlfn.XLOOKUP(tblTarget[[#This Row],[ID]],tblResponse[ID],tblResponse[2024 Projected reached (Dec 2024)])</f>
        <v>0</v>
      </c>
      <c r="AF36" s="79">
        <f>_xlfn.XLOOKUP(tblTarget[[#This Row],[ID]],tblResponse[ID],tblResponse[2024 Intercluster reached -August RPM])</f>
        <v>31956.018923607564</v>
      </c>
      <c r="AG36" s="79">
        <v>1</v>
      </c>
      <c r="AH36" s="79"/>
      <c r="AI36" s="79"/>
      <c r="AJ36" s="70" t="str">
        <f>IF(tblTarget[[#This Row],[Target to PiN (%)]]&gt;Targ_vs_PiN,"Flagged","")</f>
        <v/>
      </c>
      <c r="AK36" s="69" t="str">
        <f>IF(AND(tblTarget[[#This Row],[Qualifies for exception]]="Flagged",tblTarget[[#This Row],[Target to PiN (%)]]&gt;Targ_severity5),"Flagged","")</f>
        <v/>
      </c>
      <c r="AL36" s="68" t="str">
        <f>IFERROR(IF(AND(tblTarget[[#This Row],[Intercluser Severity]]=4,tblTarget[[#This Row],[Qualifies for exception]]="Flagged",(tblTarget[[#This Row],[Cluster Target]]-tblTarget[[#This Row],[2024 Response capacity up to December]])/tblTarget[[#This Row],[Cluster Target]]&gt;Diff_severity4),"Flagged",""),"No target")</f>
        <v>No target</v>
      </c>
      <c r="AM36" s="68" t="str">
        <f>IFERROR(IF(AND(tblTarget[[#This Row],[Intercluser Severity]]=3,tblTarget[[#This Row],[Qualifies for exception]]="Flagged",(tblTarget[[#This Row],[Cluster Target]]-tblTarget[[#This Row],[2024 Response capacity up to December]])/tblTarget[[#This Row],[Cluster Target]]&gt;Diff_severity3),"Flagged",""),"No target")</f>
        <v>No target</v>
      </c>
      <c r="AN36" s="81" t="s">
        <v>1099</v>
      </c>
      <c r="AO36" s="81"/>
      <c r="AP36" s="81" t="s">
        <v>15</v>
      </c>
      <c r="AQ36" s="81" t="s">
        <v>1098</v>
      </c>
    </row>
    <row r="37" spans="1:43" ht="15.95" hidden="1" customHeight="1" x14ac:dyDescent="0.2">
      <c r="A37" s="62" t="s">
        <v>474</v>
      </c>
      <c r="B37" s="63" t="s">
        <v>78</v>
      </c>
      <c r="C37" s="64" t="s">
        <v>79</v>
      </c>
      <c r="D37" s="63" t="s">
        <v>92</v>
      </c>
      <c r="E37" s="64" t="s">
        <v>93</v>
      </c>
      <c r="F37" s="65">
        <v>20775</v>
      </c>
      <c r="G37" s="66" t="s">
        <v>30</v>
      </c>
      <c r="H37" s="67">
        <v>4415</v>
      </c>
      <c r="I37" s="68">
        <v>3</v>
      </c>
      <c r="J37" s="68">
        <v>4</v>
      </c>
      <c r="K37" s="91">
        <v>44.2</v>
      </c>
      <c r="L37" s="91">
        <v>20.878135714919605</v>
      </c>
      <c r="M37" s="91">
        <v>23.321864285080398</v>
      </c>
      <c r="N37" s="91">
        <v>22.1</v>
      </c>
      <c r="O37" s="91">
        <v>19.448</v>
      </c>
      <c r="P37" s="91">
        <v>2.6520000000000001</v>
      </c>
      <c r="Q37" s="85">
        <v>6.63</v>
      </c>
      <c r="R37" s="69" t="s">
        <v>1107</v>
      </c>
      <c r="S37" s="86">
        <v>6</v>
      </c>
      <c r="T37" s="69">
        <v>2</v>
      </c>
      <c r="U37" s="68">
        <v>0</v>
      </c>
      <c r="V37" s="68">
        <v>0</v>
      </c>
      <c r="W37" s="68">
        <v>0</v>
      </c>
      <c r="X37" s="68">
        <v>1</v>
      </c>
      <c r="Y37" s="68">
        <v>3</v>
      </c>
      <c r="Z37" s="68">
        <v>0</v>
      </c>
      <c r="AA37" s="68">
        <v>0</v>
      </c>
      <c r="AB37" s="69">
        <v>0</v>
      </c>
      <c r="AC37" s="69">
        <v>0</v>
      </c>
      <c r="AD37" s="70">
        <f>IFERROR(tblTarget[[#This Row],[Cluster Target]]/tblTarget[[#This Row],[Cluster PiN]],0)</f>
        <v>1.0011325028312571E-2</v>
      </c>
      <c r="AE37" s="79">
        <f>_xlfn.XLOOKUP(tblTarget[[#This Row],[ID]],tblResponse[ID],tblResponse[2024 Projected reached (Dec 2024)])</f>
        <v>0</v>
      </c>
      <c r="AF37" s="79">
        <f>_xlfn.XLOOKUP(tblTarget[[#This Row],[ID]],tblResponse[ID],tblResponse[2024 Intercluster reached -August RPM])</f>
        <v>0</v>
      </c>
      <c r="AG37" s="79">
        <v>1</v>
      </c>
      <c r="AH37" s="79"/>
      <c r="AI37" s="79"/>
      <c r="AJ37" s="70" t="str">
        <f>IF(tblTarget[[#This Row],[Target to PiN (%)]]&gt;Targ_vs_PiN,"Flagged","")</f>
        <v/>
      </c>
      <c r="AK37" s="69" t="str">
        <f>IF(AND(tblTarget[[#This Row],[Qualifies for exception]]="Flagged",tblTarget[[#This Row],[Target to PiN (%)]]&gt;Targ_severity5),"Flagged","")</f>
        <v/>
      </c>
      <c r="AL37" s="68" t="str">
        <f>IFERROR(IF(AND(tblTarget[[#This Row],[Intercluser Severity]]=4,tblTarget[[#This Row],[Qualifies for exception]]="Flagged",(tblTarget[[#This Row],[Cluster Target]]-tblTarget[[#This Row],[2024 Response capacity up to December]])/tblTarget[[#This Row],[Cluster Target]]&gt;Diff_severity4),"Flagged",""),"No target")</f>
        <v>Flagged</v>
      </c>
      <c r="AM37" s="68" t="str">
        <f>IFERROR(IF(AND(tblTarget[[#This Row],[Intercluser Severity]]=3,tblTarget[[#This Row],[Qualifies for exception]]="Flagged",(tblTarget[[#This Row],[Cluster Target]]-tblTarget[[#This Row],[2024 Response capacity up to December]])/tblTarget[[#This Row],[Cluster Target]]&gt;Diff_severity3),"Flagged",""),"No target")</f>
        <v/>
      </c>
      <c r="AN37" s="81" t="s">
        <v>1099</v>
      </c>
      <c r="AO37" s="81"/>
      <c r="AP37" s="81" t="s">
        <v>1099</v>
      </c>
      <c r="AQ37" s="81" t="s">
        <v>1107</v>
      </c>
    </row>
    <row r="38" spans="1:43" ht="15.95" hidden="1" customHeight="1" x14ac:dyDescent="0.2">
      <c r="A38" s="62" t="s">
        <v>475</v>
      </c>
      <c r="B38" s="63" t="s">
        <v>78</v>
      </c>
      <c r="C38" s="64" t="s">
        <v>79</v>
      </c>
      <c r="D38" s="63" t="s">
        <v>94</v>
      </c>
      <c r="E38" s="64" t="s">
        <v>95</v>
      </c>
      <c r="F38" s="65">
        <v>3945</v>
      </c>
      <c r="G38" s="66" t="s">
        <v>30</v>
      </c>
      <c r="H38" s="67">
        <v>2119</v>
      </c>
      <c r="I38" s="68">
        <v>3</v>
      </c>
      <c r="J38" s="68">
        <v>4</v>
      </c>
      <c r="K38" s="91">
        <v>21.200000000000003</v>
      </c>
      <c r="L38" s="91">
        <v>10.133018359650215</v>
      </c>
      <c r="M38" s="91">
        <v>11.066981640349789</v>
      </c>
      <c r="N38" s="91">
        <v>10.600000000000001</v>
      </c>
      <c r="O38" s="91">
        <v>9.3280000000000012</v>
      </c>
      <c r="P38" s="91">
        <v>1.272</v>
      </c>
      <c r="Q38" s="85">
        <v>3.18</v>
      </c>
      <c r="R38" s="69" t="s">
        <v>1107</v>
      </c>
      <c r="S38" s="86">
        <v>3</v>
      </c>
      <c r="T38" s="69">
        <v>1</v>
      </c>
      <c r="U38" s="68">
        <v>0</v>
      </c>
      <c r="V38" s="68">
        <v>0</v>
      </c>
      <c r="W38" s="68">
        <v>0</v>
      </c>
      <c r="X38" s="68">
        <v>0</v>
      </c>
      <c r="Y38" s="68">
        <v>1</v>
      </c>
      <c r="Z38" s="68">
        <v>0</v>
      </c>
      <c r="AA38" s="68">
        <v>0</v>
      </c>
      <c r="AB38" s="69">
        <v>0</v>
      </c>
      <c r="AC38" s="69">
        <v>0</v>
      </c>
      <c r="AD38" s="70">
        <f>IFERROR(tblTarget[[#This Row],[Cluster Target]]/tblTarget[[#This Row],[Cluster PiN]],0)</f>
        <v>1.0004719207173196E-2</v>
      </c>
      <c r="AE38" s="79">
        <f>_xlfn.XLOOKUP(tblTarget[[#This Row],[ID]],tblResponse[ID],tblResponse[2024 Projected reached (Dec 2024)])</f>
        <v>0</v>
      </c>
      <c r="AF38" s="79">
        <f>_xlfn.XLOOKUP(tblTarget[[#This Row],[ID]],tblResponse[ID],tblResponse[2024 Intercluster reached -August RPM])</f>
        <v>3314.8903702255639</v>
      </c>
      <c r="AG38" s="79">
        <v>1</v>
      </c>
      <c r="AH38" s="79"/>
      <c r="AI38" s="79"/>
      <c r="AJ38" s="70" t="str">
        <f>IF(tblTarget[[#This Row],[Target to PiN (%)]]&gt;Targ_vs_PiN,"Flagged","")</f>
        <v/>
      </c>
      <c r="AK38" s="69" t="str">
        <f>IF(AND(tblTarget[[#This Row],[Qualifies for exception]]="Flagged",tblTarget[[#This Row],[Target to PiN (%)]]&gt;Targ_severity5),"Flagged","")</f>
        <v/>
      </c>
      <c r="AL38" s="68" t="str">
        <f>IFERROR(IF(AND(tblTarget[[#This Row],[Intercluser Severity]]=4,tblTarget[[#This Row],[Qualifies for exception]]="Flagged",(tblTarget[[#This Row],[Cluster Target]]-tblTarget[[#This Row],[2024 Response capacity up to December]])/tblTarget[[#This Row],[Cluster Target]]&gt;Diff_severity4),"Flagged",""),"No target")</f>
        <v>Flagged</v>
      </c>
      <c r="AM38" s="68" t="str">
        <f>IFERROR(IF(AND(tblTarget[[#This Row],[Intercluser Severity]]=3,tblTarget[[#This Row],[Qualifies for exception]]="Flagged",(tblTarget[[#This Row],[Cluster Target]]-tblTarget[[#This Row],[2024 Response capacity up to December]])/tblTarget[[#This Row],[Cluster Target]]&gt;Diff_severity3),"Flagged",""),"No target")</f>
        <v/>
      </c>
      <c r="AN38" s="81" t="s">
        <v>1099</v>
      </c>
      <c r="AO38" s="81"/>
      <c r="AP38" s="81" t="s">
        <v>1099</v>
      </c>
      <c r="AQ38" s="81" t="s">
        <v>1107</v>
      </c>
    </row>
    <row r="39" spans="1:43" ht="15.95" customHeight="1" x14ac:dyDescent="0.2">
      <c r="A39" s="62" t="s">
        <v>476</v>
      </c>
      <c r="B39" s="63" t="s">
        <v>78</v>
      </c>
      <c r="C39" s="64" t="s">
        <v>79</v>
      </c>
      <c r="D39" s="63" t="s">
        <v>96</v>
      </c>
      <c r="E39" s="64" t="s">
        <v>97</v>
      </c>
      <c r="F39" s="65">
        <v>189</v>
      </c>
      <c r="G39" s="66" t="s">
        <v>30</v>
      </c>
      <c r="H39" s="67">
        <v>155</v>
      </c>
      <c r="I39" s="68">
        <v>3</v>
      </c>
      <c r="J39" s="68">
        <v>4</v>
      </c>
      <c r="K39" s="91">
        <v>24.8</v>
      </c>
      <c r="L39" s="91">
        <v>11.934146511465812</v>
      </c>
      <c r="M39" s="91">
        <v>12.865853488534189</v>
      </c>
      <c r="N39" s="91">
        <v>12.4</v>
      </c>
      <c r="O39" s="91">
        <v>10.912000000000001</v>
      </c>
      <c r="P39" s="91">
        <v>1.488</v>
      </c>
      <c r="Q39" s="85">
        <v>3.7199999999999998</v>
      </c>
      <c r="R39" s="69" t="s">
        <v>15</v>
      </c>
      <c r="S39" s="86">
        <v>4</v>
      </c>
      <c r="T39" s="69">
        <v>1</v>
      </c>
      <c r="U39" s="68">
        <v>0</v>
      </c>
      <c r="V39" s="68">
        <v>0</v>
      </c>
      <c r="W39" s="68">
        <v>0</v>
      </c>
      <c r="X39" s="68">
        <v>0</v>
      </c>
      <c r="Y39" s="68">
        <v>1</v>
      </c>
      <c r="Z39" s="68">
        <v>0</v>
      </c>
      <c r="AA39" s="68">
        <v>0</v>
      </c>
      <c r="AB39" s="69">
        <v>0</v>
      </c>
      <c r="AC39" s="69">
        <v>0</v>
      </c>
      <c r="AD39" s="70">
        <f>IFERROR(tblTarget[[#This Row],[Cluster Target]]/tblTarget[[#This Row],[Cluster PiN]],0)</f>
        <v>0.16</v>
      </c>
      <c r="AE39" s="79">
        <f>_xlfn.XLOOKUP(tblTarget[[#This Row],[ID]],tblResponse[ID],tblResponse[2024 Projected reached (Dec 2024)])</f>
        <v>0</v>
      </c>
      <c r="AF39" s="79">
        <f>_xlfn.XLOOKUP(tblTarget[[#This Row],[ID]],tblResponse[ID],tblResponse[2024 Intercluster reached -August RPM])</f>
        <v>3215.5416086020878</v>
      </c>
      <c r="AG39" s="79">
        <v>1</v>
      </c>
      <c r="AH39" s="79"/>
      <c r="AI39" s="79"/>
      <c r="AJ39" s="70" t="str">
        <f>IF(tblTarget[[#This Row],[Target to PiN (%)]]&gt;Targ_vs_PiN,"Flagged","")</f>
        <v/>
      </c>
      <c r="AK39" s="69" t="str">
        <f>IF(AND(tblTarget[[#This Row],[Qualifies for exception]]="Flagged",tblTarget[[#This Row],[Target to PiN (%)]]&gt;Targ_severity5),"Flagged","")</f>
        <v/>
      </c>
      <c r="AL39" s="68" t="str">
        <f>IFERROR(IF(AND(tblTarget[[#This Row],[Intercluser Severity]]=4,tblTarget[[#This Row],[Qualifies for exception]]="Flagged",(tblTarget[[#This Row],[Cluster Target]]-tblTarget[[#This Row],[2024 Response capacity up to December]])/tblTarget[[#This Row],[Cluster Target]]&gt;Diff_severity4),"Flagged",""),"No target")</f>
        <v/>
      </c>
      <c r="AM39" s="68" t="str">
        <f>IFERROR(IF(AND(tblTarget[[#This Row],[Intercluser Severity]]=3,tblTarget[[#This Row],[Qualifies for exception]]="Flagged",(tblTarget[[#This Row],[Cluster Target]]-tblTarget[[#This Row],[2024 Response capacity up to December]])/tblTarget[[#This Row],[Cluster Target]]&gt;Diff_severity3),"Flagged",""),"No target")</f>
        <v/>
      </c>
      <c r="AN39" s="81" t="s">
        <v>1099</v>
      </c>
      <c r="AO39" s="81"/>
      <c r="AP39" s="81" t="s">
        <v>15</v>
      </c>
      <c r="AQ39" s="81" t="s">
        <v>1098</v>
      </c>
    </row>
    <row r="40" spans="1:43" ht="15.95" hidden="1" customHeight="1" x14ac:dyDescent="0.2">
      <c r="A40" s="62" t="s">
        <v>477</v>
      </c>
      <c r="B40" s="63" t="s">
        <v>78</v>
      </c>
      <c r="C40" s="64" t="s">
        <v>79</v>
      </c>
      <c r="D40" s="63" t="s">
        <v>98</v>
      </c>
      <c r="E40" s="64" t="s">
        <v>99</v>
      </c>
      <c r="F40" s="65">
        <v>916</v>
      </c>
      <c r="G40" s="66" t="s">
        <v>30</v>
      </c>
      <c r="H40" s="66">
        <v>827</v>
      </c>
      <c r="I40" s="68">
        <v>3</v>
      </c>
      <c r="J40" s="68">
        <v>4</v>
      </c>
      <c r="K40" s="91">
        <v>32.800000000000004</v>
      </c>
      <c r="L40" s="91">
        <v>15.80797677826947</v>
      </c>
      <c r="M40" s="91">
        <v>16.992023221730534</v>
      </c>
      <c r="N40" s="91">
        <v>16.400000000000002</v>
      </c>
      <c r="O40" s="91">
        <v>14.432000000000002</v>
      </c>
      <c r="P40" s="91">
        <v>1.9680000000000002</v>
      </c>
      <c r="Q40" s="85">
        <v>4.9200000000000008</v>
      </c>
      <c r="R40" s="69" t="s">
        <v>1107</v>
      </c>
      <c r="S40" s="86">
        <v>5</v>
      </c>
      <c r="T40" s="69">
        <v>1</v>
      </c>
      <c r="U40" s="68">
        <v>0</v>
      </c>
      <c r="V40" s="68">
        <v>0</v>
      </c>
      <c r="W40" s="68">
        <v>0</v>
      </c>
      <c r="X40" s="68">
        <v>1</v>
      </c>
      <c r="Y40" s="68">
        <v>2</v>
      </c>
      <c r="Z40" s="68">
        <v>0</v>
      </c>
      <c r="AA40" s="68">
        <v>0</v>
      </c>
      <c r="AB40" s="69">
        <v>0</v>
      </c>
      <c r="AC40" s="69">
        <v>0</v>
      </c>
      <c r="AD40" s="70">
        <f>IFERROR(tblTarget[[#This Row],[Cluster Target]]/tblTarget[[#This Row],[Cluster PiN]],0)</f>
        <v>3.9661426844014518E-2</v>
      </c>
      <c r="AE40" s="79">
        <f>_xlfn.XLOOKUP(tblTarget[[#This Row],[ID]],tblResponse[ID],tblResponse[2024 Projected reached (Dec 2024)])</f>
        <v>0</v>
      </c>
      <c r="AF40" s="79">
        <f>_xlfn.XLOOKUP(tblTarget[[#This Row],[ID]],tblResponse[ID],tblResponse[2024 Intercluster reached -August RPM])</f>
        <v>62485.473587001972</v>
      </c>
      <c r="AG40" s="79">
        <v>2</v>
      </c>
      <c r="AH40" s="79"/>
      <c r="AI40" s="79"/>
      <c r="AJ40" s="70" t="str">
        <f>IF(tblTarget[[#This Row],[Target to PiN (%)]]&gt;Targ_vs_PiN,"Flagged","")</f>
        <v/>
      </c>
      <c r="AK40" s="69" t="str">
        <f>IF(AND(tblTarget[[#This Row],[Qualifies for exception]]="Flagged",tblTarget[[#This Row],[Target to PiN (%)]]&gt;Targ_severity5),"Flagged","")</f>
        <v/>
      </c>
      <c r="AL40" s="68" t="str">
        <f>IFERROR(IF(AND(tblTarget[[#This Row],[Intercluser Severity]]=4,tblTarget[[#This Row],[Qualifies for exception]]="Flagged",(tblTarget[[#This Row],[Cluster Target]]-tblTarget[[#This Row],[2024 Response capacity up to December]])/tblTarget[[#This Row],[Cluster Target]]&gt;Diff_severity4),"Flagged",""),"No target")</f>
        <v>Flagged</v>
      </c>
      <c r="AM40" s="68" t="str">
        <f>IFERROR(IF(AND(tblTarget[[#This Row],[Intercluser Severity]]=3,tblTarget[[#This Row],[Qualifies for exception]]="Flagged",(tblTarget[[#This Row],[Cluster Target]]-tblTarget[[#This Row],[2024 Response capacity up to December]])/tblTarget[[#This Row],[Cluster Target]]&gt;Diff_severity3),"Flagged",""),"No target")</f>
        <v/>
      </c>
      <c r="AN40" s="81" t="s">
        <v>1099</v>
      </c>
      <c r="AO40" s="81"/>
      <c r="AP40" s="81" t="s">
        <v>1099</v>
      </c>
      <c r="AQ40" s="81" t="s">
        <v>1107</v>
      </c>
    </row>
    <row r="41" spans="1:43" ht="15.95" customHeight="1" x14ac:dyDescent="0.2">
      <c r="A41" s="62" t="s">
        <v>478</v>
      </c>
      <c r="B41" s="63" t="s">
        <v>78</v>
      </c>
      <c r="C41" s="64" t="s">
        <v>79</v>
      </c>
      <c r="D41" s="63" t="s">
        <v>100</v>
      </c>
      <c r="E41" s="64" t="s">
        <v>101</v>
      </c>
      <c r="F41" s="65">
        <v>0</v>
      </c>
      <c r="G41" s="66" t="s">
        <v>30</v>
      </c>
      <c r="H41" s="67">
        <v>0</v>
      </c>
      <c r="I41" s="68">
        <v>3</v>
      </c>
      <c r="J41" s="68">
        <v>5</v>
      </c>
      <c r="K41" s="91">
        <v>0</v>
      </c>
      <c r="L41" s="91">
        <v>0</v>
      </c>
      <c r="M41" s="91">
        <v>0</v>
      </c>
      <c r="N41" s="91">
        <v>0</v>
      </c>
      <c r="O41" s="91">
        <v>0</v>
      </c>
      <c r="P41" s="91">
        <v>0</v>
      </c>
      <c r="Q41" s="85">
        <v>0</v>
      </c>
      <c r="R41" s="69" t="s">
        <v>15</v>
      </c>
      <c r="S41" s="86">
        <v>0</v>
      </c>
      <c r="T41" s="69">
        <v>0</v>
      </c>
      <c r="U41" s="68">
        <v>0</v>
      </c>
      <c r="V41" s="68">
        <v>0</v>
      </c>
      <c r="W41" s="68">
        <v>0</v>
      </c>
      <c r="X41" s="68">
        <v>0</v>
      </c>
      <c r="Y41" s="68">
        <v>0</v>
      </c>
      <c r="Z41" s="68">
        <v>0</v>
      </c>
      <c r="AA41" s="68">
        <v>0</v>
      </c>
      <c r="AB41" s="69">
        <v>0</v>
      </c>
      <c r="AC41" s="69">
        <v>0</v>
      </c>
      <c r="AD41" s="70">
        <f>IFERROR(tblTarget[[#This Row],[Cluster Target]]/tblTarget[[#This Row],[Cluster PiN]],0)</f>
        <v>0</v>
      </c>
      <c r="AE41" s="79">
        <f>_xlfn.XLOOKUP(tblTarget[[#This Row],[ID]],tblResponse[ID],tblResponse[2024 Projected reached (Dec 2024)])</f>
        <v>0</v>
      </c>
      <c r="AF41" s="79">
        <f>_xlfn.XLOOKUP(tblTarget[[#This Row],[ID]],tblResponse[ID],tblResponse[2024 Intercluster reached -August RPM])</f>
        <v>3927.0746407927586</v>
      </c>
      <c r="AG41" s="79">
        <v>1</v>
      </c>
      <c r="AH41" s="79"/>
      <c r="AI41" s="79"/>
      <c r="AJ41" s="70" t="str">
        <f>IF(tblTarget[[#This Row],[Target to PiN (%)]]&gt;Targ_vs_PiN,"Flagged","")</f>
        <v/>
      </c>
      <c r="AK41" s="69" t="str">
        <f>IF(AND(tblTarget[[#This Row],[Qualifies for exception]]="Flagged",tblTarget[[#This Row],[Target to PiN (%)]]&gt;Targ_severity5),"Flagged","")</f>
        <v/>
      </c>
      <c r="AL41" s="68" t="str">
        <f>IFERROR(IF(AND(tblTarget[[#This Row],[Intercluser Severity]]=4,tblTarget[[#This Row],[Qualifies for exception]]="Flagged",(tblTarget[[#This Row],[Cluster Target]]-tblTarget[[#This Row],[2024 Response capacity up to December]])/tblTarget[[#This Row],[Cluster Target]]&gt;Diff_severity4),"Flagged",""),"No target")</f>
        <v>No target</v>
      </c>
      <c r="AM41" s="68" t="str">
        <f>IFERROR(IF(AND(tblTarget[[#This Row],[Intercluser Severity]]=3,tblTarget[[#This Row],[Qualifies for exception]]="Flagged",(tblTarget[[#This Row],[Cluster Target]]-tblTarget[[#This Row],[2024 Response capacity up to December]])/tblTarget[[#This Row],[Cluster Target]]&gt;Diff_severity3),"Flagged",""),"No target")</f>
        <v>No target</v>
      </c>
      <c r="AN41" s="81" t="s">
        <v>1099</v>
      </c>
      <c r="AO41" s="81"/>
      <c r="AP41" s="81" t="s">
        <v>1099</v>
      </c>
      <c r="AQ41" s="81" t="s">
        <v>1098</v>
      </c>
    </row>
    <row r="42" spans="1:43" ht="15.95" customHeight="1" x14ac:dyDescent="0.2">
      <c r="A42" s="62" t="s">
        <v>479</v>
      </c>
      <c r="B42" s="63" t="s">
        <v>78</v>
      </c>
      <c r="C42" s="64" t="s">
        <v>79</v>
      </c>
      <c r="D42" s="63" t="s">
        <v>102</v>
      </c>
      <c r="E42" s="64" t="s">
        <v>103</v>
      </c>
      <c r="F42" s="65">
        <v>87312</v>
      </c>
      <c r="G42" s="66" t="s">
        <v>30</v>
      </c>
      <c r="H42" s="67">
        <v>30137</v>
      </c>
      <c r="I42" s="68">
        <v>3</v>
      </c>
      <c r="J42" s="68">
        <v>4</v>
      </c>
      <c r="K42" s="91">
        <v>346.40000000000003</v>
      </c>
      <c r="L42" s="91">
        <v>173.23137480553248</v>
      </c>
      <c r="M42" s="91">
        <v>173.16862519446755</v>
      </c>
      <c r="N42" s="91">
        <v>173.20000000000002</v>
      </c>
      <c r="O42" s="91">
        <v>152.41600000000003</v>
      </c>
      <c r="P42" s="91">
        <v>20.784000000000002</v>
      </c>
      <c r="Q42" s="85">
        <v>51.96</v>
      </c>
      <c r="R42" s="69" t="s">
        <v>15</v>
      </c>
      <c r="S42" s="86">
        <v>50</v>
      </c>
      <c r="T42" s="69">
        <v>12</v>
      </c>
      <c r="U42" s="68">
        <v>0</v>
      </c>
      <c r="V42" s="68">
        <v>0</v>
      </c>
      <c r="W42" s="68">
        <v>3</v>
      </c>
      <c r="X42" s="68">
        <v>7</v>
      </c>
      <c r="Y42" s="68">
        <v>21</v>
      </c>
      <c r="Z42" s="68">
        <v>3</v>
      </c>
      <c r="AA42" s="68">
        <v>0</v>
      </c>
      <c r="AB42" s="69">
        <v>0</v>
      </c>
      <c r="AC42" s="69">
        <v>0</v>
      </c>
      <c r="AD42" s="70">
        <f>IFERROR(tblTarget[[#This Row],[Cluster Target]]/tblTarget[[#This Row],[Cluster PiN]],0)</f>
        <v>1.1494176593556095E-2</v>
      </c>
      <c r="AE42" s="79">
        <f>_xlfn.XLOOKUP(tblTarget[[#This Row],[ID]],tblResponse[ID],tblResponse[2024 Projected reached (Dec 2024)])</f>
        <v>0</v>
      </c>
      <c r="AF42" s="79">
        <f>_xlfn.XLOOKUP(tblTarget[[#This Row],[ID]],tblResponse[ID],tblResponse[2024 Intercluster reached -August RPM])</f>
        <v>0</v>
      </c>
      <c r="AG42" s="79">
        <v>1</v>
      </c>
      <c r="AH42" s="79"/>
      <c r="AI42" s="79"/>
      <c r="AJ42" s="70" t="str">
        <f>IF(tblTarget[[#This Row],[Target to PiN (%)]]&gt;Targ_vs_PiN,"Flagged","")</f>
        <v/>
      </c>
      <c r="AK42" s="69" t="str">
        <f>IF(AND(tblTarget[[#This Row],[Qualifies for exception]]="Flagged",tblTarget[[#This Row],[Target to PiN (%)]]&gt;Targ_severity5),"Flagged","")</f>
        <v/>
      </c>
      <c r="AL42" s="68" t="str">
        <f>IFERROR(IF(AND(tblTarget[[#This Row],[Intercluser Severity]]=4,tblTarget[[#This Row],[Qualifies for exception]]="Flagged",(tblTarget[[#This Row],[Cluster Target]]-tblTarget[[#This Row],[2024 Response capacity up to December]])/tblTarget[[#This Row],[Cluster Target]]&gt;Diff_severity4),"Flagged",""),"No target")</f>
        <v/>
      </c>
      <c r="AM42" s="68" t="str">
        <f>IFERROR(IF(AND(tblTarget[[#This Row],[Intercluser Severity]]=3,tblTarget[[#This Row],[Qualifies for exception]]="Flagged",(tblTarget[[#This Row],[Cluster Target]]-tblTarget[[#This Row],[2024 Response capacity up to December]])/tblTarget[[#This Row],[Cluster Target]]&gt;Diff_severity3),"Flagged",""),"No target")</f>
        <v/>
      </c>
      <c r="AN42" s="81" t="s">
        <v>1099</v>
      </c>
      <c r="AO42" s="81"/>
      <c r="AP42" s="81" t="s">
        <v>15</v>
      </c>
      <c r="AQ42" s="81" t="s">
        <v>1098</v>
      </c>
    </row>
    <row r="43" spans="1:43" ht="15.95" hidden="1" customHeight="1" x14ac:dyDescent="0.2">
      <c r="A43" s="62" t="s">
        <v>480</v>
      </c>
      <c r="B43" s="63" t="s">
        <v>78</v>
      </c>
      <c r="C43" s="64" t="s">
        <v>79</v>
      </c>
      <c r="D43" s="63" t="s">
        <v>104</v>
      </c>
      <c r="E43" s="64" t="s">
        <v>105</v>
      </c>
      <c r="F43" s="65">
        <v>9090</v>
      </c>
      <c r="G43" s="66" t="s">
        <v>30</v>
      </c>
      <c r="H43" s="67">
        <v>4553</v>
      </c>
      <c r="I43" s="68">
        <v>3</v>
      </c>
      <c r="J43" s="68">
        <v>4</v>
      </c>
      <c r="K43" s="91">
        <v>45.6</v>
      </c>
      <c r="L43" s="91">
        <v>23.196959822541679</v>
      </c>
      <c r="M43" s="91">
        <v>22.403040177458323</v>
      </c>
      <c r="N43" s="91">
        <v>22.8</v>
      </c>
      <c r="O43" s="91">
        <v>20.064</v>
      </c>
      <c r="P43" s="91">
        <v>2.7359999999999998</v>
      </c>
      <c r="Q43" s="85">
        <v>6.84</v>
      </c>
      <c r="R43" s="69" t="s">
        <v>1107</v>
      </c>
      <c r="S43" s="86">
        <v>7</v>
      </c>
      <c r="T43" s="69">
        <v>2</v>
      </c>
      <c r="U43" s="68">
        <v>0</v>
      </c>
      <c r="V43" s="68">
        <v>0</v>
      </c>
      <c r="W43" s="68">
        <v>0</v>
      </c>
      <c r="X43" s="68">
        <v>1</v>
      </c>
      <c r="Y43" s="68">
        <v>3</v>
      </c>
      <c r="Z43" s="68">
        <v>0</v>
      </c>
      <c r="AA43" s="68">
        <v>0</v>
      </c>
      <c r="AB43" s="69">
        <v>0</v>
      </c>
      <c r="AC43" s="69">
        <v>0</v>
      </c>
      <c r="AD43" s="70">
        <f>IFERROR(tblTarget[[#This Row],[Cluster Target]]/tblTarget[[#This Row],[Cluster PiN]],0)</f>
        <v>1.0015374478365913E-2</v>
      </c>
      <c r="AE43" s="79">
        <f>_xlfn.XLOOKUP(tblTarget[[#This Row],[ID]],tblResponse[ID],tblResponse[2024 Projected reached (Dec 2024)])</f>
        <v>0</v>
      </c>
      <c r="AF43" s="79">
        <f>_xlfn.XLOOKUP(tblTarget[[#This Row],[ID]],tblResponse[ID],tblResponse[2024 Intercluster reached -August RPM])</f>
        <v>552.01530226001898</v>
      </c>
      <c r="AG43" s="79">
        <v>1</v>
      </c>
      <c r="AH43" s="79"/>
      <c r="AI43" s="79"/>
      <c r="AJ43" s="70" t="str">
        <f>IF(tblTarget[[#This Row],[Target to PiN (%)]]&gt;Targ_vs_PiN,"Flagged","")</f>
        <v/>
      </c>
      <c r="AK43" s="69" t="str">
        <f>IF(AND(tblTarget[[#This Row],[Qualifies for exception]]="Flagged",tblTarget[[#This Row],[Target to PiN (%)]]&gt;Targ_severity5),"Flagged","")</f>
        <v/>
      </c>
      <c r="AL43" s="68" t="str">
        <f>IFERROR(IF(AND(tblTarget[[#This Row],[Intercluser Severity]]=4,tblTarget[[#This Row],[Qualifies for exception]]="Flagged",(tblTarget[[#This Row],[Cluster Target]]-tblTarget[[#This Row],[2024 Response capacity up to December]])/tblTarget[[#This Row],[Cluster Target]]&gt;Diff_severity4),"Flagged",""),"No target")</f>
        <v>Flagged</v>
      </c>
      <c r="AM43" s="68" t="str">
        <f>IFERROR(IF(AND(tblTarget[[#This Row],[Intercluser Severity]]=3,tblTarget[[#This Row],[Qualifies for exception]]="Flagged",(tblTarget[[#This Row],[Cluster Target]]-tblTarget[[#This Row],[2024 Response capacity up to December]])/tblTarget[[#This Row],[Cluster Target]]&gt;Diff_severity3),"Flagged",""),"No target")</f>
        <v/>
      </c>
      <c r="AN43" s="81" t="s">
        <v>1099</v>
      </c>
      <c r="AO43" s="81"/>
      <c r="AP43" s="81" t="s">
        <v>1099</v>
      </c>
      <c r="AQ43" s="81" t="s">
        <v>1107</v>
      </c>
    </row>
    <row r="44" spans="1:43" ht="15.95" customHeight="1" x14ac:dyDescent="0.2">
      <c r="A44" s="62" t="s">
        <v>481</v>
      </c>
      <c r="B44" s="63" t="s">
        <v>78</v>
      </c>
      <c r="C44" s="64" t="s">
        <v>79</v>
      </c>
      <c r="D44" s="63" t="s">
        <v>106</v>
      </c>
      <c r="E44" s="64" t="s">
        <v>107</v>
      </c>
      <c r="F44" s="65">
        <v>30621</v>
      </c>
      <c r="G44" s="66" t="s">
        <v>30</v>
      </c>
      <c r="H44" s="67">
        <v>18534</v>
      </c>
      <c r="I44" s="68">
        <v>4</v>
      </c>
      <c r="J44" s="68">
        <v>4</v>
      </c>
      <c r="K44" s="91">
        <v>2224</v>
      </c>
      <c r="L44" s="91">
        <v>1126.8491087903815</v>
      </c>
      <c r="M44" s="91">
        <v>1097.1508912096185</v>
      </c>
      <c r="N44" s="91">
        <v>1112</v>
      </c>
      <c r="O44" s="91">
        <v>978.56000000000006</v>
      </c>
      <c r="P44" s="91">
        <v>133.44</v>
      </c>
      <c r="Q44" s="85">
        <v>333.59999999999997</v>
      </c>
      <c r="R44" s="69" t="s">
        <v>15</v>
      </c>
      <c r="S44" s="86">
        <v>320</v>
      </c>
      <c r="T44" s="69">
        <v>80</v>
      </c>
      <c r="U44" s="68">
        <v>0</v>
      </c>
      <c r="V44" s="68">
        <v>0</v>
      </c>
      <c r="W44" s="68">
        <v>22</v>
      </c>
      <c r="X44" s="68">
        <v>44</v>
      </c>
      <c r="Y44" s="68">
        <v>133</v>
      </c>
      <c r="Z44" s="68">
        <v>22</v>
      </c>
      <c r="AA44" s="68">
        <v>10.804748422376218</v>
      </c>
      <c r="AB44" s="69">
        <v>0</v>
      </c>
      <c r="AC44" s="69">
        <v>0</v>
      </c>
      <c r="AD44" s="70">
        <f>IFERROR(tblTarget[[#This Row],[Cluster Target]]/tblTarget[[#This Row],[Cluster PiN]],0)</f>
        <v>0.1199956836085033</v>
      </c>
      <c r="AE44" s="79">
        <f>_xlfn.XLOOKUP(tblTarget[[#This Row],[ID]],tblResponse[ID],tblResponse[2024 Projected reached (Dec 2024)])</f>
        <v>0</v>
      </c>
      <c r="AF44" s="79">
        <f>_xlfn.XLOOKUP(tblTarget[[#This Row],[ID]],tblResponse[ID],tblResponse[2024 Intercluster reached -August RPM])</f>
        <v>0</v>
      </c>
      <c r="AG44" s="79">
        <v>1</v>
      </c>
      <c r="AH44" s="79"/>
      <c r="AI44" s="79"/>
      <c r="AJ44" s="70" t="str">
        <f>IF(tblTarget[[#This Row],[Target to PiN (%)]]&gt;Targ_vs_PiN,"Flagged","")</f>
        <v/>
      </c>
      <c r="AK44" s="69" t="str">
        <f>IF(AND(tblTarget[[#This Row],[Qualifies for exception]]="Flagged",tblTarget[[#This Row],[Target to PiN (%)]]&gt;Targ_severity5),"Flagged","")</f>
        <v/>
      </c>
      <c r="AL44" s="68" t="str">
        <f>IFERROR(IF(AND(tblTarget[[#This Row],[Intercluser Severity]]=4,tblTarget[[#This Row],[Qualifies for exception]]="Flagged",(tblTarget[[#This Row],[Cluster Target]]-tblTarget[[#This Row],[2024 Response capacity up to December]])/tblTarget[[#This Row],[Cluster Target]]&gt;Diff_severity4),"Flagged",""),"No target")</f>
        <v/>
      </c>
      <c r="AM44" s="68" t="str">
        <f>IFERROR(IF(AND(tblTarget[[#This Row],[Intercluser Severity]]=3,tblTarget[[#This Row],[Qualifies for exception]]="Flagged",(tblTarget[[#This Row],[Cluster Target]]-tblTarget[[#This Row],[2024 Response capacity up to December]])/tblTarget[[#This Row],[Cluster Target]]&gt;Diff_severity3),"Flagged",""),"No target")</f>
        <v/>
      </c>
      <c r="AN44" s="81" t="s">
        <v>1099</v>
      </c>
      <c r="AO44" s="81"/>
      <c r="AP44" s="81" t="s">
        <v>15</v>
      </c>
      <c r="AQ44" s="81" t="s">
        <v>1098</v>
      </c>
    </row>
    <row r="45" spans="1:43" ht="15.95" hidden="1" customHeight="1" x14ac:dyDescent="0.2">
      <c r="A45" s="62" t="s">
        <v>482</v>
      </c>
      <c r="B45" s="63" t="s">
        <v>78</v>
      </c>
      <c r="C45" s="64" t="s">
        <v>79</v>
      </c>
      <c r="D45" s="63" t="s">
        <v>108</v>
      </c>
      <c r="E45" s="64" t="s">
        <v>109</v>
      </c>
      <c r="F45" s="65">
        <v>43133</v>
      </c>
      <c r="G45" s="66" t="s">
        <v>30</v>
      </c>
      <c r="H45" s="67">
        <v>16791</v>
      </c>
      <c r="I45" s="68">
        <v>3</v>
      </c>
      <c r="J45" s="68">
        <v>3</v>
      </c>
      <c r="K45" s="91">
        <v>0</v>
      </c>
      <c r="L45" s="91">
        <v>0</v>
      </c>
      <c r="M45" s="91">
        <v>0</v>
      </c>
      <c r="N45" s="91">
        <v>0</v>
      </c>
      <c r="O45" s="91">
        <v>0</v>
      </c>
      <c r="P45" s="91">
        <v>0</v>
      </c>
      <c r="Q45" s="85">
        <v>0</v>
      </c>
      <c r="R45" s="69" t="s">
        <v>1107</v>
      </c>
      <c r="S45" s="86">
        <v>0</v>
      </c>
      <c r="T45" s="69">
        <v>0</v>
      </c>
      <c r="U45" s="68">
        <v>0</v>
      </c>
      <c r="V45" s="68">
        <v>0</v>
      </c>
      <c r="W45" s="68">
        <v>0</v>
      </c>
      <c r="X45" s="68">
        <v>0</v>
      </c>
      <c r="Y45" s="68">
        <v>0</v>
      </c>
      <c r="Z45" s="68">
        <v>0</v>
      </c>
      <c r="AA45" s="68">
        <v>0</v>
      </c>
      <c r="AB45" s="69">
        <v>0</v>
      </c>
      <c r="AC45" s="69">
        <v>0</v>
      </c>
      <c r="AD45" s="70">
        <f>IFERROR(tblTarget[[#This Row],[Cluster Target]]/tblTarget[[#This Row],[Cluster PiN]],0)</f>
        <v>0</v>
      </c>
      <c r="AE45" s="79">
        <f>_xlfn.XLOOKUP(tblTarget[[#This Row],[ID]],tblResponse[ID],tblResponse[2024 Projected reached (Dec 2024)])</f>
        <v>0</v>
      </c>
      <c r="AF45" s="79">
        <f>_xlfn.XLOOKUP(tblTarget[[#This Row],[ID]],tblResponse[ID],tblResponse[2024 Intercluster reached -August RPM])</f>
        <v>3498.1958318125412</v>
      </c>
      <c r="AG45" s="79">
        <v>1</v>
      </c>
      <c r="AH45" s="79"/>
      <c r="AI45" s="79"/>
      <c r="AJ45" s="70" t="str">
        <f>IF(tblTarget[[#This Row],[Target to PiN (%)]]&gt;Targ_vs_PiN,"Flagged","")</f>
        <v/>
      </c>
      <c r="AK45" s="69" t="str">
        <f>IF(AND(tblTarget[[#This Row],[Qualifies for exception]]="Flagged",tblTarget[[#This Row],[Target to PiN (%)]]&gt;Targ_severity5),"Flagged","")</f>
        <v/>
      </c>
      <c r="AL45" s="68" t="str">
        <f>IFERROR(IF(AND(tblTarget[[#This Row],[Intercluser Severity]]=4,tblTarget[[#This Row],[Qualifies for exception]]="Flagged",(tblTarget[[#This Row],[Cluster Target]]-tblTarget[[#This Row],[2024 Response capacity up to December]])/tblTarget[[#This Row],[Cluster Target]]&gt;Diff_severity4),"Flagged",""),"No target")</f>
        <v>No target</v>
      </c>
      <c r="AM45" s="68" t="str">
        <f>IFERROR(IF(AND(tblTarget[[#This Row],[Intercluser Severity]]=3,tblTarget[[#This Row],[Qualifies for exception]]="Flagged",(tblTarget[[#This Row],[Cluster Target]]-tblTarget[[#This Row],[2024 Response capacity up to December]])/tblTarget[[#This Row],[Cluster Target]]&gt;Diff_severity3),"Flagged",""),"No target")</f>
        <v>No target</v>
      </c>
      <c r="AN45" s="81" t="s">
        <v>1099</v>
      </c>
      <c r="AO45" s="81"/>
      <c r="AP45" s="81" t="s">
        <v>1099</v>
      </c>
      <c r="AQ45" s="81" t="s">
        <v>1107</v>
      </c>
    </row>
    <row r="46" spans="1:43" ht="15.95" hidden="1" customHeight="1" x14ac:dyDescent="0.2">
      <c r="A46" s="62" t="s">
        <v>483</v>
      </c>
      <c r="B46" s="63" t="s">
        <v>78</v>
      </c>
      <c r="C46" s="64" t="s">
        <v>79</v>
      </c>
      <c r="D46" s="63" t="s">
        <v>110</v>
      </c>
      <c r="E46" s="64" t="s">
        <v>111</v>
      </c>
      <c r="F46" s="65">
        <v>55740</v>
      </c>
      <c r="G46" s="66" t="s">
        <v>30</v>
      </c>
      <c r="H46" s="67">
        <v>33704</v>
      </c>
      <c r="I46" s="68">
        <v>3</v>
      </c>
      <c r="J46" s="68">
        <v>4</v>
      </c>
      <c r="K46" s="91">
        <v>1177</v>
      </c>
      <c r="L46" s="91">
        <v>583.00780235106595</v>
      </c>
      <c r="M46" s="91">
        <v>593.99219764893405</v>
      </c>
      <c r="N46" s="91">
        <v>588.5</v>
      </c>
      <c r="O46" s="91">
        <v>517.88</v>
      </c>
      <c r="P46" s="91">
        <v>70.61999999999999</v>
      </c>
      <c r="Q46" s="85">
        <v>176.54999999999998</v>
      </c>
      <c r="R46" s="69" t="s">
        <v>1107</v>
      </c>
      <c r="S46" s="86">
        <v>169</v>
      </c>
      <c r="T46" s="69">
        <v>42</v>
      </c>
      <c r="U46" s="68">
        <v>0</v>
      </c>
      <c r="V46" s="68">
        <v>0</v>
      </c>
      <c r="W46" s="68">
        <v>12</v>
      </c>
      <c r="X46" s="68">
        <v>24</v>
      </c>
      <c r="Y46" s="68">
        <v>71</v>
      </c>
      <c r="Z46" s="68">
        <v>12</v>
      </c>
      <c r="AA46" s="68">
        <v>0</v>
      </c>
      <c r="AB46" s="69">
        <v>0</v>
      </c>
      <c r="AC46" s="69">
        <v>0</v>
      </c>
      <c r="AD46" s="70">
        <f>IFERROR(tblTarget[[#This Row],[Cluster Target]]/tblTarget[[#This Row],[Cluster PiN]],0)</f>
        <v>3.4921671018276763E-2</v>
      </c>
      <c r="AE46" s="79">
        <f>_xlfn.XLOOKUP(tblTarget[[#This Row],[ID]],tblResponse[ID],tblResponse[2024 Projected reached (Dec 2024)])</f>
        <v>0</v>
      </c>
      <c r="AF46" s="79">
        <f>_xlfn.XLOOKUP(tblTarget[[#This Row],[ID]],tblResponse[ID],tblResponse[2024 Intercluster reached -August RPM])</f>
        <v>5947.6325532476822</v>
      </c>
      <c r="AG46" s="79">
        <v>1</v>
      </c>
      <c r="AH46" s="79"/>
      <c r="AI46" s="79"/>
      <c r="AJ46" s="70" t="str">
        <f>IF(tblTarget[[#This Row],[Target to PiN (%)]]&gt;Targ_vs_PiN,"Flagged","")</f>
        <v/>
      </c>
      <c r="AK46" s="69" t="str">
        <f>IF(AND(tblTarget[[#This Row],[Qualifies for exception]]="Flagged",tblTarget[[#This Row],[Target to PiN (%)]]&gt;Targ_severity5),"Flagged","")</f>
        <v/>
      </c>
      <c r="AL46" s="68" t="str">
        <f>IFERROR(IF(AND(tblTarget[[#This Row],[Intercluser Severity]]=4,tblTarget[[#This Row],[Qualifies for exception]]="Flagged",(tblTarget[[#This Row],[Cluster Target]]-tblTarget[[#This Row],[2024 Response capacity up to December]])/tblTarget[[#This Row],[Cluster Target]]&gt;Diff_severity4),"Flagged",""),"No target")</f>
        <v>Flagged</v>
      </c>
      <c r="AM46" s="68" t="str">
        <f>IFERROR(IF(AND(tblTarget[[#This Row],[Intercluser Severity]]=3,tblTarget[[#This Row],[Qualifies for exception]]="Flagged",(tblTarget[[#This Row],[Cluster Target]]-tblTarget[[#This Row],[2024 Response capacity up to December]])/tblTarget[[#This Row],[Cluster Target]]&gt;Diff_severity3),"Flagged",""),"No target")</f>
        <v/>
      </c>
      <c r="AN46" s="81" t="s">
        <v>1099</v>
      </c>
      <c r="AO46" s="81"/>
      <c r="AP46" s="81" t="s">
        <v>1099</v>
      </c>
      <c r="AQ46" s="81" t="s">
        <v>1107</v>
      </c>
    </row>
    <row r="47" spans="1:43" ht="15.95" customHeight="1" x14ac:dyDescent="0.2">
      <c r="A47" s="62" t="s">
        <v>484</v>
      </c>
      <c r="B47" s="63" t="s">
        <v>78</v>
      </c>
      <c r="C47" s="64" t="s">
        <v>79</v>
      </c>
      <c r="D47" s="63" t="s">
        <v>112</v>
      </c>
      <c r="E47" s="64" t="s">
        <v>113</v>
      </c>
      <c r="F47" s="65">
        <v>0</v>
      </c>
      <c r="G47" s="66" t="s">
        <v>30</v>
      </c>
      <c r="H47" s="67">
        <v>0</v>
      </c>
      <c r="I47" s="68">
        <v>4</v>
      </c>
      <c r="J47" s="68">
        <v>4</v>
      </c>
      <c r="K47" s="91">
        <v>0</v>
      </c>
      <c r="L47" s="91">
        <v>0</v>
      </c>
      <c r="M47" s="91">
        <v>0</v>
      </c>
      <c r="N47" s="91">
        <v>0</v>
      </c>
      <c r="O47" s="91">
        <v>0</v>
      </c>
      <c r="P47" s="91">
        <v>0</v>
      </c>
      <c r="Q47" s="85">
        <v>0</v>
      </c>
      <c r="R47" s="69" t="s">
        <v>15</v>
      </c>
      <c r="S47" s="86">
        <v>0</v>
      </c>
      <c r="T47" s="69">
        <v>0</v>
      </c>
      <c r="U47" s="68">
        <v>0</v>
      </c>
      <c r="V47" s="68">
        <v>0</v>
      </c>
      <c r="W47" s="68">
        <v>0</v>
      </c>
      <c r="X47" s="68">
        <v>0</v>
      </c>
      <c r="Y47" s="68">
        <v>0</v>
      </c>
      <c r="Z47" s="68">
        <v>0</v>
      </c>
      <c r="AA47" s="68">
        <v>0</v>
      </c>
      <c r="AB47" s="69">
        <v>0</v>
      </c>
      <c r="AC47" s="69">
        <v>0</v>
      </c>
      <c r="AD47" s="70">
        <f>IFERROR(tblTarget[[#This Row],[Cluster Target]]/tblTarget[[#This Row],[Cluster PiN]],0)</f>
        <v>0</v>
      </c>
      <c r="AE47" s="79">
        <f>_xlfn.XLOOKUP(tblTarget[[#This Row],[ID]],tblResponse[ID],tblResponse[2024 Projected reached (Dec 2024)])</f>
        <v>2535</v>
      </c>
      <c r="AF47" s="79">
        <f>_xlfn.XLOOKUP(tblTarget[[#This Row],[ID]],tblResponse[ID],tblResponse[2024 Intercluster reached -August RPM])</f>
        <v>87990.819396747203</v>
      </c>
      <c r="AG47" s="79">
        <v>2</v>
      </c>
      <c r="AH47" s="79"/>
      <c r="AI47" s="79"/>
      <c r="AJ47" s="70" t="str">
        <f>IF(tblTarget[[#This Row],[Target to PiN (%)]]&gt;Targ_vs_PiN,"Flagged","")</f>
        <v/>
      </c>
      <c r="AK47" s="69" t="str">
        <f>IF(AND(tblTarget[[#This Row],[Qualifies for exception]]="Flagged",tblTarget[[#This Row],[Target to PiN (%)]]&gt;Targ_severity5),"Flagged","")</f>
        <v/>
      </c>
      <c r="AL47" s="68" t="str">
        <f>IFERROR(IF(AND(tblTarget[[#This Row],[Intercluser Severity]]=4,tblTarget[[#This Row],[Qualifies for exception]]="Flagged",(tblTarget[[#This Row],[Cluster Target]]-tblTarget[[#This Row],[2024 Response capacity up to December]])/tblTarget[[#This Row],[Cluster Target]]&gt;Diff_severity4),"Flagged",""),"No target")</f>
        <v>No target</v>
      </c>
      <c r="AM47" s="68" t="str">
        <f>IFERROR(IF(AND(tblTarget[[#This Row],[Intercluser Severity]]=3,tblTarget[[#This Row],[Qualifies for exception]]="Flagged",(tblTarget[[#This Row],[Cluster Target]]-tblTarget[[#This Row],[2024 Response capacity up to December]])/tblTarget[[#This Row],[Cluster Target]]&gt;Diff_severity3),"Flagged",""),"No target")</f>
        <v>No target</v>
      </c>
      <c r="AN47" s="81" t="s">
        <v>15</v>
      </c>
      <c r="AO47" s="81"/>
      <c r="AP47" s="81" t="s">
        <v>1099</v>
      </c>
      <c r="AQ47" s="81" t="s">
        <v>1098</v>
      </c>
    </row>
    <row r="48" spans="1:43" ht="15.95" customHeight="1" x14ac:dyDescent="0.2">
      <c r="A48" s="62" t="s">
        <v>485</v>
      </c>
      <c r="B48" s="63" t="s">
        <v>78</v>
      </c>
      <c r="C48" s="64" t="s">
        <v>79</v>
      </c>
      <c r="D48" s="63" t="s">
        <v>114</v>
      </c>
      <c r="E48" s="64" t="s">
        <v>115</v>
      </c>
      <c r="F48" s="65">
        <v>167630</v>
      </c>
      <c r="G48" s="66" t="s">
        <v>30</v>
      </c>
      <c r="H48" s="67">
        <v>121625</v>
      </c>
      <c r="I48" s="68">
        <v>4</v>
      </c>
      <c r="J48" s="68">
        <v>5</v>
      </c>
      <c r="K48" s="91">
        <v>19021.600000000002</v>
      </c>
      <c r="L48" s="91">
        <v>9684.2019094148418</v>
      </c>
      <c r="M48" s="91">
        <v>9337.3980905851604</v>
      </c>
      <c r="N48" s="91">
        <v>9510.8000000000011</v>
      </c>
      <c r="O48" s="91">
        <v>8369.5040000000008</v>
      </c>
      <c r="P48" s="91">
        <v>1141.296</v>
      </c>
      <c r="Q48" s="85">
        <v>2853.2400000000002</v>
      </c>
      <c r="R48" s="69" t="s">
        <v>15</v>
      </c>
      <c r="S48" s="86">
        <v>2739</v>
      </c>
      <c r="T48" s="69">
        <v>685</v>
      </c>
      <c r="U48" s="68">
        <v>0</v>
      </c>
      <c r="V48" s="68">
        <v>0</v>
      </c>
      <c r="W48" s="68">
        <v>190</v>
      </c>
      <c r="X48" s="68">
        <v>380</v>
      </c>
      <c r="Y48" s="68">
        <v>1141</v>
      </c>
      <c r="Z48" s="68">
        <v>190</v>
      </c>
      <c r="AA48" s="68">
        <v>0</v>
      </c>
      <c r="AB48" s="69">
        <v>0</v>
      </c>
      <c r="AC48" s="69">
        <v>0</v>
      </c>
      <c r="AD48" s="70">
        <f>IFERROR(tblTarget[[#This Row],[Cluster Target]]/tblTarget[[#This Row],[Cluster PiN]],0)</f>
        <v>0.15639547790339159</v>
      </c>
      <c r="AE48" s="79">
        <f>_xlfn.XLOOKUP(tblTarget[[#This Row],[ID]],tblResponse[ID],tblResponse[2024 Projected reached (Dec 2024)])</f>
        <v>0</v>
      </c>
      <c r="AF48" s="79">
        <f>_xlfn.XLOOKUP(tblTarget[[#This Row],[ID]],tblResponse[ID],tblResponse[2024 Intercluster reached -August RPM])</f>
        <v>16573.752211961459</v>
      </c>
      <c r="AG48" s="79">
        <v>3</v>
      </c>
      <c r="AH48" s="79"/>
      <c r="AI48" s="79"/>
      <c r="AJ48" s="70" t="str">
        <f>IF(tblTarget[[#This Row],[Target to PiN (%)]]&gt;Targ_vs_PiN,"Flagged","")</f>
        <v/>
      </c>
      <c r="AK48" s="69" t="str">
        <f>IF(AND(tblTarget[[#This Row],[Qualifies for exception]]="Flagged",tblTarget[[#This Row],[Target to PiN (%)]]&gt;Targ_severity5),"Flagged","")</f>
        <v/>
      </c>
      <c r="AL48" s="68" t="str">
        <f>IFERROR(IF(AND(tblTarget[[#This Row],[Intercluser Severity]]=4,tblTarget[[#This Row],[Qualifies for exception]]="Flagged",(tblTarget[[#This Row],[Cluster Target]]-tblTarget[[#This Row],[2024 Response capacity up to December]])/tblTarget[[#This Row],[Cluster Target]]&gt;Diff_severity4),"Flagged",""),"No target")</f>
        <v/>
      </c>
      <c r="AM48" s="68" t="str">
        <f>IFERROR(IF(AND(tblTarget[[#This Row],[Intercluser Severity]]=3,tblTarget[[#This Row],[Qualifies for exception]]="Flagged",(tblTarget[[#This Row],[Cluster Target]]-tblTarget[[#This Row],[2024 Response capacity up to December]])/tblTarget[[#This Row],[Cluster Target]]&gt;Diff_severity3),"Flagged",""),"No target")</f>
        <v/>
      </c>
      <c r="AN48" s="81" t="s">
        <v>15</v>
      </c>
      <c r="AO48" s="81"/>
      <c r="AP48" s="81" t="s">
        <v>1099</v>
      </c>
      <c r="AQ48" s="81" t="s">
        <v>1098</v>
      </c>
    </row>
    <row r="49" spans="1:43" ht="15.95" hidden="1" customHeight="1" x14ac:dyDescent="0.2">
      <c r="A49" s="62" t="s">
        <v>486</v>
      </c>
      <c r="B49" s="63" t="s">
        <v>78</v>
      </c>
      <c r="C49" s="64" t="s">
        <v>79</v>
      </c>
      <c r="D49" s="63" t="s">
        <v>116</v>
      </c>
      <c r="E49" s="64" t="s">
        <v>117</v>
      </c>
      <c r="F49" s="65">
        <v>16250</v>
      </c>
      <c r="G49" s="66" t="s">
        <v>30</v>
      </c>
      <c r="H49" s="67">
        <v>9865</v>
      </c>
      <c r="I49" s="68">
        <v>3</v>
      </c>
      <c r="J49" s="68">
        <v>4</v>
      </c>
      <c r="K49" s="91">
        <v>394.6</v>
      </c>
      <c r="L49" s="91">
        <v>199.06020244472174</v>
      </c>
      <c r="M49" s="91">
        <v>195.53979755527831</v>
      </c>
      <c r="N49" s="91">
        <v>197.3</v>
      </c>
      <c r="O49" s="91">
        <v>173.62400000000002</v>
      </c>
      <c r="P49" s="91">
        <v>23.676000000000002</v>
      </c>
      <c r="Q49" s="85">
        <v>59.19</v>
      </c>
      <c r="R49" s="69" t="s">
        <v>1107</v>
      </c>
      <c r="S49" s="86">
        <v>57</v>
      </c>
      <c r="T49" s="69">
        <v>14</v>
      </c>
      <c r="U49" s="68">
        <v>0</v>
      </c>
      <c r="V49" s="68">
        <v>0</v>
      </c>
      <c r="W49" s="68">
        <v>4</v>
      </c>
      <c r="X49" s="68">
        <v>8</v>
      </c>
      <c r="Y49" s="68">
        <v>24</v>
      </c>
      <c r="Z49" s="68">
        <v>4</v>
      </c>
      <c r="AA49" s="68">
        <v>0</v>
      </c>
      <c r="AB49" s="69">
        <v>0</v>
      </c>
      <c r="AC49" s="69">
        <v>0</v>
      </c>
      <c r="AD49" s="70">
        <f>IFERROR(tblTarget[[#This Row],[Cluster Target]]/tblTarget[[#This Row],[Cluster PiN]],0)</f>
        <v>0.04</v>
      </c>
      <c r="AE49" s="79">
        <f>_xlfn.XLOOKUP(tblTarget[[#This Row],[ID]],tblResponse[ID],tblResponse[2024 Projected reached (Dec 2024)])</f>
        <v>0</v>
      </c>
      <c r="AF49" s="79">
        <f>_xlfn.XLOOKUP(tblTarget[[#This Row],[ID]],tblResponse[ID],tblResponse[2024 Intercluster reached -August RPM])</f>
        <v>23835.307119637931</v>
      </c>
      <c r="AG49" s="79">
        <v>3</v>
      </c>
      <c r="AH49" s="79"/>
      <c r="AI49" s="79"/>
      <c r="AJ49" s="70" t="str">
        <f>IF(tblTarget[[#This Row],[Target to PiN (%)]]&gt;Targ_vs_PiN,"Flagged","")</f>
        <v/>
      </c>
      <c r="AK49" s="69" t="str">
        <f>IF(AND(tblTarget[[#This Row],[Qualifies for exception]]="Flagged",tblTarget[[#This Row],[Target to PiN (%)]]&gt;Targ_severity5),"Flagged","")</f>
        <v/>
      </c>
      <c r="AL49" s="68" t="str">
        <f>IFERROR(IF(AND(tblTarget[[#This Row],[Intercluser Severity]]=4,tblTarget[[#This Row],[Qualifies for exception]]="Flagged",(tblTarget[[#This Row],[Cluster Target]]-tblTarget[[#This Row],[2024 Response capacity up to December]])/tblTarget[[#This Row],[Cluster Target]]&gt;Diff_severity4),"Flagged",""),"No target")</f>
        <v>Flagged</v>
      </c>
      <c r="AM49" s="68" t="str">
        <f>IFERROR(IF(AND(tblTarget[[#This Row],[Intercluser Severity]]=3,tblTarget[[#This Row],[Qualifies for exception]]="Flagged",(tblTarget[[#This Row],[Cluster Target]]-tblTarget[[#This Row],[2024 Response capacity up to December]])/tblTarget[[#This Row],[Cluster Target]]&gt;Diff_severity3),"Flagged",""),"No target")</f>
        <v/>
      </c>
      <c r="AN49" s="81" t="s">
        <v>1099</v>
      </c>
      <c r="AO49" s="81"/>
      <c r="AP49" s="81" t="s">
        <v>1099</v>
      </c>
      <c r="AQ49" s="81" t="s">
        <v>1107</v>
      </c>
    </row>
    <row r="50" spans="1:43" ht="15.95" customHeight="1" x14ac:dyDescent="0.2">
      <c r="A50" s="62" t="s">
        <v>487</v>
      </c>
      <c r="B50" s="63" t="s">
        <v>78</v>
      </c>
      <c r="C50" s="64" t="s">
        <v>79</v>
      </c>
      <c r="D50" s="63" t="s">
        <v>118</v>
      </c>
      <c r="E50" s="64" t="s">
        <v>119</v>
      </c>
      <c r="F50" s="65">
        <v>0</v>
      </c>
      <c r="G50" s="66" t="s">
        <v>30</v>
      </c>
      <c r="H50" s="66">
        <v>0</v>
      </c>
      <c r="I50" s="68">
        <v>3</v>
      </c>
      <c r="J50" s="68">
        <v>4</v>
      </c>
      <c r="K50" s="91">
        <v>0</v>
      </c>
      <c r="L50" s="91">
        <v>0</v>
      </c>
      <c r="M50" s="91">
        <v>0</v>
      </c>
      <c r="N50" s="91">
        <v>0</v>
      </c>
      <c r="O50" s="91">
        <v>0</v>
      </c>
      <c r="P50" s="91">
        <v>0</v>
      </c>
      <c r="Q50" s="85">
        <v>0</v>
      </c>
      <c r="R50" s="69" t="s">
        <v>15</v>
      </c>
      <c r="S50" s="86">
        <v>0</v>
      </c>
      <c r="T50" s="69">
        <v>0</v>
      </c>
      <c r="U50" s="68">
        <v>0</v>
      </c>
      <c r="V50" s="68">
        <v>0</v>
      </c>
      <c r="W50" s="68">
        <v>0</v>
      </c>
      <c r="X50" s="68">
        <v>0</v>
      </c>
      <c r="Y50" s="68">
        <v>0</v>
      </c>
      <c r="Z50" s="68">
        <v>0</v>
      </c>
      <c r="AA50" s="68">
        <v>0</v>
      </c>
      <c r="AB50" s="69">
        <v>0</v>
      </c>
      <c r="AC50" s="69">
        <v>0</v>
      </c>
      <c r="AD50" s="70">
        <f>IFERROR(tblTarget[[#This Row],[Cluster Target]]/tblTarget[[#This Row],[Cluster PiN]],0)</f>
        <v>0</v>
      </c>
      <c r="AE50" s="79">
        <f>_xlfn.XLOOKUP(tblTarget[[#This Row],[ID]],tblResponse[ID],tblResponse[2024 Projected reached (Dec 2024)])</f>
        <v>0</v>
      </c>
      <c r="AF50" s="79">
        <f>_xlfn.XLOOKUP(tblTarget[[#This Row],[ID]],tblResponse[ID],tblResponse[2024 Intercluster reached -August RPM])</f>
        <v>10379.14703298781</v>
      </c>
      <c r="AG50" s="79">
        <v>4</v>
      </c>
      <c r="AH50" s="79"/>
      <c r="AI50" s="79"/>
      <c r="AJ50" s="70" t="str">
        <f>IF(tblTarget[[#This Row],[Target to PiN (%)]]&gt;Targ_vs_PiN,"Flagged","")</f>
        <v/>
      </c>
      <c r="AK50" s="69" t="str">
        <f>IF(AND(tblTarget[[#This Row],[Qualifies for exception]]="Flagged",tblTarget[[#This Row],[Target to PiN (%)]]&gt;Targ_severity5),"Flagged","")</f>
        <v/>
      </c>
      <c r="AL50" s="68" t="str">
        <f>IFERROR(IF(AND(tblTarget[[#This Row],[Intercluser Severity]]=4,tblTarget[[#This Row],[Qualifies for exception]]="Flagged",(tblTarget[[#This Row],[Cluster Target]]-tblTarget[[#This Row],[2024 Response capacity up to December]])/tblTarget[[#This Row],[Cluster Target]]&gt;Diff_severity4),"Flagged",""),"No target")</f>
        <v>No target</v>
      </c>
      <c r="AM50" s="68" t="str">
        <f>IFERROR(IF(AND(tblTarget[[#This Row],[Intercluser Severity]]=3,tblTarget[[#This Row],[Qualifies for exception]]="Flagged",(tblTarget[[#This Row],[Cluster Target]]-tblTarget[[#This Row],[2024 Response capacity up to December]])/tblTarget[[#This Row],[Cluster Target]]&gt;Diff_severity3),"Flagged",""),"No target")</f>
        <v>No target</v>
      </c>
      <c r="AN50" s="81" t="s">
        <v>15</v>
      </c>
      <c r="AO50" s="81"/>
      <c r="AP50" s="81" t="s">
        <v>1099</v>
      </c>
      <c r="AQ50" s="81" t="s">
        <v>1098</v>
      </c>
    </row>
    <row r="51" spans="1:43" ht="15.95" hidden="1" customHeight="1" x14ac:dyDescent="0.2">
      <c r="A51" s="62" t="s">
        <v>488</v>
      </c>
      <c r="B51" s="63" t="s">
        <v>78</v>
      </c>
      <c r="C51" s="64" t="s">
        <v>79</v>
      </c>
      <c r="D51" s="63" t="s">
        <v>120</v>
      </c>
      <c r="E51" s="64" t="s">
        <v>121</v>
      </c>
      <c r="F51" s="65">
        <v>8997</v>
      </c>
      <c r="G51" s="66" t="s">
        <v>30</v>
      </c>
      <c r="H51" s="67">
        <v>3425</v>
      </c>
      <c r="I51" s="68">
        <v>3</v>
      </c>
      <c r="J51" s="68">
        <v>3</v>
      </c>
      <c r="K51" s="91">
        <v>0</v>
      </c>
      <c r="L51" s="91">
        <v>0</v>
      </c>
      <c r="M51" s="91">
        <v>0</v>
      </c>
      <c r="N51" s="91">
        <v>0</v>
      </c>
      <c r="O51" s="91">
        <v>0</v>
      </c>
      <c r="P51" s="91">
        <v>0</v>
      </c>
      <c r="Q51" s="85">
        <v>0</v>
      </c>
      <c r="R51" s="69" t="s">
        <v>1107</v>
      </c>
      <c r="S51" s="86">
        <v>0</v>
      </c>
      <c r="T51" s="69">
        <v>0</v>
      </c>
      <c r="U51" s="68">
        <v>0</v>
      </c>
      <c r="V51" s="68">
        <v>0</v>
      </c>
      <c r="W51" s="68">
        <v>0</v>
      </c>
      <c r="X51" s="68">
        <v>0</v>
      </c>
      <c r="Y51" s="68">
        <v>0</v>
      </c>
      <c r="Z51" s="68">
        <v>0</v>
      </c>
      <c r="AA51" s="68">
        <v>0</v>
      </c>
      <c r="AB51" s="69">
        <v>0</v>
      </c>
      <c r="AC51" s="69">
        <v>0</v>
      </c>
      <c r="AD51" s="70">
        <f>IFERROR(tblTarget[[#This Row],[Cluster Target]]/tblTarget[[#This Row],[Cluster PiN]],0)</f>
        <v>0</v>
      </c>
      <c r="AE51" s="79">
        <f>_xlfn.XLOOKUP(tblTarget[[#This Row],[ID]],tblResponse[ID],tblResponse[2024 Projected reached (Dec 2024)])</f>
        <v>0</v>
      </c>
      <c r="AF51" s="79">
        <f>_xlfn.XLOOKUP(tblTarget[[#This Row],[ID]],tblResponse[ID],tblResponse[2024 Intercluster reached -August RPM])</f>
        <v>483.4506639564932</v>
      </c>
      <c r="AG51" s="79">
        <v>1</v>
      </c>
      <c r="AH51" s="79"/>
      <c r="AI51" s="79"/>
      <c r="AJ51" s="70" t="str">
        <f>IF(tblTarget[[#This Row],[Target to PiN (%)]]&gt;Targ_vs_PiN,"Flagged","")</f>
        <v/>
      </c>
      <c r="AK51" s="69" t="str">
        <f>IF(AND(tblTarget[[#This Row],[Qualifies for exception]]="Flagged",tblTarget[[#This Row],[Target to PiN (%)]]&gt;Targ_severity5),"Flagged","")</f>
        <v/>
      </c>
      <c r="AL51" s="68" t="str">
        <f>IFERROR(IF(AND(tblTarget[[#This Row],[Intercluser Severity]]=4,tblTarget[[#This Row],[Qualifies for exception]]="Flagged",(tblTarget[[#This Row],[Cluster Target]]-tblTarget[[#This Row],[2024 Response capacity up to December]])/tblTarget[[#This Row],[Cluster Target]]&gt;Diff_severity4),"Flagged",""),"No target")</f>
        <v>No target</v>
      </c>
      <c r="AM51" s="68" t="str">
        <f>IFERROR(IF(AND(tblTarget[[#This Row],[Intercluser Severity]]=3,tblTarget[[#This Row],[Qualifies for exception]]="Flagged",(tblTarget[[#This Row],[Cluster Target]]-tblTarget[[#This Row],[2024 Response capacity up to December]])/tblTarget[[#This Row],[Cluster Target]]&gt;Diff_severity3),"Flagged",""),"No target")</f>
        <v>No target</v>
      </c>
      <c r="AN51" s="81" t="s">
        <v>1099</v>
      </c>
      <c r="AO51" s="81"/>
      <c r="AP51" s="81" t="s">
        <v>1099</v>
      </c>
      <c r="AQ51" s="81" t="s">
        <v>1107</v>
      </c>
    </row>
    <row r="52" spans="1:43" ht="15.95" hidden="1" customHeight="1" x14ac:dyDescent="0.2">
      <c r="A52" s="62" t="s">
        <v>489</v>
      </c>
      <c r="B52" s="63" t="s">
        <v>122</v>
      </c>
      <c r="C52" s="64" t="s">
        <v>123</v>
      </c>
      <c r="D52" s="63" t="s">
        <v>124</v>
      </c>
      <c r="E52" s="64" t="s">
        <v>125</v>
      </c>
      <c r="F52" s="65">
        <v>3105</v>
      </c>
      <c r="G52" s="66" t="s">
        <v>30</v>
      </c>
      <c r="H52" s="67">
        <v>2423</v>
      </c>
      <c r="I52" s="68">
        <v>3</v>
      </c>
      <c r="J52" s="68">
        <v>4</v>
      </c>
      <c r="K52" s="91">
        <v>97</v>
      </c>
      <c r="L52" s="91">
        <v>49.394976818446985</v>
      </c>
      <c r="M52" s="91">
        <v>47.605023181553015</v>
      </c>
      <c r="N52" s="91">
        <v>48.5</v>
      </c>
      <c r="O52" s="91">
        <v>42.68</v>
      </c>
      <c r="P52" s="91">
        <v>5.8199999999999994</v>
      </c>
      <c r="Q52" s="85">
        <v>14.549999999999999</v>
      </c>
      <c r="R52" s="69" t="s">
        <v>1107</v>
      </c>
      <c r="S52" s="86">
        <v>14</v>
      </c>
      <c r="T52" s="69">
        <v>3</v>
      </c>
      <c r="U52" s="68">
        <v>0</v>
      </c>
      <c r="V52" s="68">
        <v>0</v>
      </c>
      <c r="W52" s="68">
        <v>1</v>
      </c>
      <c r="X52" s="68">
        <v>2</v>
      </c>
      <c r="Y52" s="68">
        <v>6</v>
      </c>
      <c r="Z52" s="68">
        <v>1</v>
      </c>
      <c r="AA52" s="68">
        <v>0</v>
      </c>
      <c r="AB52" s="69">
        <v>0</v>
      </c>
      <c r="AC52" s="69">
        <v>0</v>
      </c>
      <c r="AD52" s="70">
        <f>IFERROR(tblTarget[[#This Row],[Cluster Target]]/tblTarget[[#This Row],[Cluster PiN]],0)</f>
        <v>4.0033016921172102E-2</v>
      </c>
      <c r="AE52" s="79">
        <f>_xlfn.XLOOKUP(tblTarget[[#This Row],[ID]],tblResponse[ID],tblResponse[2024 Projected reached (Dec 2024)])</f>
        <v>0</v>
      </c>
      <c r="AF52" s="79">
        <f>_xlfn.XLOOKUP(tblTarget[[#This Row],[ID]],tblResponse[ID],tblResponse[2024 Intercluster reached -August RPM])</f>
        <v>1704.32100925907</v>
      </c>
      <c r="AG52" s="79">
        <v>1</v>
      </c>
      <c r="AH52" s="79"/>
      <c r="AI52" s="79"/>
      <c r="AJ52" s="70" t="str">
        <f>IF(tblTarget[[#This Row],[Target to PiN (%)]]&gt;Targ_vs_PiN,"Flagged","")</f>
        <v/>
      </c>
      <c r="AK52" s="69" t="str">
        <f>IF(AND(tblTarget[[#This Row],[Qualifies for exception]]="Flagged",tblTarget[[#This Row],[Target to PiN (%)]]&gt;Targ_severity5),"Flagged","")</f>
        <v/>
      </c>
      <c r="AL52" s="68" t="str">
        <f>IFERROR(IF(AND(tblTarget[[#This Row],[Intercluser Severity]]=4,tblTarget[[#This Row],[Qualifies for exception]]="Flagged",(tblTarget[[#This Row],[Cluster Target]]-tblTarget[[#This Row],[2024 Response capacity up to December]])/tblTarget[[#This Row],[Cluster Target]]&gt;Diff_severity4),"Flagged",""),"No target")</f>
        <v>Flagged</v>
      </c>
      <c r="AM52" s="68" t="str">
        <f>IFERROR(IF(AND(tblTarget[[#This Row],[Intercluser Severity]]=3,tblTarget[[#This Row],[Qualifies for exception]]="Flagged",(tblTarget[[#This Row],[Cluster Target]]-tblTarget[[#This Row],[2024 Response capacity up to December]])/tblTarget[[#This Row],[Cluster Target]]&gt;Diff_severity3),"Flagged",""),"No target")</f>
        <v/>
      </c>
      <c r="AN52" s="81" t="s">
        <v>1099</v>
      </c>
      <c r="AO52" s="81"/>
      <c r="AP52" s="81" t="s">
        <v>1099</v>
      </c>
      <c r="AQ52" s="81" t="s">
        <v>1107</v>
      </c>
    </row>
    <row r="53" spans="1:43" ht="15.95" hidden="1" customHeight="1" x14ac:dyDescent="0.2">
      <c r="A53" s="62" t="s">
        <v>490</v>
      </c>
      <c r="B53" s="63" t="s">
        <v>122</v>
      </c>
      <c r="C53" s="64" t="s">
        <v>123</v>
      </c>
      <c r="D53" s="63" t="s">
        <v>126</v>
      </c>
      <c r="E53" s="64" t="s">
        <v>127</v>
      </c>
      <c r="F53" s="65">
        <v>69941</v>
      </c>
      <c r="G53" s="66" t="s">
        <v>30</v>
      </c>
      <c r="H53" s="67">
        <v>23740</v>
      </c>
      <c r="I53" s="68">
        <v>3</v>
      </c>
      <c r="J53" s="68">
        <v>4</v>
      </c>
      <c r="K53" s="91">
        <v>1914.2</v>
      </c>
      <c r="L53" s="91">
        <v>946.87589096601903</v>
      </c>
      <c r="M53" s="91">
        <v>967.32410903398102</v>
      </c>
      <c r="N53" s="91">
        <v>957.1</v>
      </c>
      <c r="O53" s="91">
        <v>842.24800000000005</v>
      </c>
      <c r="P53" s="91">
        <v>114.852</v>
      </c>
      <c r="Q53" s="85">
        <v>287.13</v>
      </c>
      <c r="R53" s="69" t="s">
        <v>1107</v>
      </c>
      <c r="S53" s="86">
        <v>276</v>
      </c>
      <c r="T53" s="69">
        <v>69</v>
      </c>
      <c r="U53" s="68">
        <v>0</v>
      </c>
      <c r="V53" s="68">
        <v>0</v>
      </c>
      <c r="W53" s="68">
        <v>19</v>
      </c>
      <c r="X53" s="68">
        <v>38</v>
      </c>
      <c r="Y53" s="68">
        <v>115</v>
      </c>
      <c r="Z53" s="68">
        <v>19</v>
      </c>
      <c r="AA53" s="68">
        <v>0</v>
      </c>
      <c r="AB53" s="69">
        <v>0</v>
      </c>
      <c r="AC53" s="69">
        <v>0</v>
      </c>
      <c r="AD53" s="70">
        <f>IFERROR(tblTarget[[#This Row],[Cluster Target]]/tblTarget[[#This Row],[Cluster PiN]],0)</f>
        <v>8.0631844987363102E-2</v>
      </c>
      <c r="AE53" s="79">
        <f>_xlfn.XLOOKUP(tblTarget[[#This Row],[ID]],tblResponse[ID],tblResponse[2024 Projected reached (Dec 2024)])</f>
        <v>6385</v>
      </c>
      <c r="AF53" s="79">
        <f>_xlfn.XLOOKUP(tblTarget[[#This Row],[ID]],tblResponse[ID],tblResponse[2024 Intercluster reached -August RPM])</f>
        <v>180128.40013252501</v>
      </c>
      <c r="AG53" s="79">
        <v>5</v>
      </c>
      <c r="AH53" s="79"/>
      <c r="AI53" s="79"/>
      <c r="AJ53" s="70" t="str">
        <f>IF(tblTarget[[#This Row],[Target to PiN (%)]]&gt;Targ_vs_PiN,"Flagged","")</f>
        <v/>
      </c>
      <c r="AK53" s="69" t="str">
        <f>IF(AND(tblTarget[[#This Row],[Qualifies for exception]]="Flagged",tblTarget[[#This Row],[Target to PiN (%)]]&gt;Targ_severity5),"Flagged","")</f>
        <v/>
      </c>
      <c r="AL53" s="68" t="str">
        <f>IFERROR(IF(AND(tblTarget[[#This Row],[Intercluser Severity]]=4,tblTarget[[#This Row],[Qualifies for exception]]="Flagged",(tblTarget[[#This Row],[Cluster Target]]-tblTarget[[#This Row],[2024 Response capacity up to December]])/tblTarget[[#This Row],[Cluster Target]]&gt;Diff_severity4),"Flagged",""),"No target")</f>
        <v/>
      </c>
      <c r="AM53" s="68" t="str">
        <f>IFERROR(IF(AND(tblTarget[[#This Row],[Intercluser Severity]]=3,tblTarget[[#This Row],[Qualifies for exception]]="Flagged",(tblTarget[[#This Row],[Cluster Target]]-tblTarget[[#This Row],[2024 Response capacity up to December]])/tblTarget[[#This Row],[Cluster Target]]&gt;Diff_severity3),"Flagged",""),"No target")</f>
        <v/>
      </c>
      <c r="AN53" s="81" t="s">
        <v>1099</v>
      </c>
      <c r="AO53" s="81"/>
      <c r="AP53" s="81" t="s">
        <v>1099</v>
      </c>
      <c r="AQ53" s="81" t="s">
        <v>1107</v>
      </c>
    </row>
    <row r="54" spans="1:43" ht="15.95" customHeight="1" x14ac:dyDescent="0.2">
      <c r="A54" s="62" t="s">
        <v>491</v>
      </c>
      <c r="B54" s="63" t="s">
        <v>122</v>
      </c>
      <c r="C54" s="64" t="s">
        <v>123</v>
      </c>
      <c r="D54" s="63" t="s">
        <v>128</v>
      </c>
      <c r="E54" s="64" t="s">
        <v>129</v>
      </c>
      <c r="F54" s="65">
        <v>9710</v>
      </c>
      <c r="G54" s="66" t="s">
        <v>30</v>
      </c>
      <c r="H54" s="67">
        <v>4996</v>
      </c>
      <c r="I54" s="68">
        <v>3</v>
      </c>
      <c r="J54" s="68">
        <v>5</v>
      </c>
      <c r="K54" s="91">
        <v>799.2</v>
      </c>
      <c r="L54" s="91">
        <v>400.87767857142865</v>
      </c>
      <c r="M54" s="91">
        <v>398.32232142857146</v>
      </c>
      <c r="N54" s="91">
        <v>399.6</v>
      </c>
      <c r="O54" s="91">
        <v>351.64800000000002</v>
      </c>
      <c r="P54" s="91">
        <v>47.951999999999998</v>
      </c>
      <c r="Q54" s="85">
        <v>119.88</v>
      </c>
      <c r="R54" s="69" t="s">
        <v>15</v>
      </c>
      <c r="S54" s="86">
        <v>115</v>
      </c>
      <c r="T54" s="69">
        <v>29</v>
      </c>
      <c r="U54" s="68">
        <v>0</v>
      </c>
      <c r="V54" s="68">
        <v>0</v>
      </c>
      <c r="W54" s="68">
        <v>8</v>
      </c>
      <c r="X54" s="68">
        <v>16</v>
      </c>
      <c r="Y54" s="68">
        <v>48</v>
      </c>
      <c r="Z54" s="68">
        <v>8</v>
      </c>
      <c r="AA54" s="68">
        <v>0</v>
      </c>
      <c r="AB54" s="69">
        <v>0</v>
      </c>
      <c r="AC54" s="69">
        <v>0</v>
      </c>
      <c r="AD54" s="70">
        <f>IFERROR(tblTarget[[#This Row],[Cluster Target]]/tblTarget[[#This Row],[Cluster PiN]],0)</f>
        <v>0.15996797437950361</v>
      </c>
      <c r="AE54" s="79">
        <f>_xlfn.XLOOKUP(tblTarget[[#This Row],[ID]],tblResponse[ID],tblResponse[2024 Projected reached (Dec 2024)])</f>
        <v>0</v>
      </c>
      <c r="AF54" s="79">
        <f>_xlfn.XLOOKUP(tblTarget[[#This Row],[ID]],tblResponse[ID],tblResponse[2024 Intercluster reached -August RPM])</f>
        <v>39125.221461324189</v>
      </c>
      <c r="AG54" s="79">
        <v>3</v>
      </c>
      <c r="AH54" s="79"/>
      <c r="AI54" s="79"/>
      <c r="AJ54" s="70" t="str">
        <f>IF(tblTarget[[#This Row],[Target to PiN (%)]]&gt;Targ_vs_PiN,"Flagged","")</f>
        <v/>
      </c>
      <c r="AK54" s="69" t="str">
        <f>IF(AND(tblTarget[[#This Row],[Qualifies for exception]]="Flagged",tblTarget[[#This Row],[Target to PiN (%)]]&gt;Targ_severity5),"Flagged","")</f>
        <v/>
      </c>
      <c r="AL54" s="68" t="str">
        <f>IFERROR(IF(AND(tblTarget[[#This Row],[Intercluser Severity]]=4,tblTarget[[#This Row],[Qualifies for exception]]="Flagged",(tblTarget[[#This Row],[Cluster Target]]-tblTarget[[#This Row],[2024 Response capacity up to December]])/tblTarget[[#This Row],[Cluster Target]]&gt;Diff_severity4),"Flagged",""),"No target")</f>
        <v/>
      </c>
      <c r="AM54" s="68" t="str">
        <f>IFERROR(IF(AND(tblTarget[[#This Row],[Intercluser Severity]]=3,tblTarget[[#This Row],[Qualifies for exception]]="Flagged",(tblTarget[[#This Row],[Cluster Target]]-tblTarget[[#This Row],[2024 Response capacity up to December]])/tblTarget[[#This Row],[Cluster Target]]&gt;Diff_severity3),"Flagged",""),"No target")</f>
        <v/>
      </c>
      <c r="AN54" s="81" t="s">
        <v>1099</v>
      </c>
      <c r="AO54" s="81"/>
      <c r="AP54" s="81" t="s">
        <v>1099</v>
      </c>
      <c r="AQ54" s="81" t="s">
        <v>1098</v>
      </c>
    </row>
    <row r="55" spans="1:43" ht="15.95" customHeight="1" x14ac:dyDescent="0.2">
      <c r="A55" s="62" t="s">
        <v>492</v>
      </c>
      <c r="B55" s="63" t="s">
        <v>122</v>
      </c>
      <c r="C55" s="64" t="s">
        <v>123</v>
      </c>
      <c r="D55" s="63" t="s">
        <v>130</v>
      </c>
      <c r="E55" s="64" t="s">
        <v>131</v>
      </c>
      <c r="F55" s="65">
        <v>17721</v>
      </c>
      <c r="G55" s="66" t="s">
        <v>30</v>
      </c>
      <c r="H55" s="67">
        <v>11297</v>
      </c>
      <c r="I55" s="68">
        <v>3</v>
      </c>
      <c r="J55" s="68">
        <v>4</v>
      </c>
      <c r="K55" s="91">
        <v>1441.2</v>
      </c>
      <c r="L55" s="91">
        <v>735.3923753665689</v>
      </c>
      <c r="M55" s="91">
        <v>705.80762463343115</v>
      </c>
      <c r="N55" s="91">
        <v>720.6</v>
      </c>
      <c r="O55" s="91">
        <v>634.12800000000004</v>
      </c>
      <c r="P55" s="91">
        <v>86.471999999999994</v>
      </c>
      <c r="Q55" s="85">
        <v>216.18</v>
      </c>
      <c r="R55" s="69" t="s">
        <v>15</v>
      </c>
      <c r="S55" s="86">
        <v>208</v>
      </c>
      <c r="T55" s="69">
        <v>52</v>
      </c>
      <c r="U55" s="68">
        <v>0</v>
      </c>
      <c r="V55" s="68">
        <v>0</v>
      </c>
      <c r="W55" s="68">
        <v>14</v>
      </c>
      <c r="X55" s="68">
        <v>29</v>
      </c>
      <c r="Y55" s="68">
        <v>86</v>
      </c>
      <c r="Z55" s="68">
        <v>14</v>
      </c>
      <c r="AA55" s="68">
        <v>0</v>
      </c>
      <c r="AB55" s="69">
        <v>0</v>
      </c>
      <c r="AC55" s="69">
        <v>0</v>
      </c>
      <c r="AD55" s="70">
        <f>IFERROR(tblTarget[[#This Row],[Cluster Target]]/tblTarget[[#This Row],[Cluster PiN]],0)</f>
        <v>0.12757369213065417</v>
      </c>
      <c r="AE55" s="79">
        <f>_xlfn.XLOOKUP(tblTarget[[#This Row],[ID]],tblResponse[ID],tblResponse[2024 Projected reached (Dec 2024)])</f>
        <v>0</v>
      </c>
      <c r="AF55" s="79">
        <f>_xlfn.XLOOKUP(tblTarget[[#This Row],[ID]],tblResponse[ID],tblResponse[2024 Intercluster reached -August RPM])</f>
        <v>20422.467266121614</v>
      </c>
      <c r="AG55" s="79">
        <v>2</v>
      </c>
      <c r="AH55" s="79"/>
      <c r="AI55" s="79"/>
      <c r="AJ55" s="70" t="str">
        <f>IF(tblTarget[[#This Row],[Target to PiN (%)]]&gt;Targ_vs_PiN,"Flagged","")</f>
        <v/>
      </c>
      <c r="AK55" s="69" t="str">
        <f>IF(AND(tblTarget[[#This Row],[Qualifies for exception]]="Flagged",tblTarget[[#This Row],[Target to PiN (%)]]&gt;Targ_severity5),"Flagged","")</f>
        <v/>
      </c>
      <c r="AL55" s="68" t="str">
        <f>IFERROR(IF(AND(tblTarget[[#This Row],[Intercluser Severity]]=4,tblTarget[[#This Row],[Qualifies for exception]]="Flagged",(tblTarget[[#This Row],[Cluster Target]]-tblTarget[[#This Row],[2024 Response capacity up to December]])/tblTarget[[#This Row],[Cluster Target]]&gt;Diff_severity4),"Flagged",""),"No target")</f>
        <v/>
      </c>
      <c r="AM55" s="68" t="str">
        <f>IFERROR(IF(AND(tblTarget[[#This Row],[Intercluser Severity]]=3,tblTarget[[#This Row],[Qualifies for exception]]="Flagged",(tblTarget[[#This Row],[Cluster Target]]-tblTarget[[#This Row],[2024 Response capacity up to December]])/tblTarget[[#This Row],[Cluster Target]]&gt;Diff_severity3),"Flagged",""),"No target")</f>
        <v/>
      </c>
      <c r="AN55" s="81" t="s">
        <v>1099</v>
      </c>
      <c r="AO55" s="81"/>
      <c r="AP55" s="81" t="s">
        <v>15</v>
      </c>
      <c r="AQ55" s="81" t="s">
        <v>1098</v>
      </c>
    </row>
    <row r="56" spans="1:43" ht="15.95" customHeight="1" x14ac:dyDescent="0.2">
      <c r="A56" s="62" t="s">
        <v>493</v>
      </c>
      <c r="B56" s="63" t="s">
        <v>122</v>
      </c>
      <c r="C56" s="64" t="s">
        <v>123</v>
      </c>
      <c r="D56" s="63" t="s">
        <v>132</v>
      </c>
      <c r="E56" s="64" t="s">
        <v>133</v>
      </c>
      <c r="F56" s="65">
        <v>0</v>
      </c>
      <c r="G56" s="66" t="s">
        <v>30</v>
      </c>
      <c r="H56" s="66">
        <v>0</v>
      </c>
      <c r="I56" s="68">
        <v>3</v>
      </c>
      <c r="J56" s="68">
        <v>5</v>
      </c>
      <c r="K56" s="91">
        <v>0</v>
      </c>
      <c r="L56" s="91">
        <v>0</v>
      </c>
      <c r="M56" s="91">
        <v>0</v>
      </c>
      <c r="N56" s="91">
        <v>0</v>
      </c>
      <c r="O56" s="91">
        <v>0</v>
      </c>
      <c r="P56" s="91">
        <v>0</v>
      </c>
      <c r="Q56" s="85">
        <v>0</v>
      </c>
      <c r="R56" s="69" t="s">
        <v>15</v>
      </c>
      <c r="S56" s="86">
        <v>0</v>
      </c>
      <c r="T56" s="69">
        <v>0</v>
      </c>
      <c r="U56" s="68">
        <v>0</v>
      </c>
      <c r="V56" s="68">
        <v>0</v>
      </c>
      <c r="W56" s="68">
        <v>0</v>
      </c>
      <c r="X56" s="68">
        <v>0</v>
      </c>
      <c r="Y56" s="68">
        <v>0</v>
      </c>
      <c r="Z56" s="68">
        <v>0</v>
      </c>
      <c r="AA56" s="68">
        <v>0</v>
      </c>
      <c r="AB56" s="69">
        <v>0</v>
      </c>
      <c r="AC56" s="69">
        <v>0</v>
      </c>
      <c r="AD56" s="70">
        <f>IFERROR(tblTarget[[#This Row],[Cluster Target]]/tblTarget[[#This Row],[Cluster PiN]],0)</f>
        <v>0</v>
      </c>
      <c r="AE56" s="79">
        <f>_xlfn.XLOOKUP(tblTarget[[#This Row],[ID]],tblResponse[ID],tblResponse[2024 Projected reached (Dec 2024)])</f>
        <v>0</v>
      </c>
      <c r="AF56" s="79">
        <f>_xlfn.XLOOKUP(tblTarget[[#This Row],[ID]],tblResponse[ID],tblResponse[2024 Intercluster reached -August RPM])</f>
        <v>47047.935381213225</v>
      </c>
      <c r="AG56" s="79">
        <v>2</v>
      </c>
      <c r="AH56" s="79"/>
      <c r="AI56" s="79"/>
      <c r="AJ56" s="70" t="str">
        <f>IF(tblTarget[[#This Row],[Target to PiN (%)]]&gt;Targ_vs_PiN,"Flagged","")</f>
        <v/>
      </c>
      <c r="AK56" s="69" t="str">
        <f>IF(AND(tblTarget[[#This Row],[Qualifies for exception]]="Flagged",tblTarget[[#This Row],[Target to PiN (%)]]&gt;Targ_severity5),"Flagged","")</f>
        <v/>
      </c>
      <c r="AL56" s="68" t="str">
        <f>IFERROR(IF(AND(tblTarget[[#This Row],[Intercluser Severity]]=4,tblTarget[[#This Row],[Qualifies for exception]]="Flagged",(tblTarget[[#This Row],[Cluster Target]]-tblTarget[[#This Row],[2024 Response capacity up to December]])/tblTarget[[#This Row],[Cluster Target]]&gt;Diff_severity4),"Flagged",""),"No target")</f>
        <v>No target</v>
      </c>
      <c r="AM56" s="68" t="str">
        <f>IFERROR(IF(AND(tblTarget[[#This Row],[Intercluser Severity]]=3,tblTarget[[#This Row],[Qualifies for exception]]="Flagged",(tblTarget[[#This Row],[Cluster Target]]-tblTarget[[#This Row],[2024 Response capacity up to December]])/tblTarget[[#This Row],[Cluster Target]]&gt;Diff_severity3),"Flagged",""),"No target")</f>
        <v>No target</v>
      </c>
      <c r="AN56" s="81" t="s">
        <v>1099</v>
      </c>
      <c r="AO56" s="81"/>
      <c r="AP56" s="81" t="s">
        <v>1099</v>
      </c>
      <c r="AQ56" s="81" t="s">
        <v>1098</v>
      </c>
    </row>
    <row r="57" spans="1:43" ht="15.95" customHeight="1" x14ac:dyDescent="0.2">
      <c r="A57" s="62" t="s">
        <v>494</v>
      </c>
      <c r="B57" s="63" t="s">
        <v>122</v>
      </c>
      <c r="C57" s="64" t="s">
        <v>123</v>
      </c>
      <c r="D57" s="63" t="s">
        <v>134</v>
      </c>
      <c r="E57" s="64" t="s">
        <v>135</v>
      </c>
      <c r="F57" s="65">
        <v>41790</v>
      </c>
      <c r="G57" s="66" t="s">
        <v>30</v>
      </c>
      <c r="H57" s="67">
        <v>25790</v>
      </c>
      <c r="I57" s="68">
        <v>3</v>
      </c>
      <c r="J57" s="68">
        <v>4</v>
      </c>
      <c r="K57" s="91">
        <v>258</v>
      </c>
      <c r="L57" s="91">
        <v>129.80460705236976</v>
      </c>
      <c r="M57" s="91">
        <v>128.19539294763021</v>
      </c>
      <c r="N57" s="91">
        <v>129</v>
      </c>
      <c r="O57" s="91">
        <v>113.52</v>
      </c>
      <c r="P57" s="91">
        <v>15.479999999999999</v>
      </c>
      <c r="Q57" s="85">
        <v>38.699999999999996</v>
      </c>
      <c r="R57" s="69" t="s">
        <v>15</v>
      </c>
      <c r="S57" s="86">
        <v>37</v>
      </c>
      <c r="T57" s="69">
        <v>9</v>
      </c>
      <c r="U57" s="68">
        <v>0</v>
      </c>
      <c r="V57" s="68">
        <v>0</v>
      </c>
      <c r="W57" s="68">
        <v>3</v>
      </c>
      <c r="X57" s="68">
        <v>5</v>
      </c>
      <c r="Y57" s="68">
        <v>15</v>
      </c>
      <c r="Z57" s="68">
        <v>3</v>
      </c>
      <c r="AA57" s="68">
        <v>0</v>
      </c>
      <c r="AB57" s="69">
        <v>0</v>
      </c>
      <c r="AC57" s="69">
        <v>0</v>
      </c>
      <c r="AD57" s="70">
        <f>IFERROR(tblTarget[[#This Row],[Cluster Target]]/tblTarget[[#This Row],[Cluster PiN]],0)</f>
        <v>1.0003877471888328E-2</v>
      </c>
      <c r="AE57" s="79">
        <f>_xlfn.XLOOKUP(tblTarget[[#This Row],[ID]],tblResponse[ID],tblResponse[2024 Projected reached (Dec 2024)])</f>
        <v>10200</v>
      </c>
      <c r="AF57" s="79">
        <f>_xlfn.XLOOKUP(tblTarget[[#This Row],[ID]],tblResponse[ID],tblResponse[2024 Intercluster reached -August RPM])</f>
        <v>63282.362597488871</v>
      </c>
      <c r="AG57" s="79">
        <v>3</v>
      </c>
      <c r="AH57" s="79"/>
      <c r="AI57" s="79"/>
      <c r="AJ57" s="70" t="str">
        <f>IF(tblTarget[[#This Row],[Target to PiN (%)]]&gt;Targ_vs_PiN,"Flagged","")</f>
        <v/>
      </c>
      <c r="AK57" s="69" t="str">
        <f>IF(AND(tblTarget[[#This Row],[Qualifies for exception]]="Flagged",tblTarget[[#This Row],[Target to PiN (%)]]&gt;Targ_severity5),"Flagged","")</f>
        <v/>
      </c>
      <c r="AL57" s="68" t="str">
        <f>IFERROR(IF(AND(tblTarget[[#This Row],[Intercluser Severity]]=4,tblTarget[[#This Row],[Qualifies for exception]]="Flagged",(tblTarget[[#This Row],[Cluster Target]]-tblTarget[[#This Row],[2024 Response capacity up to December]])/tblTarget[[#This Row],[Cluster Target]]&gt;Diff_severity4),"Flagged",""),"No target")</f>
        <v/>
      </c>
      <c r="AM57" s="68" t="str">
        <f>IFERROR(IF(AND(tblTarget[[#This Row],[Intercluser Severity]]=3,tblTarget[[#This Row],[Qualifies for exception]]="Flagged",(tblTarget[[#This Row],[Cluster Target]]-tblTarget[[#This Row],[2024 Response capacity up to December]])/tblTarget[[#This Row],[Cluster Target]]&gt;Diff_severity3),"Flagged",""),"No target")</f>
        <v/>
      </c>
      <c r="AN57" s="81" t="s">
        <v>15</v>
      </c>
      <c r="AO57" s="81"/>
      <c r="AP57" s="81" t="s">
        <v>1099</v>
      </c>
      <c r="AQ57" s="81" t="s">
        <v>1098</v>
      </c>
    </row>
    <row r="58" spans="1:43" ht="15.95" customHeight="1" x14ac:dyDescent="0.2">
      <c r="A58" s="62" t="s">
        <v>495</v>
      </c>
      <c r="B58" s="63" t="s">
        <v>122</v>
      </c>
      <c r="C58" s="64" t="s">
        <v>123</v>
      </c>
      <c r="D58" s="63" t="s">
        <v>136</v>
      </c>
      <c r="E58" s="64" t="s">
        <v>137</v>
      </c>
      <c r="F58" s="65">
        <v>0</v>
      </c>
      <c r="G58" s="66" t="s">
        <v>30</v>
      </c>
      <c r="H58" s="67">
        <v>0</v>
      </c>
      <c r="I58" s="68">
        <v>3</v>
      </c>
      <c r="J58" s="68">
        <v>4</v>
      </c>
      <c r="K58" s="91">
        <v>0</v>
      </c>
      <c r="L58" s="91">
        <v>0</v>
      </c>
      <c r="M58" s="91">
        <v>0</v>
      </c>
      <c r="N58" s="91">
        <v>0</v>
      </c>
      <c r="O58" s="91">
        <v>0</v>
      </c>
      <c r="P58" s="91">
        <v>0</v>
      </c>
      <c r="Q58" s="85">
        <v>0</v>
      </c>
      <c r="R58" s="69" t="s">
        <v>15</v>
      </c>
      <c r="S58" s="86">
        <v>0</v>
      </c>
      <c r="T58" s="69">
        <v>0</v>
      </c>
      <c r="U58" s="68">
        <v>0</v>
      </c>
      <c r="V58" s="68">
        <v>0</v>
      </c>
      <c r="W58" s="68">
        <v>0</v>
      </c>
      <c r="X58" s="68">
        <v>0</v>
      </c>
      <c r="Y58" s="68">
        <v>0</v>
      </c>
      <c r="Z58" s="68">
        <v>0</v>
      </c>
      <c r="AA58" s="68">
        <v>0</v>
      </c>
      <c r="AB58" s="69">
        <v>0</v>
      </c>
      <c r="AC58" s="69">
        <v>0</v>
      </c>
      <c r="AD58" s="70">
        <f>IFERROR(tblTarget[[#This Row],[Cluster Target]]/tblTarget[[#This Row],[Cluster PiN]],0)</f>
        <v>0</v>
      </c>
      <c r="AE58" s="79">
        <f>_xlfn.XLOOKUP(tblTarget[[#This Row],[ID]],tblResponse[ID],tblResponse[2024 Projected reached (Dec 2024)])</f>
        <v>0</v>
      </c>
      <c r="AF58" s="79">
        <f>_xlfn.XLOOKUP(tblTarget[[#This Row],[ID]],tblResponse[ID],tblResponse[2024 Intercluster reached -August RPM])</f>
        <v>173457.3406812585</v>
      </c>
      <c r="AG58" s="79">
        <v>2</v>
      </c>
      <c r="AH58" s="79"/>
      <c r="AI58" s="79"/>
      <c r="AJ58" s="70" t="str">
        <f>IF(tblTarget[[#This Row],[Target to PiN (%)]]&gt;Targ_vs_PiN,"Flagged","")</f>
        <v/>
      </c>
      <c r="AK58" s="69" t="str">
        <f>IF(AND(tblTarget[[#This Row],[Qualifies for exception]]="Flagged",tblTarget[[#This Row],[Target to PiN (%)]]&gt;Targ_severity5),"Flagged","")</f>
        <v/>
      </c>
      <c r="AL58" s="68" t="str">
        <f>IFERROR(IF(AND(tblTarget[[#This Row],[Intercluser Severity]]=4,tblTarget[[#This Row],[Qualifies for exception]]="Flagged",(tblTarget[[#This Row],[Cluster Target]]-tblTarget[[#This Row],[2024 Response capacity up to December]])/tblTarget[[#This Row],[Cluster Target]]&gt;Diff_severity4),"Flagged",""),"No target")</f>
        <v>No target</v>
      </c>
      <c r="AM58" s="68" t="str">
        <f>IFERROR(IF(AND(tblTarget[[#This Row],[Intercluser Severity]]=3,tblTarget[[#This Row],[Qualifies for exception]]="Flagged",(tblTarget[[#This Row],[Cluster Target]]-tblTarget[[#This Row],[2024 Response capacity up to December]])/tblTarget[[#This Row],[Cluster Target]]&gt;Diff_severity3),"Flagged",""),"No target")</f>
        <v>No target</v>
      </c>
      <c r="AN58" s="81" t="s">
        <v>1099</v>
      </c>
      <c r="AO58" s="81"/>
      <c r="AP58" s="81" t="s">
        <v>15</v>
      </c>
      <c r="AQ58" s="81" t="s">
        <v>1098</v>
      </c>
    </row>
    <row r="59" spans="1:43" ht="15.95" customHeight="1" x14ac:dyDescent="0.2">
      <c r="A59" s="62" t="s">
        <v>496</v>
      </c>
      <c r="B59" s="63" t="s">
        <v>122</v>
      </c>
      <c r="C59" s="64" t="s">
        <v>123</v>
      </c>
      <c r="D59" s="63" t="s">
        <v>138</v>
      </c>
      <c r="E59" s="64" t="s">
        <v>139</v>
      </c>
      <c r="F59" s="65">
        <v>26225</v>
      </c>
      <c r="G59" s="66" t="s">
        <v>30</v>
      </c>
      <c r="H59" s="67">
        <v>11006</v>
      </c>
      <c r="I59" s="68">
        <v>3</v>
      </c>
      <c r="J59" s="68">
        <v>4</v>
      </c>
      <c r="K59" s="91">
        <v>440.20000000000005</v>
      </c>
      <c r="L59" s="91">
        <v>217.93486644391766</v>
      </c>
      <c r="M59" s="91">
        <v>222.26513355608239</v>
      </c>
      <c r="N59" s="91">
        <v>220.10000000000002</v>
      </c>
      <c r="O59" s="91">
        <v>193.68800000000002</v>
      </c>
      <c r="P59" s="91">
        <v>26.412000000000003</v>
      </c>
      <c r="Q59" s="85">
        <v>66.03</v>
      </c>
      <c r="R59" s="69" t="s">
        <v>15</v>
      </c>
      <c r="S59" s="86">
        <v>63</v>
      </c>
      <c r="T59" s="69">
        <v>16</v>
      </c>
      <c r="U59" s="68">
        <v>0</v>
      </c>
      <c r="V59" s="68">
        <v>0</v>
      </c>
      <c r="W59" s="68">
        <v>4</v>
      </c>
      <c r="X59" s="68">
        <v>9</v>
      </c>
      <c r="Y59" s="68">
        <v>26</v>
      </c>
      <c r="Z59" s="68">
        <v>4</v>
      </c>
      <c r="AA59" s="68">
        <v>0</v>
      </c>
      <c r="AB59" s="69">
        <v>0</v>
      </c>
      <c r="AC59" s="69">
        <v>0</v>
      </c>
      <c r="AD59" s="70">
        <f>IFERROR(tblTarget[[#This Row],[Cluster Target]]/tblTarget[[#This Row],[Cluster PiN]],0)</f>
        <v>3.9996365618753409E-2</v>
      </c>
      <c r="AE59" s="79">
        <f>_xlfn.XLOOKUP(tblTarget[[#This Row],[ID]],tblResponse[ID],tblResponse[2024 Projected reached (Dec 2024)])</f>
        <v>30895</v>
      </c>
      <c r="AF59" s="79">
        <f>_xlfn.XLOOKUP(tblTarget[[#This Row],[ID]],tblResponse[ID],tblResponse[2024 Intercluster reached -August RPM])</f>
        <v>22311.493015300388</v>
      </c>
      <c r="AG59" s="79">
        <v>5</v>
      </c>
      <c r="AH59" s="79"/>
      <c r="AI59" s="79"/>
      <c r="AJ59" s="70" t="str">
        <f>IF(tblTarget[[#This Row],[Target to PiN (%)]]&gt;Targ_vs_PiN,"Flagged","")</f>
        <v/>
      </c>
      <c r="AK59" s="69" t="str">
        <f>IF(AND(tblTarget[[#This Row],[Qualifies for exception]]="Flagged",tblTarget[[#This Row],[Target to PiN (%)]]&gt;Targ_severity5),"Flagged","")</f>
        <v/>
      </c>
      <c r="AL59" s="68" t="str">
        <f>IFERROR(IF(AND(tblTarget[[#This Row],[Intercluser Severity]]=4,tblTarget[[#This Row],[Qualifies for exception]]="Flagged",(tblTarget[[#This Row],[Cluster Target]]-tblTarget[[#This Row],[2024 Response capacity up to December]])/tblTarget[[#This Row],[Cluster Target]]&gt;Diff_severity4),"Flagged",""),"No target")</f>
        <v/>
      </c>
      <c r="AM59" s="68" t="str">
        <f>IFERROR(IF(AND(tblTarget[[#This Row],[Intercluser Severity]]=3,tblTarget[[#This Row],[Qualifies for exception]]="Flagged",(tblTarget[[#This Row],[Cluster Target]]-tblTarget[[#This Row],[2024 Response capacity up to December]])/tblTarget[[#This Row],[Cluster Target]]&gt;Diff_severity3),"Flagged",""),"No target")</f>
        <v/>
      </c>
      <c r="AN59" s="81" t="s">
        <v>15</v>
      </c>
      <c r="AO59" s="81"/>
      <c r="AP59" s="81" t="s">
        <v>1099</v>
      </c>
      <c r="AQ59" s="81" t="s">
        <v>1098</v>
      </c>
    </row>
    <row r="60" spans="1:43" ht="15.95" hidden="1" customHeight="1" x14ac:dyDescent="0.2">
      <c r="A60" s="62" t="s">
        <v>497</v>
      </c>
      <c r="B60" s="63" t="s">
        <v>140</v>
      </c>
      <c r="C60" s="64" t="s">
        <v>141</v>
      </c>
      <c r="D60" s="63" t="s">
        <v>142</v>
      </c>
      <c r="E60" s="64" t="s">
        <v>143</v>
      </c>
      <c r="F60" s="65">
        <v>56553</v>
      </c>
      <c r="G60" s="66" t="s">
        <v>30</v>
      </c>
      <c r="H60" s="67">
        <v>24140</v>
      </c>
      <c r="I60" s="68">
        <v>3</v>
      </c>
      <c r="J60" s="68">
        <v>3</v>
      </c>
      <c r="K60" s="91">
        <v>458.8</v>
      </c>
      <c r="L60" s="91">
        <v>223.917360389268</v>
      </c>
      <c r="M60" s="91">
        <v>234.88263961073201</v>
      </c>
      <c r="N60" s="91">
        <v>229.4</v>
      </c>
      <c r="O60" s="91">
        <v>201.87200000000001</v>
      </c>
      <c r="P60" s="91">
        <v>27.527999999999999</v>
      </c>
      <c r="Q60" s="85">
        <v>68.819999999999993</v>
      </c>
      <c r="R60" s="69" t="s">
        <v>1107</v>
      </c>
      <c r="S60" s="86">
        <v>66</v>
      </c>
      <c r="T60" s="69">
        <v>17</v>
      </c>
      <c r="U60" s="68">
        <v>0</v>
      </c>
      <c r="V60" s="68">
        <v>0</v>
      </c>
      <c r="W60" s="68">
        <v>5</v>
      </c>
      <c r="X60" s="68">
        <v>9</v>
      </c>
      <c r="Y60" s="68">
        <v>28</v>
      </c>
      <c r="Z60" s="68">
        <v>5</v>
      </c>
      <c r="AA60" s="68">
        <v>0</v>
      </c>
      <c r="AB60" s="69">
        <v>0</v>
      </c>
      <c r="AC60" s="69">
        <v>0</v>
      </c>
      <c r="AD60" s="70">
        <f>IFERROR(tblTarget[[#This Row],[Cluster Target]]/tblTarget[[#This Row],[Cluster PiN]],0)</f>
        <v>1.9005799502899753E-2</v>
      </c>
      <c r="AE60" s="79">
        <f>_xlfn.XLOOKUP(tblTarget[[#This Row],[ID]],tblResponse[ID],tblResponse[2024 Projected reached (Dec 2024)])</f>
        <v>665</v>
      </c>
      <c r="AF60" s="79">
        <f>_xlfn.XLOOKUP(tblTarget[[#This Row],[ID]],tblResponse[ID],tblResponse[2024 Intercluster reached -August RPM])</f>
        <v>19428.979649886853</v>
      </c>
      <c r="AG60" s="79">
        <v>2</v>
      </c>
      <c r="AH60" s="79"/>
      <c r="AI60" s="79"/>
      <c r="AJ60" s="70" t="str">
        <f>IF(tblTarget[[#This Row],[Target to PiN (%)]]&gt;Targ_vs_PiN,"Flagged","")</f>
        <v/>
      </c>
      <c r="AK60" s="69" t="str">
        <f>IF(AND(tblTarget[[#This Row],[Qualifies for exception]]="Flagged",tblTarget[[#This Row],[Target to PiN (%)]]&gt;Targ_severity5),"Flagged","")</f>
        <v/>
      </c>
      <c r="AL60" s="68" t="str">
        <f>IFERROR(IF(AND(tblTarget[[#This Row],[Intercluser Severity]]=4,tblTarget[[#This Row],[Qualifies for exception]]="Flagged",(tblTarget[[#This Row],[Cluster Target]]-tblTarget[[#This Row],[2024 Response capacity up to December]])/tblTarget[[#This Row],[Cluster Target]]&gt;Diff_severity4),"Flagged",""),"No target")</f>
        <v/>
      </c>
      <c r="AM60" s="68" t="str">
        <f>IFERROR(IF(AND(tblTarget[[#This Row],[Intercluser Severity]]=3,tblTarget[[#This Row],[Qualifies for exception]]="Flagged",(tblTarget[[#This Row],[Cluster Target]]-tblTarget[[#This Row],[2024 Response capacity up to December]])/tblTarget[[#This Row],[Cluster Target]]&gt;Diff_severity3),"Flagged",""),"No target")</f>
        <v/>
      </c>
      <c r="AN60" s="81" t="s">
        <v>1099</v>
      </c>
      <c r="AO60" s="81"/>
      <c r="AP60" s="81" t="s">
        <v>1099</v>
      </c>
      <c r="AQ60" s="81" t="s">
        <v>1107</v>
      </c>
    </row>
    <row r="61" spans="1:43" ht="15.95" hidden="1" customHeight="1" x14ac:dyDescent="0.2">
      <c r="A61" s="62" t="s">
        <v>498</v>
      </c>
      <c r="B61" s="63" t="s">
        <v>140</v>
      </c>
      <c r="C61" s="64" t="s">
        <v>141</v>
      </c>
      <c r="D61" s="63" t="s">
        <v>144</v>
      </c>
      <c r="E61" s="64" t="s">
        <v>145</v>
      </c>
      <c r="F61" s="65">
        <v>48571</v>
      </c>
      <c r="G61" s="66" t="s">
        <v>30</v>
      </c>
      <c r="H61" s="67">
        <v>43540</v>
      </c>
      <c r="I61" s="68">
        <v>3</v>
      </c>
      <c r="J61" s="68">
        <v>3</v>
      </c>
      <c r="K61" s="91">
        <v>0</v>
      </c>
      <c r="L61" s="91">
        <v>0</v>
      </c>
      <c r="M61" s="91">
        <v>0</v>
      </c>
      <c r="N61" s="91">
        <v>0</v>
      </c>
      <c r="O61" s="91">
        <v>0</v>
      </c>
      <c r="P61" s="91">
        <v>0</v>
      </c>
      <c r="Q61" s="85">
        <v>0</v>
      </c>
      <c r="R61" s="69" t="s">
        <v>1107</v>
      </c>
      <c r="S61" s="86">
        <v>0</v>
      </c>
      <c r="T61" s="69">
        <v>0</v>
      </c>
      <c r="U61" s="68">
        <v>0</v>
      </c>
      <c r="V61" s="68">
        <v>0</v>
      </c>
      <c r="W61" s="68">
        <v>0</v>
      </c>
      <c r="X61" s="68">
        <v>0</v>
      </c>
      <c r="Y61" s="68">
        <v>0</v>
      </c>
      <c r="Z61" s="68">
        <v>0</v>
      </c>
      <c r="AA61" s="68">
        <v>0</v>
      </c>
      <c r="AB61" s="69">
        <v>0</v>
      </c>
      <c r="AC61" s="69">
        <v>0</v>
      </c>
      <c r="AD61" s="70">
        <f>IFERROR(tblTarget[[#This Row],[Cluster Target]]/tblTarget[[#This Row],[Cluster PiN]],0)</f>
        <v>0</v>
      </c>
      <c r="AE61" s="79">
        <f>_xlfn.XLOOKUP(tblTarget[[#This Row],[ID]],tblResponse[ID],tblResponse[2024 Projected reached (Dec 2024)])</f>
        <v>0</v>
      </c>
      <c r="AF61" s="79">
        <f>_xlfn.XLOOKUP(tblTarget[[#This Row],[ID]],tblResponse[ID],tblResponse[2024 Intercluster reached -August RPM])</f>
        <v>3773.8536633593694</v>
      </c>
      <c r="AG61" s="79">
        <v>1</v>
      </c>
      <c r="AH61" s="79"/>
      <c r="AI61" s="79"/>
      <c r="AJ61" s="70" t="str">
        <f>IF(tblTarget[[#This Row],[Target to PiN (%)]]&gt;Targ_vs_PiN,"Flagged","")</f>
        <v/>
      </c>
      <c r="AK61" s="69" t="str">
        <f>IF(AND(tblTarget[[#This Row],[Qualifies for exception]]="Flagged",tblTarget[[#This Row],[Target to PiN (%)]]&gt;Targ_severity5),"Flagged","")</f>
        <v/>
      </c>
      <c r="AL61" s="68" t="str">
        <f>IFERROR(IF(AND(tblTarget[[#This Row],[Intercluser Severity]]=4,tblTarget[[#This Row],[Qualifies for exception]]="Flagged",(tblTarget[[#This Row],[Cluster Target]]-tblTarget[[#This Row],[2024 Response capacity up to December]])/tblTarget[[#This Row],[Cluster Target]]&gt;Diff_severity4),"Flagged",""),"No target")</f>
        <v>No target</v>
      </c>
      <c r="AM61" s="68" t="str">
        <f>IFERROR(IF(AND(tblTarget[[#This Row],[Intercluser Severity]]=3,tblTarget[[#This Row],[Qualifies for exception]]="Flagged",(tblTarget[[#This Row],[Cluster Target]]-tblTarget[[#This Row],[2024 Response capacity up to December]])/tblTarget[[#This Row],[Cluster Target]]&gt;Diff_severity3),"Flagged",""),"No target")</f>
        <v>No target</v>
      </c>
      <c r="AN61" s="81" t="s">
        <v>1099</v>
      </c>
      <c r="AO61" s="81"/>
      <c r="AP61" s="81" t="s">
        <v>1099</v>
      </c>
      <c r="AQ61" s="81" t="s">
        <v>1107</v>
      </c>
    </row>
    <row r="62" spans="1:43" ht="15.95" hidden="1" customHeight="1" x14ac:dyDescent="0.2">
      <c r="A62" s="62" t="s">
        <v>499</v>
      </c>
      <c r="B62" s="63" t="s">
        <v>140</v>
      </c>
      <c r="C62" s="64" t="s">
        <v>141</v>
      </c>
      <c r="D62" s="63" t="s">
        <v>146</v>
      </c>
      <c r="E62" s="64" t="s">
        <v>147</v>
      </c>
      <c r="F62" s="65">
        <v>62149</v>
      </c>
      <c r="G62" s="66" t="s">
        <v>30</v>
      </c>
      <c r="H62" s="67">
        <v>42447</v>
      </c>
      <c r="I62" s="68">
        <v>3</v>
      </c>
      <c r="J62" s="68">
        <v>3</v>
      </c>
      <c r="K62" s="91">
        <v>10942.6</v>
      </c>
      <c r="L62" s="91">
        <v>5518.3989779703452</v>
      </c>
      <c r="M62" s="91">
        <v>5424.2010220296552</v>
      </c>
      <c r="N62" s="91">
        <v>5471.3</v>
      </c>
      <c r="O62" s="91">
        <v>4814.7440000000006</v>
      </c>
      <c r="P62" s="91">
        <v>656.55600000000004</v>
      </c>
      <c r="Q62" s="85">
        <v>1641.39</v>
      </c>
      <c r="R62" s="69" t="s">
        <v>1107</v>
      </c>
      <c r="S62" s="86">
        <v>1576</v>
      </c>
      <c r="T62" s="69">
        <v>394</v>
      </c>
      <c r="U62" s="68">
        <v>0</v>
      </c>
      <c r="V62" s="68">
        <v>0</v>
      </c>
      <c r="W62" s="68">
        <v>109</v>
      </c>
      <c r="X62" s="68">
        <v>219</v>
      </c>
      <c r="Y62" s="68">
        <v>657</v>
      </c>
      <c r="Z62" s="68">
        <v>109</v>
      </c>
      <c r="AA62" s="68">
        <v>0</v>
      </c>
      <c r="AB62" s="69">
        <v>0</v>
      </c>
      <c r="AC62" s="69">
        <v>0</v>
      </c>
      <c r="AD62" s="70">
        <f>IFERROR(tblTarget[[#This Row],[Cluster Target]]/tblTarget[[#This Row],[Cluster PiN]],0)</f>
        <v>0.2577944259900582</v>
      </c>
      <c r="AE62" s="79">
        <f>_xlfn.XLOOKUP(tblTarget[[#This Row],[ID]],tblResponse[ID],tblResponse[2024 Projected reached (Dec 2024)])</f>
        <v>6555</v>
      </c>
      <c r="AF62" s="79">
        <f>_xlfn.XLOOKUP(tblTarget[[#This Row],[ID]],tblResponse[ID],tblResponse[2024 Intercluster reached -August RPM])</f>
        <v>74040.014419478801</v>
      </c>
      <c r="AG62" s="79">
        <v>4</v>
      </c>
      <c r="AH62" s="79"/>
      <c r="AI62" s="79"/>
      <c r="AJ62" s="70" t="str">
        <f>IF(tblTarget[[#This Row],[Target to PiN (%)]]&gt;Targ_vs_PiN,"Flagged","")</f>
        <v/>
      </c>
      <c r="AK62" s="69" t="str">
        <f>IF(AND(tblTarget[[#This Row],[Qualifies for exception]]="Flagged",tblTarget[[#This Row],[Target to PiN (%)]]&gt;Targ_severity5),"Flagged","")</f>
        <v/>
      </c>
      <c r="AL62" s="68" t="str">
        <f>IFERROR(IF(AND(tblTarget[[#This Row],[Intercluser Severity]]=4,tblTarget[[#This Row],[Qualifies for exception]]="Flagged",(tblTarget[[#This Row],[Cluster Target]]-tblTarget[[#This Row],[2024 Response capacity up to December]])/tblTarget[[#This Row],[Cluster Target]]&gt;Diff_severity4),"Flagged",""),"No target")</f>
        <v/>
      </c>
      <c r="AM62" s="68" t="str">
        <f>IFERROR(IF(AND(tblTarget[[#This Row],[Intercluser Severity]]=3,tblTarget[[#This Row],[Qualifies for exception]]="Flagged",(tblTarget[[#This Row],[Cluster Target]]-tblTarget[[#This Row],[2024 Response capacity up to December]])/tblTarget[[#This Row],[Cluster Target]]&gt;Diff_severity3),"Flagged",""),"No target")</f>
        <v>Flagged</v>
      </c>
      <c r="AN62" s="81" t="s">
        <v>1099</v>
      </c>
      <c r="AO62" s="81"/>
      <c r="AP62" s="81" t="s">
        <v>1099</v>
      </c>
      <c r="AQ62" s="81" t="s">
        <v>1107</v>
      </c>
    </row>
    <row r="63" spans="1:43" ht="15.95" customHeight="1" x14ac:dyDescent="0.2">
      <c r="A63" s="62" t="s">
        <v>500</v>
      </c>
      <c r="B63" s="63" t="s">
        <v>140</v>
      </c>
      <c r="C63" s="64" t="s">
        <v>141</v>
      </c>
      <c r="D63" s="63" t="s">
        <v>148</v>
      </c>
      <c r="E63" s="64" t="s">
        <v>149</v>
      </c>
      <c r="F63" s="65">
        <v>120603</v>
      </c>
      <c r="G63" s="66" t="s">
        <v>30</v>
      </c>
      <c r="H63" s="67">
        <v>86508</v>
      </c>
      <c r="I63" s="68">
        <v>3</v>
      </c>
      <c r="J63" s="68">
        <v>5</v>
      </c>
      <c r="K63" s="91">
        <v>1653.36</v>
      </c>
      <c r="L63" s="91">
        <v>841.83129241780273</v>
      </c>
      <c r="M63" s="91">
        <v>811.52870758219717</v>
      </c>
      <c r="N63" s="91">
        <v>826.68</v>
      </c>
      <c r="O63" s="91">
        <v>727.47839999999997</v>
      </c>
      <c r="P63" s="91">
        <v>99.201599999999985</v>
      </c>
      <c r="Q63" s="85">
        <v>248.00399999999996</v>
      </c>
      <c r="R63" s="69" t="s">
        <v>15</v>
      </c>
      <c r="S63" s="86">
        <v>238</v>
      </c>
      <c r="T63" s="69">
        <v>60</v>
      </c>
      <c r="U63" s="68">
        <v>0</v>
      </c>
      <c r="V63" s="68">
        <v>0</v>
      </c>
      <c r="W63" s="68">
        <v>17</v>
      </c>
      <c r="X63" s="68">
        <v>33</v>
      </c>
      <c r="Y63" s="68">
        <v>99</v>
      </c>
      <c r="Z63" s="68">
        <v>17</v>
      </c>
      <c r="AA63" s="68">
        <v>0</v>
      </c>
      <c r="AB63" s="69">
        <v>0</v>
      </c>
      <c r="AC63" s="69">
        <v>0</v>
      </c>
      <c r="AD63" s="70">
        <f>IFERROR(tblTarget[[#This Row],[Cluster Target]]/tblTarget[[#This Row],[Cluster PiN]],0)</f>
        <v>1.9112220835067275E-2</v>
      </c>
      <c r="AE63" s="79">
        <f>_xlfn.XLOOKUP(tblTarget[[#This Row],[ID]],tblResponse[ID],tblResponse[2024 Projected reached (Dec 2024)])</f>
        <v>0</v>
      </c>
      <c r="AF63" s="79">
        <f>_xlfn.XLOOKUP(tblTarget[[#This Row],[ID]],tblResponse[ID],tblResponse[2024 Intercluster reached -August RPM])</f>
        <v>20360.899019481716</v>
      </c>
      <c r="AG63" s="79">
        <v>1</v>
      </c>
      <c r="AH63" s="79"/>
      <c r="AI63" s="79"/>
      <c r="AJ63" s="70" t="str">
        <f>IF(tblTarget[[#This Row],[Target to PiN (%)]]&gt;Targ_vs_PiN,"Flagged","")</f>
        <v/>
      </c>
      <c r="AK63" s="69" t="str">
        <f>IF(AND(tblTarget[[#This Row],[Qualifies for exception]]="Flagged",tblTarget[[#This Row],[Target to PiN (%)]]&gt;Targ_severity5),"Flagged","")</f>
        <v/>
      </c>
      <c r="AL63" s="68" t="str">
        <f>IFERROR(IF(AND(tblTarget[[#This Row],[Intercluser Severity]]=4,tblTarget[[#This Row],[Qualifies for exception]]="Flagged",(tblTarget[[#This Row],[Cluster Target]]-tblTarget[[#This Row],[2024 Response capacity up to December]])/tblTarget[[#This Row],[Cluster Target]]&gt;Diff_severity4),"Flagged",""),"No target")</f>
        <v/>
      </c>
      <c r="AM63" s="68" t="str">
        <f>IFERROR(IF(AND(tblTarget[[#This Row],[Intercluser Severity]]=3,tblTarget[[#This Row],[Qualifies for exception]]="Flagged",(tblTarget[[#This Row],[Cluster Target]]-tblTarget[[#This Row],[2024 Response capacity up to December]])/tblTarget[[#This Row],[Cluster Target]]&gt;Diff_severity3),"Flagged",""),"No target")</f>
        <v/>
      </c>
      <c r="AN63" s="81" t="s">
        <v>1099</v>
      </c>
      <c r="AO63" s="81"/>
      <c r="AP63" s="81" t="s">
        <v>1099</v>
      </c>
      <c r="AQ63" s="81" t="s">
        <v>1098</v>
      </c>
    </row>
    <row r="64" spans="1:43" ht="15.95" customHeight="1" x14ac:dyDescent="0.2">
      <c r="A64" s="62" t="s">
        <v>501</v>
      </c>
      <c r="B64" s="63" t="s">
        <v>140</v>
      </c>
      <c r="C64" s="64" t="s">
        <v>141</v>
      </c>
      <c r="D64" s="63" t="s">
        <v>150</v>
      </c>
      <c r="E64" s="64" t="s">
        <v>151</v>
      </c>
      <c r="F64" s="65">
        <v>64116</v>
      </c>
      <c r="G64" s="66" t="s">
        <v>30</v>
      </c>
      <c r="H64" s="67">
        <v>32544</v>
      </c>
      <c r="I64" s="68">
        <v>3</v>
      </c>
      <c r="J64" s="68">
        <v>3</v>
      </c>
      <c r="K64" s="91">
        <v>606</v>
      </c>
      <c r="L64" s="91">
        <v>310.2246361959418</v>
      </c>
      <c r="M64" s="91">
        <v>295.7753638040582</v>
      </c>
      <c r="N64" s="91">
        <v>303</v>
      </c>
      <c r="O64" s="91">
        <v>266.64</v>
      </c>
      <c r="P64" s="91">
        <v>36.36</v>
      </c>
      <c r="Q64" s="85">
        <v>90.899999999999991</v>
      </c>
      <c r="R64" s="69" t="s">
        <v>15</v>
      </c>
      <c r="S64" s="86">
        <v>87</v>
      </c>
      <c r="T64" s="69">
        <v>22</v>
      </c>
      <c r="U64" s="68">
        <v>0</v>
      </c>
      <c r="V64" s="68">
        <v>0</v>
      </c>
      <c r="W64" s="68">
        <v>6</v>
      </c>
      <c r="X64" s="68">
        <v>12</v>
      </c>
      <c r="Y64" s="68">
        <v>36</v>
      </c>
      <c r="Z64" s="68">
        <v>6</v>
      </c>
      <c r="AA64" s="68">
        <v>0</v>
      </c>
      <c r="AB64" s="69">
        <v>0</v>
      </c>
      <c r="AC64" s="69">
        <v>0</v>
      </c>
      <c r="AD64" s="70">
        <f>IFERROR(tblTarget[[#This Row],[Cluster Target]]/tblTarget[[#This Row],[Cluster PiN]],0)</f>
        <v>1.8620943952802359E-2</v>
      </c>
      <c r="AE64" s="79">
        <f>_xlfn.XLOOKUP(tblTarget[[#This Row],[ID]],tblResponse[ID],tblResponse[2024 Projected reached (Dec 2024)])</f>
        <v>0</v>
      </c>
      <c r="AF64" s="79">
        <f>_xlfn.XLOOKUP(tblTarget[[#This Row],[ID]],tblResponse[ID],tblResponse[2024 Intercluster reached -August RPM])</f>
        <v>10137.771520592743</v>
      </c>
      <c r="AG64" s="79">
        <v>2</v>
      </c>
      <c r="AH64" s="79"/>
      <c r="AI64" s="79"/>
      <c r="AJ64" s="70" t="str">
        <f>IF(tblTarget[[#This Row],[Target to PiN (%)]]&gt;Targ_vs_PiN,"Flagged","")</f>
        <v/>
      </c>
      <c r="AK64" s="69" t="str">
        <f>IF(AND(tblTarget[[#This Row],[Qualifies for exception]]="Flagged",tblTarget[[#This Row],[Target to PiN (%)]]&gt;Targ_severity5),"Flagged","")</f>
        <v/>
      </c>
      <c r="AL64" s="68" t="str">
        <f>IFERROR(IF(AND(tblTarget[[#This Row],[Intercluser Severity]]=4,tblTarget[[#This Row],[Qualifies for exception]]="Flagged",(tblTarget[[#This Row],[Cluster Target]]-tblTarget[[#This Row],[2024 Response capacity up to December]])/tblTarget[[#This Row],[Cluster Target]]&gt;Diff_severity4),"Flagged",""),"No target")</f>
        <v/>
      </c>
      <c r="AM64" s="68" t="str">
        <f>IFERROR(IF(AND(tblTarget[[#This Row],[Intercluser Severity]]=3,tblTarget[[#This Row],[Qualifies for exception]]="Flagged",(tblTarget[[#This Row],[Cluster Target]]-tblTarget[[#This Row],[2024 Response capacity up to December]])/tblTarget[[#This Row],[Cluster Target]]&gt;Diff_severity3),"Flagged",""),"No target")</f>
        <v/>
      </c>
      <c r="AN64" s="81" t="s">
        <v>15</v>
      </c>
      <c r="AO64" s="81"/>
      <c r="AP64" s="81" t="s">
        <v>1099</v>
      </c>
      <c r="AQ64" s="81" t="s">
        <v>1098</v>
      </c>
    </row>
    <row r="65" spans="1:43" ht="15.95" hidden="1" customHeight="1" x14ac:dyDescent="0.2">
      <c r="A65" s="62" t="s">
        <v>502</v>
      </c>
      <c r="B65" s="63" t="s">
        <v>140</v>
      </c>
      <c r="C65" s="64" t="s">
        <v>141</v>
      </c>
      <c r="D65" s="63" t="s">
        <v>152</v>
      </c>
      <c r="E65" s="64" t="s">
        <v>153</v>
      </c>
      <c r="F65" s="65">
        <v>46868</v>
      </c>
      <c r="G65" s="66" t="s">
        <v>30</v>
      </c>
      <c r="H65" s="67">
        <v>33943</v>
      </c>
      <c r="I65" s="68">
        <v>3</v>
      </c>
      <c r="J65" s="68">
        <v>3</v>
      </c>
      <c r="K65" s="91">
        <v>0</v>
      </c>
      <c r="L65" s="91">
        <v>0</v>
      </c>
      <c r="M65" s="91">
        <v>0</v>
      </c>
      <c r="N65" s="91">
        <v>0</v>
      </c>
      <c r="O65" s="91">
        <v>0</v>
      </c>
      <c r="P65" s="91">
        <v>0</v>
      </c>
      <c r="Q65" s="85">
        <v>0</v>
      </c>
      <c r="R65" s="69" t="s">
        <v>1107</v>
      </c>
      <c r="S65" s="86">
        <v>0</v>
      </c>
      <c r="T65" s="69">
        <v>0</v>
      </c>
      <c r="U65" s="68">
        <v>0</v>
      </c>
      <c r="V65" s="68">
        <v>0</v>
      </c>
      <c r="W65" s="68">
        <v>0</v>
      </c>
      <c r="X65" s="68">
        <v>0</v>
      </c>
      <c r="Y65" s="68">
        <v>0</v>
      </c>
      <c r="Z65" s="68">
        <v>0</v>
      </c>
      <c r="AA65" s="68">
        <v>0</v>
      </c>
      <c r="AB65" s="69">
        <v>0</v>
      </c>
      <c r="AC65" s="69">
        <v>0</v>
      </c>
      <c r="AD65" s="70">
        <f>IFERROR(tblTarget[[#This Row],[Cluster Target]]/tblTarget[[#This Row],[Cluster PiN]],0)</f>
        <v>0</v>
      </c>
      <c r="AE65" s="79">
        <f>_xlfn.XLOOKUP(tblTarget[[#This Row],[ID]],tblResponse[ID],tblResponse[2024 Projected reached (Dec 2024)])</f>
        <v>0</v>
      </c>
      <c r="AF65" s="79">
        <f>_xlfn.XLOOKUP(tblTarget[[#This Row],[ID]],tblResponse[ID],tblResponse[2024 Intercluster reached -August RPM])</f>
        <v>16212.738402118403</v>
      </c>
      <c r="AG65" s="79">
        <v>1</v>
      </c>
      <c r="AH65" s="79"/>
      <c r="AI65" s="79"/>
      <c r="AJ65" s="70" t="str">
        <f>IF(tblTarget[[#This Row],[Target to PiN (%)]]&gt;Targ_vs_PiN,"Flagged","")</f>
        <v/>
      </c>
      <c r="AK65" s="69" t="str">
        <f>IF(AND(tblTarget[[#This Row],[Qualifies for exception]]="Flagged",tblTarget[[#This Row],[Target to PiN (%)]]&gt;Targ_severity5),"Flagged","")</f>
        <v/>
      </c>
      <c r="AL65" s="68" t="str">
        <f>IFERROR(IF(AND(tblTarget[[#This Row],[Intercluser Severity]]=4,tblTarget[[#This Row],[Qualifies for exception]]="Flagged",(tblTarget[[#This Row],[Cluster Target]]-tblTarget[[#This Row],[2024 Response capacity up to December]])/tblTarget[[#This Row],[Cluster Target]]&gt;Diff_severity4),"Flagged",""),"No target")</f>
        <v>No target</v>
      </c>
      <c r="AM65" s="68" t="str">
        <f>IFERROR(IF(AND(tblTarget[[#This Row],[Intercluser Severity]]=3,tblTarget[[#This Row],[Qualifies for exception]]="Flagged",(tblTarget[[#This Row],[Cluster Target]]-tblTarget[[#This Row],[2024 Response capacity up to December]])/tblTarget[[#This Row],[Cluster Target]]&gt;Diff_severity3),"Flagged",""),"No target")</f>
        <v>No target</v>
      </c>
      <c r="AN65" s="81" t="s">
        <v>1099</v>
      </c>
      <c r="AO65" s="81"/>
      <c r="AP65" s="81" t="s">
        <v>1099</v>
      </c>
      <c r="AQ65" s="81" t="s">
        <v>1107</v>
      </c>
    </row>
    <row r="66" spans="1:43" ht="15.95" hidden="1" customHeight="1" x14ac:dyDescent="0.2">
      <c r="A66" s="62" t="s">
        <v>503</v>
      </c>
      <c r="B66" s="63" t="s">
        <v>140</v>
      </c>
      <c r="C66" s="64" t="s">
        <v>141</v>
      </c>
      <c r="D66" s="63" t="s">
        <v>154</v>
      </c>
      <c r="E66" s="64" t="s">
        <v>155</v>
      </c>
      <c r="F66" s="65">
        <v>85220</v>
      </c>
      <c r="G66" s="66" t="s">
        <v>30</v>
      </c>
      <c r="H66" s="67">
        <v>63798</v>
      </c>
      <c r="I66" s="68">
        <v>3</v>
      </c>
      <c r="J66" s="68">
        <v>3</v>
      </c>
      <c r="K66" s="91">
        <v>0</v>
      </c>
      <c r="L66" s="91">
        <v>0</v>
      </c>
      <c r="M66" s="91">
        <v>0</v>
      </c>
      <c r="N66" s="91">
        <v>0</v>
      </c>
      <c r="O66" s="91">
        <v>0</v>
      </c>
      <c r="P66" s="91">
        <v>0</v>
      </c>
      <c r="Q66" s="85">
        <v>0</v>
      </c>
      <c r="R66" s="69" t="s">
        <v>1107</v>
      </c>
      <c r="S66" s="86">
        <v>0</v>
      </c>
      <c r="T66" s="69">
        <v>0</v>
      </c>
      <c r="U66" s="68">
        <v>0</v>
      </c>
      <c r="V66" s="68">
        <v>0</v>
      </c>
      <c r="W66" s="68">
        <v>0</v>
      </c>
      <c r="X66" s="68">
        <v>0</v>
      </c>
      <c r="Y66" s="68">
        <v>0</v>
      </c>
      <c r="Z66" s="68">
        <v>0</v>
      </c>
      <c r="AA66" s="68">
        <v>0</v>
      </c>
      <c r="AB66" s="69">
        <v>0</v>
      </c>
      <c r="AC66" s="69">
        <v>0</v>
      </c>
      <c r="AD66" s="70">
        <f>IFERROR(tblTarget[[#This Row],[Cluster Target]]/tblTarget[[#This Row],[Cluster PiN]],0)</f>
        <v>0</v>
      </c>
      <c r="AE66" s="79">
        <f>_xlfn.XLOOKUP(tblTarget[[#This Row],[ID]],tblResponse[ID],tblResponse[2024 Projected reached (Dec 2024)])</f>
        <v>0</v>
      </c>
      <c r="AF66" s="79">
        <f>_xlfn.XLOOKUP(tblTarget[[#This Row],[ID]],tblResponse[ID],tblResponse[2024 Intercluster reached -August RPM])</f>
        <v>1973.6820883086357</v>
      </c>
      <c r="AG66" s="79">
        <v>1</v>
      </c>
      <c r="AH66" s="79"/>
      <c r="AI66" s="79"/>
      <c r="AJ66" s="70" t="str">
        <f>IF(tblTarget[[#This Row],[Target to PiN (%)]]&gt;Targ_vs_PiN,"Flagged","")</f>
        <v/>
      </c>
      <c r="AK66" s="69" t="str">
        <f>IF(AND(tblTarget[[#This Row],[Qualifies for exception]]="Flagged",tblTarget[[#This Row],[Target to PiN (%)]]&gt;Targ_severity5),"Flagged","")</f>
        <v/>
      </c>
      <c r="AL66" s="68" t="str">
        <f>IFERROR(IF(AND(tblTarget[[#This Row],[Intercluser Severity]]=4,tblTarget[[#This Row],[Qualifies for exception]]="Flagged",(tblTarget[[#This Row],[Cluster Target]]-tblTarget[[#This Row],[2024 Response capacity up to December]])/tblTarget[[#This Row],[Cluster Target]]&gt;Diff_severity4),"Flagged",""),"No target")</f>
        <v>No target</v>
      </c>
      <c r="AM66" s="68" t="str">
        <f>IFERROR(IF(AND(tblTarget[[#This Row],[Intercluser Severity]]=3,tblTarget[[#This Row],[Qualifies for exception]]="Flagged",(tblTarget[[#This Row],[Cluster Target]]-tblTarget[[#This Row],[2024 Response capacity up to December]])/tblTarget[[#This Row],[Cluster Target]]&gt;Diff_severity3),"Flagged",""),"No target")</f>
        <v>No target</v>
      </c>
      <c r="AN66" s="81" t="s">
        <v>1099</v>
      </c>
      <c r="AO66" s="81"/>
      <c r="AP66" s="81" t="s">
        <v>1099</v>
      </c>
      <c r="AQ66" s="81" t="s">
        <v>1107</v>
      </c>
    </row>
    <row r="67" spans="1:43" ht="15.95" hidden="1" customHeight="1" x14ac:dyDescent="0.2">
      <c r="A67" s="62" t="s">
        <v>504</v>
      </c>
      <c r="B67" s="63" t="s">
        <v>140</v>
      </c>
      <c r="C67" s="64" t="s">
        <v>141</v>
      </c>
      <c r="D67" s="63" t="s">
        <v>156</v>
      </c>
      <c r="E67" s="64" t="s">
        <v>157</v>
      </c>
      <c r="F67" s="65">
        <v>30544</v>
      </c>
      <c r="G67" s="66" t="s">
        <v>30</v>
      </c>
      <c r="H67" s="67">
        <v>24000</v>
      </c>
      <c r="I67" s="68">
        <v>3</v>
      </c>
      <c r="J67" s="68">
        <v>3</v>
      </c>
      <c r="K67" s="91">
        <v>0</v>
      </c>
      <c r="L67" s="91">
        <v>0</v>
      </c>
      <c r="M67" s="91">
        <v>0</v>
      </c>
      <c r="N67" s="91">
        <v>0</v>
      </c>
      <c r="O67" s="91">
        <v>0</v>
      </c>
      <c r="P67" s="91">
        <v>0</v>
      </c>
      <c r="Q67" s="85">
        <v>0</v>
      </c>
      <c r="R67" s="69" t="s">
        <v>1107</v>
      </c>
      <c r="S67" s="86">
        <v>0</v>
      </c>
      <c r="T67" s="69">
        <v>0</v>
      </c>
      <c r="U67" s="68">
        <v>0</v>
      </c>
      <c r="V67" s="68">
        <v>0</v>
      </c>
      <c r="W67" s="68">
        <v>0</v>
      </c>
      <c r="X67" s="68">
        <v>0</v>
      </c>
      <c r="Y67" s="68">
        <v>0</v>
      </c>
      <c r="Z67" s="68">
        <v>0</v>
      </c>
      <c r="AA67" s="68">
        <v>0</v>
      </c>
      <c r="AB67" s="69">
        <v>0</v>
      </c>
      <c r="AC67" s="69">
        <v>0</v>
      </c>
      <c r="AD67" s="70">
        <f>IFERROR(tblTarget[[#This Row],[Cluster Target]]/tblTarget[[#This Row],[Cluster PiN]],0)</f>
        <v>0</v>
      </c>
      <c r="AE67" s="79">
        <f>_xlfn.XLOOKUP(tblTarget[[#This Row],[ID]],tblResponse[ID],tblResponse[2024 Projected reached (Dec 2024)])</f>
        <v>0</v>
      </c>
      <c r="AF67" s="79">
        <f>_xlfn.XLOOKUP(tblTarget[[#This Row],[ID]],tblResponse[ID],tblResponse[2024 Intercluster reached -August RPM])</f>
        <v>4615.5195804934665</v>
      </c>
      <c r="AG67" s="79">
        <v>1</v>
      </c>
      <c r="AH67" s="79"/>
      <c r="AI67" s="79"/>
      <c r="AJ67" s="70" t="str">
        <f>IF(tblTarget[[#This Row],[Target to PiN (%)]]&gt;Targ_vs_PiN,"Flagged","")</f>
        <v/>
      </c>
      <c r="AK67" s="69" t="str">
        <f>IF(AND(tblTarget[[#This Row],[Qualifies for exception]]="Flagged",tblTarget[[#This Row],[Target to PiN (%)]]&gt;Targ_severity5),"Flagged","")</f>
        <v/>
      </c>
      <c r="AL67" s="68" t="str">
        <f>IFERROR(IF(AND(tblTarget[[#This Row],[Intercluser Severity]]=4,tblTarget[[#This Row],[Qualifies for exception]]="Flagged",(tblTarget[[#This Row],[Cluster Target]]-tblTarget[[#This Row],[2024 Response capacity up to December]])/tblTarget[[#This Row],[Cluster Target]]&gt;Diff_severity4),"Flagged",""),"No target")</f>
        <v>No target</v>
      </c>
      <c r="AM67" s="68" t="str">
        <f>IFERROR(IF(AND(tblTarget[[#This Row],[Intercluser Severity]]=3,tblTarget[[#This Row],[Qualifies for exception]]="Flagged",(tblTarget[[#This Row],[Cluster Target]]-tblTarget[[#This Row],[2024 Response capacity up to December]])/tblTarget[[#This Row],[Cluster Target]]&gt;Diff_severity3),"Flagged",""),"No target")</f>
        <v>No target</v>
      </c>
      <c r="AN67" s="81" t="s">
        <v>1099</v>
      </c>
      <c r="AO67" s="81"/>
      <c r="AP67" s="81" t="s">
        <v>1099</v>
      </c>
      <c r="AQ67" s="81" t="s">
        <v>1107</v>
      </c>
    </row>
    <row r="68" spans="1:43" ht="15.95" hidden="1" customHeight="1" x14ac:dyDescent="0.2">
      <c r="A68" s="62" t="s">
        <v>505</v>
      </c>
      <c r="B68" s="63" t="s">
        <v>140</v>
      </c>
      <c r="C68" s="64" t="s">
        <v>141</v>
      </c>
      <c r="D68" s="63" t="s">
        <v>158</v>
      </c>
      <c r="E68" s="64" t="s">
        <v>159</v>
      </c>
      <c r="F68" s="65">
        <v>71747</v>
      </c>
      <c r="G68" s="66" t="s">
        <v>30</v>
      </c>
      <c r="H68" s="67">
        <v>37850</v>
      </c>
      <c r="I68" s="68">
        <v>3</v>
      </c>
      <c r="J68" s="68">
        <v>4</v>
      </c>
      <c r="K68" s="91">
        <v>417.40000000000003</v>
      </c>
      <c r="L68" s="91">
        <v>207.28807204073703</v>
      </c>
      <c r="M68" s="91">
        <v>210.111927959263</v>
      </c>
      <c r="N68" s="91">
        <v>208.70000000000002</v>
      </c>
      <c r="O68" s="91">
        <v>183.65600000000001</v>
      </c>
      <c r="P68" s="91">
        <v>25.044</v>
      </c>
      <c r="Q68" s="85">
        <v>62.61</v>
      </c>
      <c r="R68" s="69" t="s">
        <v>1107</v>
      </c>
      <c r="S68" s="86">
        <v>60</v>
      </c>
      <c r="T68" s="69">
        <v>15</v>
      </c>
      <c r="U68" s="68">
        <v>0</v>
      </c>
      <c r="V68" s="68">
        <v>0</v>
      </c>
      <c r="W68" s="68">
        <v>4</v>
      </c>
      <c r="X68" s="68">
        <v>8</v>
      </c>
      <c r="Y68" s="68">
        <v>25</v>
      </c>
      <c r="Z68" s="68">
        <v>4</v>
      </c>
      <c r="AA68" s="68">
        <v>0</v>
      </c>
      <c r="AB68" s="69">
        <v>0</v>
      </c>
      <c r="AC68" s="69">
        <v>0</v>
      </c>
      <c r="AD68" s="70">
        <f>IFERROR(tblTarget[[#This Row],[Cluster Target]]/tblTarget[[#This Row],[Cluster PiN]],0)</f>
        <v>1.102774108322325E-2</v>
      </c>
      <c r="AE68" s="79">
        <f>_xlfn.XLOOKUP(tblTarget[[#This Row],[ID]],tblResponse[ID],tblResponse[2024 Projected reached (Dec 2024)])</f>
        <v>0</v>
      </c>
      <c r="AF68" s="79">
        <f>_xlfn.XLOOKUP(tblTarget[[#This Row],[ID]],tblResponse[ID],tblResponse[2024 Intercluster reached -August RPM])</f>
        <v>32871.146953209725</v>
      </c>
      <c r="AG68" s="79">
        <v>1</v>
      </c>
      <c r="AH68" s="79"/>
      <c r="AI68" s="79"/>
      <c r="AJ68" s="70" t="str">
        <f>IF(tblTarget[[#This Row],[Target to PiN (%)]]&gt;Targ_vs_PiN,"Flagged","")</f>
        <v/>
      </c>
      <c r="AK68" s="69" t="str">
        <f>IF(AND(tblTarget[[#This Row],[Qualifies for exception]]="Flagged",tblTarget[[#This Row],[Target to PiN (%)]]&gt;Targ_severity5),"Flagged","")</f>
        <v/>
      </c>
      <c r="AL68" s="68" t="str">
        <f>IFERROR(IF(AND(tblTarget[[#This Row],[Intercluser Severity]]=4,tblTarget[[#This Row],[Qualifies for exception]]="Flagged",(tblTarget[[#This Row],[Cluster Target]]-tblTarget[[#This Row],[2024 Response capacity up to December]])/tblTarget[[#This Row],[Cluster Target]]&gt;Diff_severity4),"Flagged",""),"No target")</f>
        <v>Flagged</v>
      </c>
      <c r="AM68" s="68" t="str">
        <f>IFERROR(IF(AND(tblTarget[[#This Row],[Intercluser Severity]]=3,tblTarget[[#This Row],[Qualifies for exception]]="Flagged",(tblTarget[[#This Row],[Cluster Target]]-tblTarget[[#This Row],[2024 Response capacity up to December]])/tblTarget[[#This Row],[Cluster Target]]&gt;Diff_severity3),"Flagged",""),"No target")</f>
        <v/>
      </c>
      <c r="AN68" s="81" t="s">
        <v>1099</v>
      </c>
      <c r="AO68" s="81"/>
      <c r="AP68" s="81" t="s">
        <v>1099</v>
      </c>
      <c r="AQ68" s="81" t="s">
        <v>1107</v>
      </c>
    </row>
    <row r="69" spans="1:43" ht="15.95" hidden="1" customHeight="1" x14ac:dyDescent="0.2">
      <c r="A69" s="62" t="s">
        <v>506</v>
      </c>
      <c r="B69" s="63" t="s">
        <v>160</v>
      </c>
      <c r="C69" s="64" t="s">
        <v>161</v>
      </c>
      <c r="D69" s="63" t="s">
        <v>162</v>
      </c>
      <c r="E69" s="64" t="s">
        <v>163</v>
      </c>
      <c r="F69" s="65">
        <v>0</v>
      </c>
      <c r="G69" s="66" t="s">
        <v>30</v>
      </c>
      <c r="H69" s="67">
        <v>0</v>
      </c>
      <c r="I69" s="68">
        <v>3</v>
      </c>
      <c r="J69" s="68">
        <v>4</v>
      </c>
      <c r="K69" s="91">
        <v>0</v>
      </c>
      <c r="L69" s="91">
        <v>0</v>
      </c>
      <c r="M69" s="91">
        <v>0</v>
      </c>
      <c r="N69" s="91">
        <v>0</v>
      </c>
      <c r="O69" s="91">
        <v>0</v>
      </c>
      <c r="P69" s="91">
        <v>0</v>
      </c>
      <c r="Q69" s="85">
        <v>0</v>
      </c>
      <c r="R69" s="69" t="s">
        <v>1107</v>
      </c>
      <c r="S69" s="86">
        <v>0</v>
      </c>
      <c r="T69" s="69">
        <v>0</v>
      </c>
      <c r="U69" s="68">
        <v>0</v>
      </c>
      <c r="V69" s="68">
        <v>0</v>
      </c>
      <c r="W69" s="68">
        <v>0</v>
      </c>
      <c r="X69" s="68">
        <v>0</v>
      </c>
      <c r="Y69" s="68">
        <v>0</v>
      </c>
      <c r="Z69" s="68">
        <v>0</v>
      </c>
      <c r="AA69" s="68">
        <v>0</v>
      </c>
      <c r="AB69" s="69">
        <v>0</v>
      </c>
      <c r="AC69" s="69">
        <v>0</v>
      </c>
      <c r="AD69" s="70">
        <f>IFERROR(tblTarget[[#This Row],[Cluster Target]]/tblTarget[[#This Row],[Cluster PiN]],0)</f>
        <v>0</v>
      </c>
      <c r="AE69" s="79">
        <f>_xlfn.XLOOKUP(tblTarget[[#This Row],[ID]],tblResponse[ID],tblResponse[2024 Projected reached (Dec 2024)])</f>
        <v>0</v>
      </c>
      <c r="AF69" s="79">
        <f>_xlfn.XLOOKUP(tblTarget[[#This Row],[ID]],tblResponse[ID],tblResponse[2024 Intercluster reached -August RPM])</f>
        <v>45014.783963763781</v>
      </c>
      <c r="AG69" s="79">
        <v>1</v>
      </c>
      <c r="AH69" s="79"/>
      <c r="AI69" s="79"/>
      <c r="AJ69" s="70" t="str">
        <f>IF(tblTarget[[#This Row],[Target to PiN (%)]]&gt;Targ_vs_PiN,"Flagged","")</f>
        <v/>
      </c>
      <c r="AK69" s="69" t="str">
        <f>IF(AND(tblTarget[[#This Row],[Qualifies for exception]]="Flagged",tblTarget[[#This Row],[Target to PiN (%)]]&gt;Targ_severity5),"Flagged","")</f>
        <v/>
      </c>
      <c r="AL69" s="68" t="str">
        <f>IFERROR(IF(AND(tblTarget[[#This Row],[Intercluser Severity]]=4,tblTarget[[#This Row],[Qualifies for exception]]="Flagged",(tblTarget[[#This Row],[Cluster Target]]-tblTarget[[#This Row],[2024 Response capacity up to December]])/tblTarget[[#This Row],[Cluster Target]]&gt;Diff_severity4),"Flagged",""),"No target")</f>
        <v>No target</v>
      </c>
      <c r="AM69" s="68" t="str">
        <f>IFERROR(IF(AND(tblTarget[[#This Row],[Intercluser Severity]]=3,tblTarget[[#This Row],[Qualifies for exception]]="Flagged",(tblTarget[[#This Row],[Cluster Target]]-tblTarget[[#This Row],[2024 Response capacity up to December]])/tblTarget[[#This Row],[Cluster Target]]&gt;Diff_severity3),"Flagged",""),"No target")</f>
        <v>No target</v>
      </c>
      <c r="AN69" s="81" t="s">
        <v>1099</v>
      </c>
      <c r="AO69" s="81"/>
      <c r="AP69" s="81" t="s">
        <v>1099</v>
      </c>
      <c r="AQ69" s="81" t="s">
        <v>1107</v>
      </c>
    </row>
    <row r="70" spans="1:43" ht="15.95" hidden="1" customHeight="1" x14ac:dyDescent="0.2">
      <c r="A70" s="62" t="s">
        <v>507</v>
      </c>
      <c r="B70" s="63" t="s">
        <v>160</v>
      </c>
      <c r="C70" s="64" t="s">
        <v>161</v>
      </c>
      <c r="D70" s="63" t="s">
        <v>164</v>
      </c>
      <c r="E70" s="64" t="s">
        <v>165</v>
      </c>
      <c r="F70" s="65">
        <v>28525</v>
      </c>
      <c r="G70" s="66" t="s">
        <v>30</v>
      </c>
      <c r="H70" s="67">
        <v>17107</v>
      </c>
      <c r="I70" s="68">
        <v>3</v>
      </c>
      <c r="J70" s="68">
        <v>4</v>
      </c>
      <c r="K70" s="91">
        <v>171</v>
      </c>
      <c r="L70" s="91">
        <v>89.155949446447138</v>
      </c>
      <c r="M70" s="91">
        <v>81.844050553552862</v>
      </c>
      <c r="N70" s="91">
        <v>85.5</v>
      </c>
      <c r="O70" s="91">
        <v>75.239999999999995</v>
      </c>
      <c r="P70" s="91">
        <v>10.26</v>
      </c>
      <c r="Q70" s="85">
        <v>25.65</v>
      </c>
      <c r="R70" s="69" t="s">
        <v>1107</v>
      </c>
      <c r="S70" s="86">
        <v>25</v>
      </c>
      <c r="T70" s="69">
        <v>6</v>
      </c>
      <c r="U70" s="68">
        <v>0</v>
      </c>
      <c r="V70" s="68">
        <v>0</v>
      </c>
      <c r="W70" s="68">
        <v>2</v>
      </c>
      <c r="X70" s="68">
        <v>3</v>
      </c>
      <c r="Y70" s="68">
        <v>10</v>
      </c>
      <c r="Z70" s="68">
        <v>2</v>
      </c>
      <c r="AA70" s="68">
        <v>0</v>
      </c>
      <c r="AB70" s="69">
        <v>0</v>
      </c>
      <c r="AC70" s="69">
        <v>0</v>
      </c>
      <c r="AD70" s="70">
        <f>IFERROR(tblTarget[[#This Row],[Cluster Target]]/tblTarget[[#This Row],[Cluster PiN]],0)</f>
        <v>9.9959081077921324E-3</v>
      </c>
      <c r="AE70" s="79">
        <f>_xlfn.XLOOKUP(tblTarget[[#This Row],[ID]],tblResponse[ID],tblResponse[2024 Projected reached (Dec 2024)])</f>
        <v>0</v>
      </c>
      <c r="AF70" s="79">
        <f>_xlfn.XLOOKUP(tblTarget[[#This Row],[ID]],tblResponse[ID],tblResponse[2024 Intercluster reached -August RPM])</f>
        <v>30559.539147547996</v>
      </c>
      <c r="AG70" s="79">
        <v>2</v>
      </c>
      <c r="AH70" s="79"/>
      <c r="AI70" s="79"/>
      <c r="AJ70" s="70" t="str">
        <f>IF(tblTarget[[#This Row],[Target to PiN (%)]]&gt;Targ_vs_PiN,"Flagged","")</f>
        <v/>
      </c>
      <c r="AK70" s="69" t="str">
        <f>IF(AND(tblTarget[[#This Row],[Qualifies for exception]]="Flagged",tblTarget[[#This Row],[Target to PiN (%)]]&gt;Targ_severity5),"Flagged","")</f>
        <v/>
      </c>
      <c r="AL70" s="68" t="str">
        <f>IFERROR(IF(AND(tblTarget[[#This Row],[Intercluser Severity]]=4,tblTarget[[#This Row],[Qualifies for exception]]="Flagged",(tblTarget[[#This Row],[Cluster Target]]-tblTarget[[#This Row],[2024 Response capacity up to December]])/tblTarget[[#This Row],[Cluster Target]]&gt;Diff_severity4),"Flagged",""),"No target")</f>
        <v>Flagged</v>
      </c>
      <c r="AM70" s="68" t="str">
        <f>IFERROR(IF(AND(tblTarget[[#This Row],[Intercluser Severity]]=3,tblTarget[[#This Row],[Qualifies for exception]]="Flagged",(tblTarget[[#This Row],[Cluster Target]]-tblTarget[[#This Row],[2024 Response capacity up to December]])/tblTarget[[#This Row],[Cluster Target]]&gt;Diff_severity3),"Flagged",""),"No target")</f>
        <v/>
      </c>
      <c r="AN70" s="81" t="s">
        <v>1099</v>
      </c>
      <c r="AO70" s="81"/>
      <c r="AP70" s="81" t="s">
        <v>1099</v>
      </c>
      <c r="AQ70" s="81" t="s">
        <v>1107</v>
      </c>
    </row>
    <row r="71" spans="1:43" ht="15.95" customHeight="1" x14ac:dyDescent="0.2">
      <c r="A71" s="62" t="s">
        <v>508</v>
      </c>
      <c r="B71" s="63" t="s">
        <v>160</v>
      </c>
      <c r="C71" s="64" t="s">
        <v>161</v>
      </c>
      <c r="D71" s="63" t="s">
        <v>166</v>
      </c>
      <c r="E71" s="64" t="s">
        <v>167</v>
      </c>
      <c r="F71" s="65">
        <v>15932</v>
      </c>
      <c r="G71" s="66" t="s">
        <v>30</v>
      </c>
      <c r="H71" s="67">
        <v>3340</v>
      </c>
      <c r="I71" s="68">
        <v>3</v>
      </c>
      <c r="J71" s="68">
        <v>4</v>
      </c>
      <c r="K71" s="91">
        <v>482.20000000000005</v>
      </c>
      <c r="L71" s="91">
        <v>248.71800035803795</v>
      </c>
      <c r="M71" s="91">
        <v>233.48199964196206</v>
      </c>
      <c r="N71" s="91">
        <v>241.10000000000002</v>
      </c>
      <c r="O71" s="91">
        <v>212.16800000000003</v>
      </c>
      <c r="P71" s="91">
        <v>28.932000000000002</v>
      </c>
      <c r="Q71" s="85">
        <v>72.33</v>
      </c>
      <c r="R71" s="69" t="s">
        <v>15</v>
      </c>
      <c r="S71" s="86">
        <v>69</v>
      </c>
      <c r="T71" s="69">
        <v>17</v>
      </c>
      <c r="U71" s="68">
        <v>0</v>
      </c>
      <c r="V71" s="68">
        <v>0</v>
      </c>
      <c r="W71" s="68">
        <v>5</v>
      </c>
      <c r="X71" s="68">
        <v>10</v>
      </c>
      <c r="Y71" s="68">
        <v>29</v>
      </c>
      <c r="Z71" s="68">
        <v>5</v>
      </c>
      <c r="AA71" s="68">
        <v>0</v>
      </c>
      <c r="AB71" s="69">
        <v>0</v>
      </c>
      <c r="AC71" s="69">
        <v>0</v>
      </c>
      <c r="AD71" s="70">
        <f>IFERROR(tblTarget[[#This Row],[Cluster Target]]/tblTarget[[#This Row],[Cluster PiN]],0)</f>
        <v>0.14437125748502996</v>
      </c>
      <c r="AE71" s="79">
        <f>_xlfn.XLOOKUP(tblTarget[[#This Row],[ID]],tblResponse[ID],tblResponse[2024 Projected reached (Dec 2024)])</f>
        <v>0</v>
      </c>
      <c r="AF71" s="79">
        <f>_xlfn.XLOOKUP(tblTarget[[#This Row],[ID]],tblResponse[ID],tblResponse[2024 Intercluster reached -August RPM])</f>
        <v>8395.6699963500978</v>
      </c>
      <c r="AG71" s="79">
        <v>2</v>
      </c>
      <c r="AH71" s="79"/>
      <c r="AI71" s="79"/>
      <c r="AJ71" s="70" t="str">
        <f>IF(tblTarget[[#This Row],[Target to PiN (%)]]&gt;Targ_vs_PiN,"Flagged","")</f>
        <v/>
      </c>
      <c r="AK71" s="69" t="str">
        <f>IF(AND(tblTarget[[#This Row],[Qualifies for exception]]="Flagged",tblTarget[[#This Row],[Target to PiN (%)]]&gt;Targ_severity5),"Flagged","")</f>
        <v/>
      </c>
      <c r="AL71" s="68" t="str">
        <f>IFERROR(IF(AND(tblTarget[[#This Row],[Intercluser Severity]]=4,tblTarget[[#This Row],[Qualifies for exception]]="Flagged",(tblTarget[[#This Row],[Cluster Target]]-tblTarget[[#This Row],[2024 Response capacity up to December]])/tblTarget[[#This Row],[Cluster Target]]&gt;Diff_severity4),"Flagged",""),"No target")</f>
        <v/>
      </c>
      <c r="AM71" s="68" t="str">
        <f>IFERROR(IF(AND(tblTarget[[#This Row],[Intercluser Severity]]=3,tblTarget[[#This Row],[Qualifies for exception]]="Flagged",(tblTarget[[#This Row],[Cluster Target]]-tblTarget[[#This Row],[2024 Response capacity up to December]])/tblTarget[[#This Row],[Cluster Target]]&gt;Diff_severity3),"Flagged",""),"No target")</f>
        <v/>
      </c>
      <c r="AN71" s="81" t="s">
        <v>15</v>
      </c>
      <c r="AO71" s="81"/>
      <c r="AP71" s="81" t="s">
        <v>15</v>
      </c>
      <c r="AQ71" s="81" t="s">
        <v>1098</v>
      </c>
    </row>
    <row r="72" spans="1:43" ht="15.95" customHeight="1" x14ac:dyDescent="0.2">
      <c r="A72" s="62" t="s">
        <v>509</v>
      </c>
      <c r="B72" s="63" t="s">
        <v>160</v>
      </c>
      <c r="C72" s="64" t="s">
        <v>161</v>
      </c>
      <c r="D72" s="63" t="s">
        <v>168</v>
      </c>
      <c r="E72" s="64" t="s">
        <v>169</v>
      </c>
      <c r="F72" s="65">
        <v>32249</v>
      </c>
      <c r="G72" s="66" t="s">
        <v>30</v>
      </c>
      <c r="H72" s="67">
        <v>12839</v>
      </c>
      <c r="I72" s="68">
        <v>3</v>
      </c>
      <c r="J72" s="68">
        <v>4</v>
      </c>
      <c r="K72" s="91">
        <v>2631.2000000000003</v>
      </c>
      <c r="L72" s="91">
        <v>1322.3922478865393</v>
      </c>
      <c r="M72" s="91">
        <v>1308.807752113461</v>
      </c>
      <c r="N72" s="91">
        <v>1315.6000000000001</v>
      </c>
      <c r="O72" s="91">
        <v>1157.7280000000001</v>
      </c>
      <c r="P72" s="91">
        <v>157.87200000000001</v>
      </c>
      <c r="Q72" s="85">
        <v>394.68</v>
      </c>
      <c r="R72" s="69" t="s">
        <v>15</v>
      </c>
      <c r="S72" s="86">
        <v>379</v>
      </c>
      <c r="T72" s="69">
        <v>95</v>
      </c>
      <c r="U72" s="68">
        <v>0</v>
      </c>
      <c r="V72" s="68">
        <v>0</v>
      </c>
      <c r="W72" s="68">
        <v>26</v>
      </c>
      <c r="X72" s="68">
        <v>53</v>
      </c>
      <c r="Y72" s="68">
        <v>158</v>
      </c>
      <c r="Z72" s="68">
        <v>26</v>
      </c>
      <c r="AA72" s="68">
        <v>0</v>
      </c>
      <c r="AB72" s="69">
        <v>0</v>
      </c>
      <c r="AC72" s="69">
        <v>0</v>
      </c>
      <c r="AD72" s="70">
        <f>IFERROR(tblTarget[[#This Row],[Cluster Target]]/tblTarget[[#This Row],[Cluster PiN]],0)</f>
        <v>0.20493807928966432</v>
      </c>
      <c r="AE72" s="79">
        <f>_xlfn.XLOOKUP(tblTarget[[#This Row],[ID]],tblResponse[ID],tblResponse[2024 Projected reached (Dec 2024)])</f>
        <v>0</v>
      </c>
      <c r="AF72" s="79">
        <f>_xlfn.XLOOKUP(tblTarget[[#This Row],[ID]],tblResponse[ID],tblResponse[2024 Intercluster reached -August RPM])</f>
        <v>26517.723683471788</v>
      </c>
      <c r="AG72" s="79">
        <v>2</v>
      </c>
      <c r="AH72" s="79"/>
      <c r="AI72" s="79"/>
      <c r="AJ72" s="70" t="str">
        <f>IF(tblTarget[[#This Row],[Target to PiN (%)]]&gt;Targ_vs_PiN,"Flagged","")</f>
        <v/>
      </c>
      <c r="AK72" s="69" t="str">
        <f>IF(AND(tblTarget[[#This Row],[Qualifies for exception]]="Flagged",tblTarget[[#This Row],[Target to PiN (%)]]&gt;Targ_severity5),"Flagged","")</f>
        <v/>
      </c>
      <c r="AL72" s="68" t="str">
        <f>IFERROR(IF(AND(tblTarget[[#This Row],[Intercluser Severity]]=4,tblTarget[[#This Row],[Qualifies for exception]]="Flagged",(tblTarget[[#This Row],[Cluster Target]]-tblTarget[[#This Row],[2024 Response capacity up to December]])/tblTarget[[#This Row],[Cluster Target]]&gt;Diff_severity4),"Flagged",""),"No target")</f>
        <v/>
      </c>
      <c r="AM72" s="68" t="str">
        <f>IFERROR(IF(AND(tblTarget[[#This Row],[Intercluser Severity]]=3,tblTarget[[#This Row],[Qualifies for exception]]="Flagged",(tblTarget[[#This Row],[Cluster Target]]-tblTarget[[#This Row],[2024 Response capacity up to December]])/tblTarget[[#This Row],[Cluster Target]]&gt;Diff_severity3),"Flagged",""),"No target")</f>
        <v/>
      </c>
      <c r="AN72" s="81" t="s">
        <v>15</v>
      </c>
      <c r="AO72" s="81"/>
      <c r="AP72" s="81" t="s">
        <v>1099</v>
      </c>
      <c r="AQ72" s="81" t="s">
        <v>1098</v>
      </c>
    </row>
    <row r="73" spans="1:43" ht="15.95" customHeight="1" x14ac:dyDescent="0.2">
      <c r="A73" s="62" t="s">
        <v>510</v>
      </c>
      <c r="B73" s="63" t="s">
        <v>160</v>
      </c>
      <c r="C73" s="64" t="s">
        <v>161</v>
      </c>
      <c r="D73" s="63" t="s">
        <v>170</v>
      </c>
      <c r="E73" s="64" t="s">
        <v>171</v>
      </c>
      <c r="F73" s="65">
        <v>0</v>
      </c>
      <c r="G73" s="66" t="s">
        <v>30</v>
      </c>
      <c r="H73" s="67">
        <v>0</v>
      </c>
      <c r="I73" s="68">
        <v>3</v>
      </c>
      <c r="J73" s="68">
        <v>4</v>
      </c>
      <c r="K73" s="91">
        <v>0</v>
      </c>
      <c r="L73" s="91">
        <v>0</v>
      </c>
      <c r="M73" s="91">
        <v>0</v>
      </c>
      <c r="N73" s="91">
        <v>0</v>
      </c>
      <c r="O73" s="91">
        <v>0</v>
      </c>
      <c r="P73" s="91">
        <v>0</v>
      </c>
      <c r="Q73" s="85">
        <v>0</v>
      </c>
      <c r="R73" s="69" t="s">
        <v>15</v>
      </c>
      <c r="S73" s="86">
        <v>0</v>
      </c>
      <c r="T73" s="69">
        <v>0</v>
      </c>
      <c r="U73" s="68">
        <v>0</v>
      </c>
      <c r="V73" s="68">
        <v>0</v>
      </c>
      <c r="W73" s="68">
        <v>0</v>
      </c>
      <c r="X73" s="68">
        <v>0</v>
      </c>
      <c r="Y73" s="68">
        <v>0</v>
      </c>
      <c r="Z73" s="68">
        <v>0</v>
      </c>
      <c r="AA73" s="68">
        <v>0</v>
      </c>
      <c r="AB73" s="69">
        <v>0</v>
      </c>
      <c r="AC73" s="69">
        <v>0</v>
      </c>
      <c r="AD73" s="70">
        <f>IFERROR(tblTarget[[#This Row],[Cluster Target]]/tblTarget[[#This Row],[Cluster PiN]],0)</f>
        <v>0</v>
      </c>
      <c r="AE73" s="79">
        <f>_xlfn.XLOOKUP(tblTarget[[#This Row],[ID]],tblResponse[ID],tblResponse[2024 Projected reached (Dec 2024)])</f>
        <v>0</v>
      </c>
      <c r="AF73" s="79">
        <f>_xlfn.XLOOKUP(tblTarget[[#This Row],[ID]],tblResponse[ID],tblResponse[2024 Intercluster reached -August RPM])</f>
        <v>22037.234462086282</v>
      </c>
      <c r="AG73" s="79">
        <v>2</v>
      </c>
      <c r="AH73" s="79"/>
      <c r="AI73" s="79"/>
      <c r="AJ73" s="70" t="str">
        <f>IF(tblTarget[[#This Row],[Target to PiN (%)]]&gt;Targ_vs_PiN,"Flagged","")</f>
        <v/>
      </c>
      <c r="AK73" s="69" t="str">
        <f>IF(AND(tblTarget[[#This Row],[Qualifies for exception]]="Flagged",tblTarget[[#This Row],[Target to PiN (%)]]&gt;Targ_severity5),"Flagged","")</f>
        <v/>
      </c>
      <c r="AL73" s="68" t="str">
        <f>IFERROR(IF(AND(tblTarget[[#This Row],[Intercluser Severity]]=4,tblTarget[[#This Row],[Qualifies for exception]]="Flagged",(tblTarget[[#This Row],[Cluster Target]]-tblTarget[[#This Row],[2024 Response capacity up to December]])/tblTarget[[#This Row],[Cluster Target]]&gt;Diff_severity4),"Flagged",""),"No target")</f>
        <v>No target</v>
      </c>
      <c r="AM73" s="68" t="str">
        <f>IFERROR(IF(AND(tblTarget[[#This Row],[Intercluser Severity]]=3,tblTarget[[#This Row],[Qualifies for exception]]="Flagged",(tblTarget[[#This Row],[Cluster Target]]-tblTarget[[#This Row],[2024 Response capacity up to December]])/tblTarget[[#This Row],[Cluster Target]]&gt;Diff_severity3),"Flagged",""),"No target")</f>
        <v>No target</v>
      </c>
      <c r="AN73" s="81" t="s">
        <v>15</v>
      </c>
      <c r="AO73" s="81"/>
      <c r="AP73" s="81" t="s">
        <v>15</v>
      </c>
      <c r="AQ73" s="81" t="s">
        <v>1098</v>
      </c>
    </row>
    <row r="74" spans="1:43" ht="15.95" customHeight="1" x14ac:dyDescent="0.2">
      <c r="A74" s="62" t="s">
        <v>511</v>
      </c>
      <c r="B74" s="63" t="s">
        <v>160</v>
      </c>
      <c r="C74" s="64" t="s">
        <v>161</v>
      </c>
      <c r="D74" s="63" t="s">
        <v>172</v>
      </c>
      <c r="E74" s="64" t="s">
        <v>173</v>
      </c>
      <c r="F74" s="65">
        <v>37755</v>
      </c>
      <c r="G74" s="66" t="s">
        <v>30</v>
      </c>
      <c r="H74" s="67">
        <v>18444</v>
      </c>
      <c r="I74" s="68">
        <v>3</v>
      </c>
      <c r="J74" s="68">
        <v>4</v>
      </c>
      <c r="K74" s="91">
        <v>606</v>
      </c>
      <c r="L74" s="91">
        <v>318.106729468357</v>
      </c>
      <c r="M74" s="91">
        <v>287.89327053164305</v>
      </c>
      <c r="N74" s="91">
        <v>303</v>
      </c>
      <c r="O74" s="91">
        <v>266.64</v>
      </c>
      <c r="P74" s="91">
        <v>36.36</v>
      </c>
      <c r="Q74" s="85">
        <v>90.899999999999991</v>
      </c>
      <c r="R74" s="69" t="s">
        <v>15</v>
      </c>
      <c r="S74" s="86">
        <v>87</v>
      </c>
      <c r="T74" s="69">
        <v>22</v>
      </c>
      <c r="U74" s="68">
        <v>0</v>
      </c>
      <c r="V74" s="68">
        <v>0</v>
      </c>
      <c r="W74" s="68">
        <v>6</v>
      </c>
      <c r="X74" s="68">
        <v>12</v>
      </c>
      <c r="Y74" s="68">
        <v>36</v>
      </c>
      <c r="Z74" s="68">
        <v>6</v>
      </c>
      <c r="AA74" s="68">
        <v>0</v>
      </c>
      <c r="AB74" s="69">
        <v>0</v>
      </c>
      <c r="AC74" s="69">
        <v>0</v>
      </c>
      <c r="AD74" s="70">
        <f>IFERROR(tblTarget[[#This Row],[Cluster Target]]/tblTarget[[#This Row],[Cluster PiN]],0)</f>
        <v>3.2856213402732592E-2</v>
      </c>
      <c r="AE74" s="79">
        <f>_xlfn.XLOOKUP(tblTarget[[#This Row],[ID]],tblResponse[ID],tblResponse[2024 Projected reached (Dec 2024)])</f>
        <v>0</v>
      </c>
      <c r="AF74" s="79">
        <f>_xlfn.XLOOKUP(tblTarget[[#This Row],[ID]],tblResponse[ID],tblResponse[2024 Intercluster reached -August RPM])</f>
        <v>122506.81803007518</v>
      </c>
      <c r="AG74" s="79">
        <v>3</v>
      </c>
      <c r="AH74" s="79"/>
      <c r="AI74" s="79"/>
      <c r="AJ74" s="70" t="str">
        <f>IF(tblTarget[[#This Row],[Target to PiN (%)]]&gt;Targ_vs_PiN,"Flagged","")</f>
        <v/>
      </c>
      <c r="AK74" s="69" t="str">
        <f>IF(AND(tblTarget[[#This Row],[Qualifies for exception]]="Flagged",tblTarget[[#This Row],[Target to PiN (%)]]&gt;Targ_severity5),"Flagged","")</f>
        <v/>
      </c>
      <c r="AL74" s="68" t="str">
        <f>IFERROR(IF(AND(tblTarget[[#This Row],[Intercluser Severity]]=4,tblTarget[[#This Row],[Qualifies for exception]]="Flagged",(tblTarget[[#This Row],[Cluster Target]]-tblTarget[[#This Row],[2024 Response capacity up to December]])/tblTarget[[#This Row],[Cluster Target]]&gt;Diff_severity4),"Flagged",""),"No target")</f>
        <v/>
      </c>
      <c r="AM74" s="68" t="str">
        <f>IFERROR(IF(AND(tblTarget[[#This Row],[Intercluser Severity]]=3,tblTarget[[#This Row],[Qualifies for exception]]="Flagged",(tblTarget[[#This Row],[Cluster Target]]-tblTarget[[#This Row],[2024 Response capacity up to December]])/tblTarget[[#This Row],[Cluster Target]]&gt;Diff_severity3),"Flagged",""),"No target")</f>
        <v/>
      </c>
      <c r="AN74" s="81" t="s">
        <v>15</v>
      </c>
      <c r="AO74" s="81"/>
      <c r="AP74" s="81" t="s">
        <v>1099</v>
      </c>
      <c r="AQ74" s="81" t="s">
        <v>1098</v>
      </c>
    </row>
    <row r="75" spans="1:43" ht="15.95" customHeight="1" x14ac:dyDescent="0.2">
      <c r="A75" s="62" t="s">
        <v>512</v>
      </c>
      <c r="B75" s="63" t="s">
        <v>160</v>
      </c>
      <c r="C75" s="64" t="s">
        <v>161</v>
      </c>
      <c r="D75" s="63" t="s">
        <v>174</v>
      </c>
      <c r="E75" s="64" t="s">
        <v>175</v>
      </c>
      <c r="F75" s="65">
        <v>0</v>
      </c>
      <c r="G75" s="66" t="s">
        <v>30</v>
      </c>
      <c r="H75" s="67">
        <v>0</v>
      </c>
      <c r="I75" s="68">
        <v>3</v>
      </c>
      <c r="J75" s="68">
        <v>4</v>
      </c>
      <c r="K75" s="91">
        <v>0</v>
      </c>
      <c r="L75" s="91">
        <v>0</v>
      </c>
      <c r="M75" s="91">
        <v>0</v>
      </c>
      <c r="N75" s="91">
        <v>0</v>
      </c>
      <c r="O75" s="91">
        <v>0</v>
      </c>
      <c r="P75" s="91">
        <v>0</v>
      </c>
      <c r="Q75" s="85">
        <v>0</v>
      </c>
      <c r="R75" s="69" t="s">
        <v>15</v>
      </c>
      <c r="S75" s="86">
        <v>0</v>
      </c>
      <c r="T75" s="69">
        <v>0</v>
      </c>
      <c r="U75" s="68">
        <v>0</v>
      </c>
      <c r="V75" s="68">
        <v>0</v>
      </c>
      <c r="W75" s="68">
        <v>0</v>
      </c>
      <c r="X75" s="68">
        <v>0</v>
      </c>
      <c r="Y75" s="68">
        <v>0</v>
      </c>
      <c r="Z75" s="68">
        <v>0</v>
      </c>
      <c r="AA75" s="68">
        <v>0</v>
      </c>
      <c r="AB75" s="69">
        <v>0</v>
      </c>
      <c r="AC75" s="69">
        <v>0</v>
      </c>
      <c r="AD75" s="70">
        <f>IFERROR(tblTarget[[#This Row],[Cluster Target]]/tblTarget[[#This Row],[Cluster PiN]],0)</f>
        <v>0</v>
      </c>
      <c r="AE75" s="79">
        <f>_xlfn.XLOOKUP(tblTarget[[#This Row],[ID]],tblResponse[ID],tblResponse[2024 Projected reached (Dec 2024)])</f>
        <v>0</v>
      </c>
      <c r="AF75" s="79">
        <f>_xlfn.XLOOKUP(tblTarget[[#This Row],[ID]],tblResponse[ID],tblResponse[2024 Intercluster reached -August RPM])</f>
        <v>39295.233778750277</v>
      </c>
      <c r="AG75" s="79">
        <v>1</v>
      </c>
      <c r="AH75" s="79"/>
      <c r="AI75" s="79"/>
      <c r="AJ75" s="70" t="str">
        <f>IF(tblTarget[[#This Row],[Target to PiN (%)]]&gt;Targ_vs_PiN,"Flagged","")</f>
        <v/>
      </c>
      <c r="AK75" s="69" t="str">
        <f>IF(AND(tblTarget[[#This Row],[Qualifies for exception]]="Flagged",tblTarget[[#This Row],[Target to PiN (%)]]&gt;Targ_severity5),"Flagged","")</f>
        <v/>
      </c>
      <c r="AL75" s="68" t="str">
        <f>IFERROR(IF(AND(tblTarget[[#This Row],[Intercluser Severity]]=4,tblTarget[[#This Row],[Qualifies for exception]]="Flagged",(tblTarget[[#This Row],[Cluster Target]]-tblTarget[[#This Row],[2024 Response capacity up to December]])/tblTarget[[#This Row],[Cluster Target]]&gt;Diff_severity4),"Flagged",""),"No target")</f>
        <v>No target</v>
      </c>
      <c r="AM75" s="68" t="str">
        <f>IFERROR(IF(AND(tblTarget[[#This Row],[Intercluser Severity]]=3,tblTarget[[#This Row],[Qualifies for exception]]="Flagged",(tblTarget[[#This Row],[Cluster Target]]-tblTarget[[#This Row],[2024 Response capacity up to December]])/tblTarget[[#This Row],[Cluster Target]]&gt;Diff_severity3),"Flagged",""),"No target")</f>
        <v>No target</v>
      </c>
      <c r="AN75" s="81" t="s">
        <v>15</v>
      </c>
      <c r="AO75" s="81"/>
      <c r="AP75" s="81" t="s">
        <v>15</v>
      </c>
      <c r="AQ75" s="81" t="s">
        <v>1098</v>
      </c>
    </row>
    <row r="76" spans="1:43" ht="15.95" customHeight="1" x14ac:dyDescent="0.2">
      <c r="A76" s="62" t="s">
        <v>513</v>
      </c>
      <c r="B76" s="63" t="s">
        <v>160</v>
      </c>
      <c r="C76" s="64" t="s">
        <v>161</v>
      </c>
      <c r="D76" s="63" t="s">
        <v>176</v>
      </c>
      <c r="E76" s="64" t="s">
        <v>177</v>
      </c>
      <c r="F76" s="65">
        <v>0</v>
      </c>
      <c r="G76" s="66" t="s">
        <v>30</v>
      </c>
      <c r="H76" s="67">
        <v>0</v>
      </c>
      <c r="I76" s="68">
        <v>4</v>
      </c>
      <c r="J76" s="68">
        <v>4</v>
      </c>
      <c r="K76" s="91">
        <v>0</v>
      </c>
      <c r="L76" s="91">
        <v>0</v>
      </c>
      <c r="M76" s="91">
        <v>0</v>
      </c>
      <c r="N76" s="91">
        <v>0</v>
      </c>
      <c r="O76" s="91">
        <v>0</v>
      </c>
      <c r="P76" s="91">
        <v>0</v>
      </c>
      <c r="Q76" s="85">
        <v>0</v>
      </c>
      <c r="R76" s="69" t="s">
        <v>15</v>
      </c>
      <c r="S76" s="86">
        <v>0</v>
      </c>
      <c r="T76" s="69">
        <v>0</v>
      </c>
      <c r="U76" s="68">
        <v>0</v>
      </c>
      <c r="V76" s="68">
        <v>0</v>
      </c>
      <c r="W76" s="68">
        <v>0</v>
      </c>
      <c r="X76" s="68">
        <v>0</v>
      </c>
      <c r="Y76" s="68">
        <v>0</v>
      </c>
      <c r="Z76" s="68">
        <v>0</v>
      </c>
      <c r="AA76" s="68">
        <v>0</v>
      </c>
      <c r="AB76" s="69">
        <v>0</v>
      </c>
      <c r="AC76" s="69">
        <v>0</v>
      </c>
      <c r="AD76" s="70">
        <f>IFERROR(tblTarget[[#This Row],[Cluster Target]]/tblTarget[[#This Row],[Cluster PiN]],0)</f>
        <v>0</v>
      </c>
      <c r="AE76" s="79">
        <f>_xlfn.XLOOKUP(tblTarget[[#This Row],[ID]],tblResponse[ID],tblResponse[2024 Projected reached (Dec 2024)])</f>
        <v>0</v>
      </c>
      <c r="AF76" s="79">
        <f>_xlfn.XLOOKUP(tblTarget[[#This Row],[ID]],tblResponse[ID],tblResponse[2024 Intercluster reached -August RPM])</f>
        <v>82715.540082373904</v>
      </c>
      <c r="AG76" s="79">
        <v>1</v>
      </c>
      <c r="AH76" s="79"/>
      <c r="AI76" s="79"/>
      <c r="AJ76" s="70" t="str">
        <f>IF(tblTarget[[#This Row],[Target to PiN (%)]]&gt;Targ_vs_PiN,"Flagged","")</f>
        <v/>
      </c>
      <c r="AK76" s="69" t="str">
        <f>IF(AND(tblTarget[[#This Row],[Qualifies for exception]]="Flagged",tblTarget[[#This Row],[Target to PiN (%)]]&gt;Targ_severity5),"Flagged","")</f>
        <v/>
      </c>
      <c r="AL76" s="68" t="str">
        <f>IFERROR(IF(AND(tblTarget[[#This Row],[Intercluser Severity]]=4,tblTarget[[#This Row],[Qualifies for exception]]="Flagged",(tblTarget[[#This Row],[Cluster Target]]-tblTarget[[#This Row],[2024 Response capacity up to December]])/tblTarget[[#This Row],[Cluster Target]]&gt;Diff_severity4),"Flagged",""),"No target")</f>
        <v>No target</v>
      </c>
      <c r="AM76" s="68" t="str">
        <f>IFERROR(IF(AND(tblTarget[[#This Row],[Intercluser Severity]]=3,tblTarget[[#This Row],[Qualifies for exception]]="Flagged",(tblTarget[[#This Row],[Cluster Target]]-tblTarget[[#This Row],[2024 Response capacity up to December]])/tblTarget[[#This Row],[Cluster Target]]&gt;Diff_severity3),"Flagged",""),"No target")</f>
        <v>No target</v>
      </c>
      <c r="AN76" s="81" t="s">
        <v>1099</v>
      </c>
      <c r="AO76" s="81"/>
      <c r="AP76" s="81" t="s">
        <v>1099</v>
      </c>
      <c r="AQ76" s="81" t="s">
        <v>1098</v>
      </c>
    </row>
    <row r="77" spans="1:43" ht="15.95" customHeight="1" x14ac:dyDescent="0.2">
      <c r="A77" s="62" t="s">
        <v>514</v>
      </c>
      <c r="B77" s="63" t="s">
        <v>160</v>
      </c>
      <c r="C77" s="64" t="s">
        <v>161</v>
      </c>
      <c r="D77" s="63" t="s">
        <v>178</v>
      </c>
      <c r="E77" s="64" t="s">
        <v>179</v>
      </c>
      <c r="F77" s="65">
        <v>0</v>
      </c>
      <c r="G77" s="66" t="s">
        <v>30</v>
      </c>
      <c r="H77" s="66">
        <v>0</v>
      </c>
      <c r="I77" s="68">
        <v>3</v>
      </c>
      <c r="J77" s="68">
        <v>4</v>
      </c>
      <c r="K77" s="91">
        <v>0</v>
      </c>
      <c r="L77" s="91">
        <v>0</v>
      </c>
      <c r="M77" s="91">
        <v>0</v>
      </c>
      <c r="N77" s="91">
        <v>0</v>
      </c>
      <c r="O77" s="91">
        <v>0</v>
      </c>
      <c r="P77" s="91">
        <v>0</v>
      </c>
      <c r="Q77" s="85">
        <v>0</v>
      </c>
      <c r="R77" s="69" t="s">
        <v>15</v>
      </c>
      <c r="S77" s="86">
        <v>0</v>
      </c>
      <c r="T77" s="69">
        <v>0</v>
      </c>
      <c r="U77" s="68">
        <v>0</v>
      </c>
      <c r="V77" s="68">
        <v>0</v>
      </c>
      <c r="W77" s="68">
        <v>0</v>
      </c>
      <c r="X77" s="68">
        <v>0</v>
      </c>
      <c r="Y77" s="68">
        <v>0</v>
      </c>
      <c r="Z77" s="68">
        <v>0</v>
      </c>
      <c r="AA77" s="68">
        <v>0</v>
      </c>
      <c r="AB77" s="69">
        <v>0</v>
      </c>
      <c r="AC77" s="69">
        <v>0</v>
      </c>
      <c r="AD77" s="70">
        <f>IFERROR(tblTarget[[#This Row],[Cluster Target]]/tblTarget[[#This Row],[Cluster PiN]],0)</f>
        <v>0</v>
      </c>
      <c r="AE77" s="79">
        <f>_xlfn.XLOOKUP(tblTarget[[#This Row],[ID]],tblResponse[ID],tblResponse[2024 Projected reached (Dec 2024)])</f>
        <v>0</v>
      </c>
      <c r="AF77" s="79">
        <f>_xlfn.XLOOKUP(tblTarget[[#This Row],[ID]],tblResponse[ID],tblResponse[2024 Intercluster reached -August RPM])</f>
        <v>86660.805341492087</v>
      </c>
      <c r="AG77" s="79">
        <v>2</v>
      </c>
      <c r="AH77" s="79"/>
      <c r="AI77" s="79"/>
      <c r="AJ77" s="70" t="str">
        <f>IF(tblTarget[[#This Row],[Target to PiN (%)]]&gt;Targ_vs_PiN,"Flagged","")</f>
        <v/>
      </c>
      <c r="AK77" s="69" t="str">
        <f>IF(AND(tblTarget[[#This Row],[Qualifies for exception]]="Flagged",tblTarget[[#This Row],[Target to PiN (%)]]&gt;Targ_severity5),"Flagged","")</f>
        <v/>
      </c>
      <c r="AL77" s="68" t="str">
        <f>IFERROR(IF(AND(tblTarget[[#This Row],[Intercluser Severity]]=4,tblTarget[[#This Row],[Qualifies for exception]]="Flagged",(tblTarget[[#This Row],[Cluster Target]]-tblTarget[[#This Row],[2024 Response capacity up to December]])/tblTarget[[#This Row],[Cluster Target]]&gt;Diff_severity4),"Flagged",""),"No target")</f>
        <v>No target</v>
      </c>
      <c r="AM77" s="68" t="str">
        <f>IFERROR(IF(AND(tblTarget[[#This Row],[Intercluser Severity]]=3,tblTarget[[#This Row],[Qualifies for exception]]="Flagged",(tblTarget[[#This Row],[Cluster Target]]-tblTarget[[#This Row],[2024 Response capacity up to December]])/tblTarget[[#This Row],[Cluster Target]]&gt;Diff_severity3),"Flagged",""),"No target")</f>
        <v>No target</v>
      </c>
      <c r="AN77" s="81" t="s">
        <v>15</v>
      </c>
      <c r="AO77" s="81"/>
      <c r="AP77" s="81" t="s">
        <v>1099</v>
      </c>
      <c r="AQ77" s="81" t="s">
        <v>1098</v>
      </c>
    </row>
    <row r="78" spans="1:43" ht="15.95" hidden="1" customHeight="1" x14ac:dyDescent="0.2">
      <c r="A78" s="62" t="s">
        <v>515</v>
      </c>
      <c r="B78" s="63" t="s">
        <v>180</v>
      </c>
      <c r="C78" s="64" t="s">
        <v>181</v>
      </c>
      <c r="D78" s="63" t="s">
        <v>182</v>
      </c>
      <c r="E78" s="64" t="s">
        <v>183</v>
      </c>
      <c r="F78" s="65">
        <v>67940</v>
      </c>
      <c r="G78" s="66" t="s">
        <v>30</v>
      </c>
      <c r="H78" s="67">
        <v>32653</v>
      </c>
      <c r="I78" s="68">
        <v>3</v>
      </c>
      <c r="J78" s="68">
        <v>4</v>
      </c>
      <c r="K78" s="91">
        <v>558.4</v>
      </c>
      <c r="L78" s="91">
        <v>287.82352474629602</v>
      </c>
      <c r="M78" s="91">
        <v>270.57647525370396</v>
      </c>
      <c r="N78" s="91">
        <v>279.2</v>
      </c>
      <c r="O78" s="91">
        <v>245.696</v>
      </c>
      <c r="P78" s="91">
        <v>33.503999999999998</v>
      </c>
      <c r="Q78" s="85">
        <v>83.759999999999991</v>
      </c>
      <c r="R78" s="69" t="s">
        <v>1107</v>
      </c>
      <c r="S78" s="86">
        <v>80</v>
      </c>
      <c r="T78" s="69">
        <v>20</v>
      </c>
      <c r="U78" s="68">
        <v>0</v>
      </c>
      <c r="V78" s="68">
        <v>0</v>
      </c>
      <c r="W78" s="68">
        <v>6</v>
      </c>
      <c r="X78" s="68">
        <v>11</v>
      </c>
      <c r="Y78" s="68">
        <v>34</v>
      </c>
      <c r="Z78" s="68">
        <v>6</v>
      </c>
      <c r="AA78" s="68">
        <v>0</v>
      </c>
      <c r="AB78" s="69">
        <v>0</v>
      </c>
      <c r="AC78" s="69">
        <v>0</v>
      </c>
      <c r="AD78" s="70">
        <f>IFERROR(tblTarget[[#This Row],[Cluster Target]]/tblTarget[[#This Row],[Cluster PiN]],0)</f>
        <v>1.7101032064435119E-2</v>
      </c>
      <c r="AE78" s="79">
        <f>_xlfn.XLOOKUP(tblTarget[[#This Row],[ID]],tblResponse[ID],tblResponse[2024 Projected reached (Dec 2024)])</f>
        <v>0</v>
      </c>
      <c r="AF78" s="79">
        <f>_xlfn.XLOOKUP(tblTarget[[#This Row],[ID]],tblResponse[ID],tblResponse[2024 Intercluster reached -August RPM])</f>
        <v>165218.38985817358</v>
      </c>
      <c r="AG78" s="79">
        <v>1</v>
      </c>
      <c r="AH78" s="79"/>
      <c r="AI78" s="79"/>
      <c r="AJ78" s="70" t="str">
        <f>IF(tblTarget[[#This Row],[Target to PiN (%)]]&gt;Targ_vs_PiN,"Flagged","")</f>
        <v/>
      </c>
      <c r="AK78" s="69" t="str">
        <f>IF(AND(tblTarget[[#This Row],[Qualifies for exception]]="Flagged",tblTarget[[#This Row],[Target to PiN (%)]]&gt;Targ_severity5),"Flagged","")</f>
        <v/>
      </c>
      <c r="AL78" s="68" t="str">
        <f>IFERROR(IF(AND(tblTarget[[#This Row],[Intercluser Severity]]=4,tblTarget[[#This Row],[Qualifies for exception]]="Flagged",(tblTarget[[#This Row],[Cluster Target]]-tblTarget[[#This Row],[2024 Response capacity up to December]])/tblTarget[[#This Row],[Cluster Target]]&gt;Diff_severity4),"Flagged",""),"No target")</f>
        <v>Flagged</v>
      </c>
      <c r="AM78" s="68" t="str">
        <f>IFERROR(IF(AND(tblTarget[[#This Row],[Intercluser Severity]]=3,tblTarget[[#This Row],[Qualifies for exception]]="Flagged",(tblTarget[[#This Row],[Cluster Target]]-tblTarget[[#This Row],[2024 Response capacity up to December]])/tblTarget[[#This Row],[Cluster Target]]&gt;Diff_severity3),"Flagged",""),"No target")</f>
        <v/>
      </c>
      <c r="AN78" s="81" t="s">
        <v>1099</v>
      </c>
      <c r="AO78" s="81"/>
      <c r="AP78" s="81" t="s">
        <v>1099</v>
      </c>
      <c r="AQ78" s="81" t="s">
        <v>1107</v>
      </c>
    </row>
    <row r="79" spans="1:43" ht="15.95" hidden="1" customHeight="1" x14ac:dyDescent="0.2">
      <c r="A79" s="62" t="s">
        <v>516</v>
      </c>
      <c r="B79" s="63" t="s">
        <v>180</v>
      </c>
      <c r="C79" s="64" t="s">
        <v>181</v>
      </c>
      <c r="D79" s="63" t="s">
        <v>184</v>
      </c>
      <c r="E79" s="64" t="s">
        <v>185</v>
      </c>
      <c r="F79" s="65">
        <v>0</v>
      </c>
      <c r="G79" s="66" t="s">
        <v>30</v>
      </c>
      <c r="H79" s="67">
        <v>0</v>
      </c>
      <c r="I79" s="68">
        <v>3</v>
      </c>
      <c r="J79" s="68">
        <v>4</v>
      </c>
      <c r="K79" s="91">
        <v>0</v>
      </c>
      <c r="L79" s="91">
        <v>0</v>
      </c>
      <c r="M79" s="91">
        <v>0</v>
      </c>
      <c r="N79" s="91">
        <v>0</v>
      </c>
      <c r="O79" s="91">
        <v>0</v>
      </c>
      <c r="P79" s="91">
        <v>0</v>
      </c>
      <c r="Q79" s="85">
        <v>0</v>
      </c>
      <c r="R79" s="69" t="s">
        <v>1107</v>
      </c>
      <c r="S79" s="86">
        <v>0</v>
      </c>
      <c r="T79" s="69">
        <v>0</v>
      </c>
      <c r="U79" s="68">
        <v>0</v>
      </c>
      <c r="V79" s="68">
        <v>0</v>
      </c>
      <c r="W79" s="68">
        <v>0</v>
      </c>
      <c r="X79" s="68">
        <v>0</v>
      </c>
      <c r="Y79" s="68">
        <v>0</v>
      </c>
      <c r="Z79" s="68">
        <v>0</v>
      </c>
      <c r="AA79" s="68">
        <v>0</v>
      </c>
      <c r="AB79" s="69">
        <v>0</v>
      </c>
      <c r="AC79" s="69">
        <v>0</v>
      </c>
      <c r="AD79" s="70">
        <f>IFERROR(tblTarget[[#This Row],[Cluster Target]]/tblTarget[[#This Row],[Cluster PiN]],0)</f>
        <v>0</v>
      </c>
      <c r="AE79" s="79">
        <f>_xlfn.XLOOKUP(tblTarget[[#This Row],[ID]],tblResponse[ID],tblResponse[2024 Projected reached (Dec 2024)])</f>
        <v>0</v>
      </c>
      <c r="AF79" s="79">
        <f>_xlfn.XLOOKUP(tblTarget[[#This Row],[ID]],tblResponse[ID],tblResponse[2024 Intercluster reached -August RPM])</f>
        <v>40264.234024162346</v>
      </c>
      <c r="AG79" s="79">
        <v>1</v>
      </c>
      <c r="AH79" s="79"/>
      <c r="AI79" s="79"/>
      <c r="AJ79" s="70" t="str">
        <f>IF(tblTarget[[#This Row],[Target to PiN (%)]]&gt;Targ_vs_PiN,"Flagged","")</f>
        <v/>
      </c>
      <c r="AK79" s="69" t="str">
        <f>IF(AND(tblTarget[[#This Row],[Qualifies for exception]]="Flagged",tblTarget[[#This Row],[Target to PiN (%)]]&gt;Targ_severity5),"Flagged","")</f>
        <v/>
      </c>
      <c r="AL79" s="68" t="str">
        <f>IFERROR(IF(AND(tblTarget[[#This Row],[Intercluser Severity]]=4,tblTarget[[#This Row],[Qualifies for exception]]="Flagged",(tblTarget[[#This Row],[Cluster Target]]-tblTarget[[#This Row],[2024 Response capacity up to December]])/tblTarget[[#This Row],[Cluster Target]]&gt;Diff_severity4),"Flagged",""),"No target")</f>
        <v>No target</v>
      </c>
      <c r="AM79" s="68" t="str">
        <f>IFERROR(IF(AND(tblTarget[[#This Row],[Intercluser Severity]]=3,tblTarget[[#This Row],[Qualifies for exception]]="Flagged",(tblTarget[[#This Row],[Cluster Target]]-tblTarget[[#This Row],[2024 Response capacity up to December]])/tblTarget[[#This Row],[Cluster Target]]&gt;Diff_severity3),"Flagged",""),"No target")</f>
        <v>No target</v>
      </c>
      <c r="AN79" s="81" t="s">
        <v>1099</v>
      </c>
      <c r="AO79" s="81"/>
      <c r="AP79" s="81" t="s">
        <v>1099</v>
      </c>
      <c r="AQ79" s="81" t="s">
        <v>1107</v>
      </c>
    </row>
    <row r="80" spans="1:43" ht="15.95" hidden="1" customHeight="1" x14ac:dyDescent="0.2">
      <c r="A80" s="62" t="s">
        <v>517</v>
      </c>
      <c r="B80" s="63" t="s">
        <v>180</v>
      </c>
      <c r="C80" s="64" t="s">
        <v>181</v>
      </c>
      <c r="D80" s="63" t="s">
        <v>186</v>
      </c>
      <c r="E80" s="64" t="s">
        <v>187</v>
      </c>
      <c r="F80" s="65">
        <v>26911</v>
      </c>
      <c r="G80" s="66" t="s">
        <v>30</v>
      </c>
      <c r="H80" s="67">
        <v>23298</v>
      </c>
      <c r="I80" s="68">
        <v>4</v>
      </c>
      <c r="J80" s="68">
        <v>4</v>
      </c>
      <c r="K80" s="91">
        <v>4362.8</v>
      </c>
      <c r="L80" s="91">
        <v>2291.0741785499768</v>
      </c>
      <c r="M80" s="91">
        <v>2071.7258214500234</v>
      </c>
      <c r="N80" s="91">
        <v>2181.4</v>
      </c>
      <c r="O80" s="91">
        <v>1919.6320000000001</v>
      </c>
      <c r="P80" s="91">
        <v>261.76800000000003</v>
      </c>
      <c r="Q80" s="85">
        <v>654.41999999999996</v>
      </c>
      <c r="R80" s="69" t="s">
        <v>1107</v>
      </c>
      <c r="S80" s="86">
        <v>628</v>
      </c>
      <c r="T80" s="69">
        <v>157</v>
      </c>
      <c r="U80" s="68">
        <v>0</v>
      </c>
      <c r="V80" s="68">
        <v>0</v>
      </c>
      <c r="W80" s="68">
        <v>44</v>
      </c>
      <c r="X80" s="68">
        <v>87</v>
      </c>
      <c r="Y80" s="68">
        <v>262</v>
      </c>
      <c r="Z80" s="68">
        <v>44</v>
      </c>
      <c r="AA80" s="68">
        <v>0</v>
      </c>
      <c r="AB80" s="69">
        <v>0</v>
      </c>
      <c r="AC80" s="69">
        <v>0</v>
      </c>
      <c r="AD80" s="70">
        <f>IFERROR(tblTarget[[#This Row],[Cluster Target]]/tblTarget[[#This Row],[Cluster PiN]],0)</f>
        <v>0.18726070907374023</v>
      </c>
      <c r="AE80" s="79">
        <f>_xlfn.XLOOKUP(tblTarget[[#This Row],[ID]],tblResponse[ID],tblResponse[2024 Projected reached (Dec 2024)])</f>
        <v>0</v>
      </c>
      <c r="AF80" s="79">
        <f>_xlfn.XLOOKUP(tblTarget[[#This Row],[ID]],tblResponse[ID],tblResponse[2024 Intercluster reached -August RPM])</f>
        <v>41444.525297815897</v>
      </c>
      <c r="AG80" s="79">
        <v>2</v>
      </c>
      <c r="AH80" s="79"/>
      <c r="AI80" s="79"/>
      <c r="AJ80" s="70" t="str">
        <f>IF(tblTarget[[#This Row],[Target to PiN (%)]]&gt;Targ_vs_PiN,"Flagged","")</f>
        <v/>
      </c>
      <c r="AK80" s="69" t="str">
        <f>IF(AND(tblTarget[[#This Row],[Qualifies for exception]]="Flagged",tblTarget[[#This Row],[Target to PiN (%)]]&gt;Targ_severity5),"Flagged","")</f>
        <v/>
      </c>
      <c r="AL80" s="68" t="str">
        <f>IFERROR(IF(AND(tblTarget[[#This Row],[Intercluser Severity]]=4,tblTarget[[#This Row],[Qualifies for exception]]="Flagged",(tblTarget[[#This Row],[Cluster Target]]-tblTarget[[#This Row],[2024 Response capacity up to December]])/tblTarget[[#This Row],[Cluster Target]]&gt;Diff_severity4),"Flagged",""),"No target")</f>
        <v>Flagged</v>
      </c>
      <c r="AM80" s="68" t="str">
        <f>IFERROR(IF(AND(tblTarget[[#This Row],[Intercluser Severity]]=3,tblTarget[[#This Row],[Qualifies for exception]]="Flagged",(tblTarget[[#This Row],[Cluster Target]]-tblTarget[[#This Row],[2024 Response capacity up to December]])/tblTarget[[#This Row],[Cluster Target]]&gt;Diff_severity3),"Flagged",""),"No target")</f>
        <v/>
      </c>
      <c r="AN80" s="81" t="s">
        <v>1099</v>
      </c>
      <c r="AO80" s="81"/>
      <c r="AP80" s="81" t="s">
        <v>1099</v>
      </c>
      <c r="AQ80" s="81" t="s">
        <v>1107</v>
      </c>
    </row>
    <row r="81" spans="1:43" ht="15.95" hidden="1" customHeight="1" x14ac:dyDescent="0.2">
      <c r="A81" s="62" t="s">
        <v>518</v>
      </c>
      <c r="B81" s="63" t="s">
        <v>180</v>
      </c>
      <c r="C81" s="64" t="s">
        <v>181</v>
      </c>
      <c r="D81" s="63" t="s">
        <v>188</v>
      </c>
      <c r="E81" s="64" t="s">
        <v>189</v>
      </c>
      <c r="F81" s="65">
        <v>0</v>
      </c>
      <c r="G81" s="66" t="s">
        <v>30</v>
      </c>
      <c r="H81" s="67">
        <v>0</v>
      </c>
      <c r="I81" s="68">
        <v>3</v>
      </c>
      <c r="J81" s="68">
        <v>4</v>
      </c>
      <c r="K81" s="91">
        <v>0</v>
      </c>
      <c r="L81" s="91">
        <v>0</v>
      </c>
      <c r="M81" s="91">
        <v>0</v>
      </c>
      <c r="N81" s="91">
        <v>0</v>
      </c>
      <c r="O81" s="91">
        <v>0</v>
      </c>
      <c r="P81" s="91">
        <v>0</v>
      </c>
      <c r="Q81" s="85">
        <v>0</v>
      </c>
      <c r="R81" s="69" t="s">
        <v>1107</v>
      </c>
      <c r="S81" s="86">
        <v>0</v>
      </c>
      <c r="T81" s="69">
        <v>0</v>
      </c>
      <c r="U81" s="68">
        <v>0</v>
      </c>
      <c r="V81" s="68">
        <v>0</v>
      </c>
      <c r="W81" s="68">
        <v>0</v>
      </c>
      <c r="X81" s="68">
        <v>0</v>
      </c>
      <c r="Y81" s="68">
        <v>0</v>
      </c>
      <c r="Z81" s="68">
        <v>0</v>
      </c>
      <c r="AA81" s="68">
        <v>0</v>
      </c>
      <c r="AB81" s="69">
        <v>0</v>
      </c>
      <c r="AC81" s="69">
        <v>0</v>
      </c>
      <c r="AD81" s="70">
        <f>IFERROR(tblTarget[[#This Row],[Cluster Target]]/tblTarget[[#This Row],[Cluster PiN]],0)</f>
        <v>0</v>
      </c>
      <c r="AE81" s="79">
        <f>_xlfn.XLOOKUP(tblTarget[[#This Row],[ID]],tblResponse[ID],tblResponse[2024 Projected reached (Dec 2024)])</f>
        <v>0</v>
      </c>
      <c r="AF81" s="79">
        <f>_xlfn.XLOOKUP(tblTarget[[#This Row],[ID]],tblResponse[ID],tblResponse[2024 Intercluster reached -August RPM])</f>
        <v>3498.1958318125412</v>
      </c>
      <c r="AG81" s="79">
        <v>1</v>
      </c>
      <c r="AH81" s="79"/>
      <c r="AI81" s="79"/>
      <c r="AJ81" s="70" t="str">
        <f>IF(tblTarget[[#This Row],[Target to PiN (%)]]&gt;Targ_vs_PiN,"Flagged","")</f>
        <v/>
      </c>
      <c r="AK81" s="69" t="str">
        <f>IF(AND(tblTarget[[#This Row],[Qualifies for exception]]="Flagged",tblTarget[[#This Row],[Target to PiN (%)]]&gt;Targ_severity5),"Flagged","")</f>
        <v/>
      </c>
      <c r="AL81" s="68" t="str">
        <f>IFERROR(IF(AND(tblTarget[[#This Row],[Intercluser Severity]]=4,tblTarget[[#This Row],[Qualifies for exception]]="Flagged",(tblTarget[[#This Row],[Cluster Target]]-tblTarget[[#This Row],[2024 Response capacity up to December]])/tblTarget[[#This Row],[Cluster Target]]&gt;Diff_severity4),"Flagged",""),"No target")</f>
        <v>No target</v>
      </c>
      <c r="AM81" s="68" t="str">
        <f>IFERROR(IF(AND(tblTarget[[#This Row],[Intercluser Severity]]=3,tblTarget[[#This Row],[Qualifies for exception]]="Flagged",(tblTarget[[#This Row],[Cluster Target]]-tblTarget[[#This Row],[2024 Response capacity up to December]])/tblTarget[[#This Row],[Cluster Target]]&gt;Diff_severity3),"Flagged",""),"No target")</f>
        <v>No target</v>
      </c>
      <c r="AN81" s="81" t="s">
        <v>1099</v>
      </c>
      <c r="AO81" s="81"/>
      <c r="AP81" s="81" t="s">
        <v>1099</v>
      </c>
      <c r="AQ81" s="81" t="s">
        <v>1107</v>
      </c>
    </row>
    <row r="82" spans="1:43" ht="15.95" hidden="1" customHeight="1" x14ac:dyDescent="0.2">
      <c r="A82" s="62" t="s">
        <v>519</v>
      </c>
      <c r="B82" s="63" t="s">
        <v>180</v>
      </c>
      <c r="C82" s="64" t="s">
        <v>181</v>
      </c>
      <c r="D82" s="63" t="s">
        <v>190</v>
      </c>
      <c r="E82" s="64" t="s">
        <v>191</v>
      </c>
      <c r="F82" s="65">
        <v>22213</v>
      </c>
      <c r="G82" s="66" t="s">
        <v>30</v>
      </c>
      <c r="H82" s="67">
        <v>11206</v>
      </c>
      <c r="I82" s="68">
        <v>3</v>
      </c>
      <c r="J82" s="68">
        <v>4</v>
      </c>
      <c r="K82" s="91">
        <v>222.60000000000002</v>
      </c>
      <c r="L82" s="91">
        <v>115.91888822474598</v>
      </c>
      <c r="M82" s="91">
        <v>106.68111177525405</v>
      </c>
      <c r="N82" s="91">
        <v>111.30000000000001</v>
      </c>
      <c r="O82" s="91">
        <v>97.944000000000017</v>
      </c>
      <c r="P82" s="91">
        <v>13.356000000000002</v>
      </c>
      <c r="Q82" s="85">
        <v>33.39</v>
      </c>
      <c r="R82" s="69" t="s">
        <v>1107</v>
      </c>
      <c r="S82" s="86">
        <v>32</v>
      </c>
      <c r="T82" s="69">
        <v>8</v>
      </c>
      <c r="U82" s="68">
        <v>0</v>
      </c>
      <c r="V82" s="68">
        <v>0</v>
      </c>
      <c r="W82" s="68">
        <v>2</v>
      </c>
      <c r="X82" s="68">
        <v>4</v>
      </c>
      <c r="Y82" s="68">
        <v>13</v>
      </c>
      <c r="Z82" s="68">
        <v>2</v>
      </c>
      <c r="AA82" s="68">
        <v>0</v>
      </c>
      <c r="AB82" s="69">
        <v>0</v>
      </c>
      <c r="AC82" s="69">
        <v>0</v>
      </c>
      <c r="AD82" s="70">
        <f>IFERROR(tblTarget[[#This Row],[Cluster Target]]/tblTarget[[#This Row],[Cluster PiN]],0)</f>
        <v>1.9864358379439589E-2</v>
      </c>
      <c r="AE82" s="79">
        <f>_xlfn.XLOOKUP(tblTarget[[#This Row],[ID]],tblResponse[ID],tblResponse[2024 Projected reached (Dec 2024)])</f>
        <v>0</v>
      </c>
      <c r="AF82" s="79">
        <f>_xlfn.XLOOKUP(tblTarget[[#This Row],[ID]],tblResponse[ID],tblResponse[2024 Intercluster reached -August RPM])</f>
        <v>37003.915508913058</v>
      </c>
      <c r="AG82" s="79">
        <v>1</v>
      </c>
      <c r="AH82" s="79"/>
      <c r="AI82" s="79"/>
      <c r="AJ82" s="70" t="str">
        <f>IF(tblTarget[[#This Row],[Target to PiN (%)]]&gt;Targ_vs_PiN,"Flagged","")</f>
        <v/>
      </c>
      <c r="AK82" s="69" t="str">
        <f>IF(AND(tblTarget[[#This Row],[Qualifies for exception]]="Flagged",tblTarget[[#This Row],[Target to PiN (%)]]&gt;Targ_severity5),"Flagged","")</f>
        <v/>
      </c>
      <c r="AL82" s="68" t="str">
        <f>IFERROR(IF(AND(tblTarget[[#This Row],[Intercluser Severity]]=4,tblTarget[[#This Row],[Qualifies for exception]]="Flagged",(tblTarget[[#This Row],[Cluster Target]]-tblTarget[[#This Row],[2024 Response capacity up to December]])/tblTarget[[#This Row],[Cluster Target]]&gt;Diff_severity4),"Flagged",""),"No target")</f>
        <v>Flagged</v>
      </c>
      <c r="AM82" s="68" t="str">
        <f>IFERROR(IF(AND(tblTarget[[#This Row],[Intercluser Severity]]=3,tblTarget[[#This Row],[Qualifies for exception]]="Flagged",(tblTarget[[#This Row],[Cluster Target]]-tblTarget[[#This Row],[2024 Response capacity up to December]])/tblTarget[[#This Row],[Cluster Target]]&gt;Diff_severity3),"Flagged",""),"No target")</f>
        <v/>
      </c>
      <c r="AN82" s="81" t="s">
        <v>1099</v>
      </c>
      <c r="AO82" s="81"/>
      <c r="AP82" s="81" t="s">
        <v>1099</v>
      </c>
      <c r="AQ82" s="81" t="s">
        <v>1107</v>
      </c>
    </row>
    <row r="83" spans="1:43" ht="15.95" hidden="1" customHeight="1" x14ac:dyDescent="0.2">
      <c r="A83" s="62" t="s">
        <v>520</v>
      </c>
      <c r="B83" s="63" t="s">
        <v>180</v>
      </c>
      <c r="C83" s="64" t="s">
        <v>181</v>
      </c>
      <c r="D83" s="63" t="s">
        <v>192</v>
      </c>
      <c r="E83" s="64" t="s">
        <v>193</v>
      </c>
      <c r="F83" s="65">
        <v>8964</v>
      </c>
      <c r="G83" s="66" t="s">
        <v>30</v>
      </c>
      <c r="H83" s="67">
        <v>4574</v>
      </c>
      <c r="I83" s="68">
        <v>3</v>
      </c>
      <c r="J83" s="68">
        <v>4</v>
      </c>
      <c r="K83" s="91">
        <v>88.600000000000009</v>
      </c>
      <c r="L83" s="91">
        <v>46.096584237908665</v>
      </c>
      <c r="M83" s="91">
        <v>42.503415762091336</v>
      </c>
      <c r="N83" s="91">
        <v>44.300000000000004</v>
      </c>
      <c r="O83" s="91">
        <v>38.984000000000002</v>
      </c>
      <c r="P83" s="91">
        <v>5.3160000000000007</v>
      </c>
      <c r="Q83" s="85">
        <v>13.290000000000001</v>
      </c>
      <c r="R83" s="69" t="s">
        <v>1107</v>
      </c>
      <c r="S83" s="86">
        <v>13</v>
      </c>
      <c r="T83" s="69">
        <v>3</v>
      </c>
      <c r="U83" s="68">
        <v>0</v>
      </c>
      <c r="V83" s="68">
        <v>0</v>
      </c>
      <c r="W83" s="68">
        <v>1</v>
      </c>
      <c r="X83" s="68">
        <v>2</v>
      </c>
      <c r="Y83" s="68">
        <v>5</v>
      </c>
      <c r="Z83" s="68">
        <v>1</v>
      </c>
      <c r="AA83" s="68">
        <v>0</v>
      </c>
      <c r="AB83" s="69">
        <v>0</v>
      </c>
      <c r="AC83" s="69">
        <v>0</v>
      </c>
      <c r="AD83" s="70">
        <f>IFERROR(tblTarget[[#This Row],[Cluster Target]]/tblTarget[[#This Row],[Cluster PiN]],0)</f>
        <v>1.9370354175776129E-2</v>
      </c>
      <c r="AE83" s="79">
        <f>_xlfn.XLOOKUP(tblTarget[[#This Row],[ID]],tblResponse[ID],tblResponse[2024 Projected reached (Dec 2024)])</f>
        <v>0</v>
      </c>
      <c r="AF83" s="79">
        <f>_xlfn.XLOOKUP(tblTarget[[#This Row],[ID]],tblResponse[ID],tblResponse[2024 Intercluster reached -August RPM])</f>
        <v>0</v>
      </c>
      <c r="AG83" s="79">
        <v>1</v>
      </c>
      <c r="AH83" s="79"/>
      <c r="AI83" s="79"/>
      <c r="AJ83" s="70" t="str">
        <f>IF(tblTarget[[#This Row],[Target to PiN (%)]]&gt;Targ_vs_PiN,"Flagged","")</f>
        <v/>
      </c>
      <c r="AK83" s="69" t="str">
        <f>IF(AND(tblTarget[[#This Row],[Qualifies for exception]]="Flagged",tblTarget[[#This Row],[Target to PiN (%)]]&gt;Targ_severity5),"Flagged","")</f>
        <v/>
      </c>
      <c r="AL83" s="68" t="str">
        <f>IFERROR(IF(AND(tblTarget[[#This Row],[Intercluser Severity]]=4,tblTarget[[#This Row],[Qualifies for exception]]="Flagged",(tblTarget[[#This Row],[Cluster Target]]-tblTarget[[#This Row],[2024 Response capacity up to December]])/tblTarget[[#This Row],[Cluster Target]]&gt;Diff_severity4),"Flagged",""),"No target")</f>
        <v>Flagged</v>
      </c>
      <c r="AM83" s="68" t="str">
        <f>IFERROR(IF(AND(tblTarget[[#This Row],[Intercluser Severity]]=3,tblTarget[[#This Row],[Qualifies for exception]]="Flagged",(tblTarget[[#This Row],[Cluster Target]]-tblTarget[[#This Row],[2024 Response capacity up to December]])/tblTarget[[#This Row],[Cluster Target]]&gt;Diff_severity3),"Flagged",""),"No target")</f>
        <v/>
      </c>
      <c r="AN83" s="81" t="s">
        <v>1099</v>
      </c>
      <c r="AO83" s="81"/>
      <c r="AP83" s="81" t="s">
        <v>1099</v>
      </c>
      <c r="AQ83" s="81" t="s">
        <v>1107</v>
      </c>
    </row>
    <row r="84" spans="1:43" ht="15.95" customHeight="1" x14ac:dyDescent="0.2">
      <c r="A84" s="62" t="s">
        <v>521</v>
      </c>
      <c r="B84" s="63" t="s">
        <v>180</v>
      </c>
      <c r="C84" s="64" t="s">
        <v>181</v>
      </c>
      <c r="D84" s="63" t="s">
        <v>194</v>
      </c>
      <c r="E84" s="64" t="s">
        <v>195</v>
      </c>
      <c r="F84" s="65">
        <v>44909</v>
      </c>
      <c r="G84" s="66" t="s">
        <v>30</v>
      </c>
      <c r="H84" s="67">
        <v>16056</v>
      </c>
      <c r="I84" s="68">
        <v>3</v>
      </c>
      <c r="J84" s="68">
        <v>4</v>
      </c>
      <c r="K84" s="91">
        <v>1267</v>
      </c>
      <c r="L84" s="91">
        <v>657.57044927499305</v>
      </c>
      <c r="M84" s="91">
        <v>609.42955072500695</v>
      </c>
      <c r="N84" s="91">
        <v>633.5</v>
      </c>
      <c r="O84" s="91">
        <v>557.48</v>
      </c>
      <c r="P84" s="91">
        <v>76.02</v>
      </c>
      <c r="Q84" s="85">
        <v>190.04999999999998</v>
      </c>
      <c r="R84" s="69" t="s">
        <v>15</v>
      </c>
      <c r="S84" s="86">
        <v>182</v>
      </c>
      <c r="T84" s="69">
        <v>46</v>
      </c>
      <c r="U84" s="68">
        <v>0</v>
      </c>
      <c r="V84" s="68">
        <v>0</v>
      </c>
      <c r="W84" s="68">
        <v>13</v>
      </c>
      <c r="X84" s="68">
        <v>25</v>
      </c>
      <c r="Y84" s="68">
        <v>76</v>
      </c>
      <c r="Z84" s="68">
        <v>13</v>
      </c>
      <c r="AA84" s="68">
        <v>0</v>
      </c>
      <c r="AB84" s="69">
        <v>0</v>
      </c>
      <c r="AC84" s="69">
        <v>0</v>
      </c>
      <c r="AD84" s="70">
        <f>IFERROR(tblTarget[[#This Row],[Cluster Target]]/tblTarget[[#This Row],[Cluster PiN]],0)</f>
        <v>7.8911310413552566E-2</v>
      </c>
      <c r="AE84" s="79">
        <f>_xlfn.XLOOKUP(tblTarget[[#This Row],[ID]],tblResponse[ID],tblResponse[2024 Projected reached (Dec 2024)])</f>
        <v>0</v>
      </c>
      <c r="AF84" s="79">
        <f>_xlfn.XLOOKUP(tblTarget[[#This Row],[ID]],tblResponse[ID],tblResponse[2024 Intercluster reached -August RPM])</f>
        <v>15175.873157569165</v>
      </c>
      <c r="AG84" s="79">
        <v>2</v>
      </c>
      <c r="AH84" s="79"/>
      <c r="AI84" s="79"/>
      <c r="AJ84" s="70" t="str">
        <f>IF(tblTarget[[#This Row],[Target to PiN (%)]]&gt;Targ_vs_PiN,"Flagged","")</f>
        <v/>
      </c>
      <c r="AK84" s="69" t="str">
        <f>IF(AND(tblTarget[[#This Row],[Qualifies for exception]]="Flagged",tblTarget[[#This Row],[Target to PiN (%)]]&gt;Targ_severity5),"Flagged","")</f>
        <v/>
      </c>
      <c r="AL84" s="68" t="str">
        <f>IFERROR(IF(AND(tblTarget[[#This Row],[Intercluser Severity]]=4,tblTarget[[#This Row],[Qualifies for exception]]="Flagged",(tblTarget[[#This Row],[Cluster Target]]-tblTarget[[#This Row],[2024 Response capacity up to December]])/tblTarget[[#This Row],[Cluster Target]]&gt;Diff_severity4),"Flagged",""),"No target")</f>
        <v/>
      </c>
      <c r="AM84" s="68" t="str">
        <f>IFERROR(IF(AND(tblTarget[[#This Row],[Intercluser Severity]]=3,tblTarget[[#This Row],[Qualifies for exception]]="Flagged",(tblTarget[[#This Row],[Cluster Target]]-tblTarget[[#This Row],[2024 Response capacity up to December]])/tblTarget[[#This Row],[Cluster Target]]&gt;Diff_severity3),"Flagged",""),"No target")</f>
        <v/>
      </c>
      <c r="AN84" s="81" t="s">
        <v>15</v>
      </c>
      <c r="AO84" s="81"/>
      <c r="AP84" s="81" t="s">
        <v>1099</v>
      </c>
      <c r="AQ84" s="81" t="s">
        <v>1098</v>
      </c>
    </row>
    <row r="85" spans="1:43" ht="15.95" hidden="1" customHeight="1" x14ac:dyDescent="0.2">
      <c r="A85" s="62" t="s">
        <v>522</v>
      </c>
      <c r="B85" s="63" t="s">
        <v>180</v>
      </c>
      <c r="C85" s="64" t="s">
        <v>181</v>
      </c>
      <c r="D85" s="63" t="s">
        <v>196</v>
      </c>
      <c r="E85" s="64" t="s">
        <v>197</v>
      </c>
      <c r="F85" s="65">
        <v>0</v>
      </c>
      <c r="G85" s="66" t="s">
        <v>30</v>
      </c>
      <c r="H85" s="67">
        <v>0</v>
      </c>
      <c r="I85" s="68">
        <v>3</v>
      </c>
      <c r="J85" s="68">
        <v>4</v>
      </c>
      <c r="K85" s="91">
        <v>0</v>
      </c>
      <c r="L85" s="91">
        <v>0</v>
      </c>
      <c r="M85" s="91">
        <v>0</v>
      </c>
      <c r="N85" s="91">
        <v>0</v>
      </c>
      <c r="O85" s="91">
        <v>0</v>
      </c>
      <c r="P85" s="91">
        <v>0</v>
      </c>
      <c r="Q85" s="85">
        <v>0</v>
      </c>
      <c r="R85" s="69" t="s">
        <v>1107</v>
      </c>
      <c r="S85" s="86">
        <v>0</v>
      </c>
      <c r="T85" s="69">
        <v>0</v>
      </c>
      <c r="U85" s="68">
        <v>0</v>
      </c>
      <c r="V85" s="68">
        <v>0</v>
      </c>
      <c r="W85" s="68">
        <v>0</v>
      </c>
      <c r="X85" s="68">
        <v>0</v>
      </c>
      <c r="Y85" s="68">
        <v>0</v>
      </c>
      <c r="Z85" s="68">
        <v>0</v>
      </c>
      <c r="AA85" s="68">
        <v>0</v>
      </c>
      <c r="AB85" s="69">
        <v>0</v>
      </c>
      <c r="AC85" s="69">
        <v>0</v>
      </c>
      <c r="AD85" s="70">
        <f>IFERROR(tblTarget[[#This Row],[Cluster Target]]/tblTarget[[#This Row],[Cluster PiN]],0)</f>
        <v>0</v>
      </c>
      <c r="AE85" s="79">
        <f>_xlfn.XLOOKUP(tblTarget[[#This Row],[ID]],tblResponse[ID],tblResponse[2024 Projected reached (Dec 2024)])</f>
        <v>0</v>
      </c>
      <c r="AF85" s="79">
        <f>_xlfn.XLOOKUP(tblTarget[[#This Row],[ID]],tblResponse[ID],tblResponse[2024 Intercluster reached -August RPM])</f>
        <v>71057.452653275424</v>
      </c>
      <c r="AG85" s="79">
        <v>1</v>
      </c>
      <c r="AH85" s="79"/>
      <c r="AI85" s="79"/>
      <c r="AJ85" s="70" t="str">
        <f>IF(tblTarget[[#This Row],[Target to PiN (%)]]&gt;Targ_vs_PiN,"Flagged","")</f>
        <v/>
      </c>
      <c r="AK85" s="69" t="str">
        <f>IF(AND(tblTarget[[#This Row],[Qualifies for exception]]="Flagged",tblTarget[[#This Row],[Target to PiN (%)]]&gt;Targ_severity5),"Flagged","")</f>
        <v/>
      </c>
      <c r="AL85" s="68" t="str">
        <f>IFERROR(IF(AND(tblTarget[[#This Row],[Intercluser Severity]]=4,tblTarget[[#This Row],[Qualifies for exception]]="Flagged",(tblTarget[[#This Row],[Cluster Target]]-tblTarget[[#This Row],[2024 Response capacity up to December]])/tblTarget[[#This Row],[Cluster Target]]&gt;Diff_severity4),"Flagged",""),"No target")</f>
        <v>No target</v>
      </c>
      <c r="AM85" s="68" t="str">
        <f>IFERROR(IF(AND(tblTarget[[#This Row],[Intercluser Severity]]=3,tblTarget[[#This Row],[Qualifies for exception]]="Flagged",(tblTarget[[#This Row],[Cluster Target]]-tblTarget[[#This Row],[2024 Response capacity up to December]])/tblTarget[[#This Row],[Cluster Target]]&gt;Diff_severity3),"Flagged",""),"No target")</f>
        <v>No target</v>
      </c>
      <c r="AN85" s="81" t="s">
        <v>1099</v>
      </c>
      <c r="AO85" s="81"/>
      <c r="AP85" s="81" t="s">
        <v>1099</v>
      </c>
      <c r="AQ85" s="81" t="s">
        <v>1107</v>
      </c>
    </row>
    <row r="86" spans="1:43" ht="15.95" hidden="1" customHeight="1" x14ac:dyDescent="0.2">
      <c r="A86" s="62" t="s">
        <v>523</v>
      </c>
      <c r="B86" s="63" t="s">
        <v>180</v>
      </c>
      <c r="C86" s="64" t="s">
        <v>181</v>
      </c>
      <c r="D86" s="63" t="s">
        <v>198</v>
      </c>
      <c r="E86" s="64" t="s">
        <v>199</v>
      </c>
      <c r="F86" s="65">
        <v>477</v>
      </c>
      <c r="G86" s="66" t="s">
        <v>30</v>
      </c>
      <c r="H86" s="67">
        <v>369</v>
      </c>
      <c r="I86" s="68">
        <v>3</v>
      </c>
      <c r="J86" s="68">
        <v>4</v>
      </c>
      <c r="K86" s="91">
        <v>14.4</v>
      </c>
      <c r="L86" s="91">
        <v>7.4309059154073962</v>
      </c>
      <c r="M86" s="91">
        <v>6.9690940845926042</v>
      </c>
      <c r="N86" s="91">
        <v>7.2</v>
      </c>
      <c r="O86" s="91">
        <v>6.3360000000000003</v>
      </c>
      <c r="P86" s="91">
        <v>0.86399999999999999</v>
      </c>
      <c r="Q86" s="85">
        <v>2.16</v>
      </c>
      <c r="R86" s="69" t="s">
        <v>1107</v>
      </c>
      <c r="S86" s="86">
        <v>2</v>
      </c>
      <c r="T86" s="69">
        <v>1</v>
      </c>
      <c r="U86" s="68">
        <v>0</v>
      </c>
      <c r="V86" s="68">
        <v>0</v>
      </c>
      <c r="W86" s="68">
        <v>0</v>
      </c>
      <c r="X86" s="68">
        <v>0</v>
      </c>
      <c r="Y86" s="68">
        <v>1</v>
      </c>
      <c r="Z86" s="68">
        <v>0</v>
      </c>
      <c r="AA86" s="68">
        <v>0</v>
      </c>
      <c r="AB86" s="69">
        <v>0</v>
      </c>
      <c r="AC86" s="69">
        <v>0</v>
      </c>
      <c r="AD86" s="70">
        <f>IFERROR(tblTarget[[#This Row],[Cluster Target]]/tblTarget[[#This Row],[Cluster PiN]],0)</f>
        <v>3.9024390243902439E-2</v>
      </c>
      <c r="AE86" s="79">
        <f>_xlfn.XLOOKUP(tblTarget[[#This Row],[ID]],tblResponse[ID],tblResponse[2024 Projected reached (Dec 2024)])</f>
        <v>0</v>
      </c>
      <c r="AF86" s="79">
        <f>_xlfn.XLOOKUP(tblTarget[[#This Row],[ID]],tblResponse[ID],tblResponse[2024 Intercluster reached -August RPM])</f>
        <v>14817.657904391561</v>
      </c>
      <c r="AG86" s="79">
        <v>1</v>
      </c>
      <c r="AH86" s="79"/>
      <c r="AI86" s="79"/>
      <c r="AJ86" s="70" t="str">
        <f>IF(tblTarget[[#This Row],[Target to PiN (%)]]&gt;Targ_vs_PiN,"Flagged","")</f>
        <v/>
      </c>
      <c r="AK86" s="69" t="str">
        <f>IF(AND(tblTarget[[#This Row],[Qualifies for exception]]="Flagged",tblTarget[[#This Row],[Target to PiN (%)]]&gt;Targ_severity5),"Flagged","")</f>
        <v/>
      </c>
      <c r="AL86" s="68" t="str">
        <f>IFERROR(IF(AND(tblTarget[[#This Row],[Intercluser Severity]]=4,tblTarget[[#This Row],[Qualifies for exception]]="Flagged",(tblTarget[[#This Row],[Cluster Target]]-tblTarget[[#This Row],[2024 Response capacity up to December]])/tblTarget[[#This Row],[Cluster Target]]&gt;Diff_severity4),"Flagged",""),"No target")</f>
        <v>Flagged</v>
      </c>
      <c r="AM86" s="68" t="str">
        <f>IFERROR(IF(AND(tblTarget[[#This Row],[Intercluser Severity]]=3,tblTarget[[#This Row],[Qualifies for exception]]="Flagged",(tblTarget[[#This Row],[Cluster Target]]-tblTarget[[#This Row],[2024 Response capacity up to December]])/tblTarget[[#This Row],[Cluster Target]]&gt;Diff_severity3),"Flagged",""),"No target")</f>
        <v/>
      </c>
      <c r="AN86" s="81" t="s">
        <v>1099</v>
      </c>
      <c r="AO86" s="81"/>
      <c r="AP86" s="81" t="s">
        <v>1099</v>
      </c>
      <c r="AQ86" s="81" t="s">
        <v>1107</v>
      </c>
    </row>
    <row r="87" spans="1:43" ht="15.95" customHeight="1" x14ac:dyDescent="0.2">
      <c r="A87" s="62" t="s">
        <v>524</v>
      </c>
      <c r="B87" s="63" t="s">
        <v>180</v>
      </c>
      <c r="C87" s="64" t="s">
        <v>181</v>
      </c>
      <c r="D87" s="63" t="s">
        <v>200</v>
      </c>
      <c r="E87" s="64" t="s">
        <v>201</v>
      </c>
      <c r="F87" s="65">
        <v>0</v>
      </c>
      <c r="G87" s="66" t="s">
        <v>30</v>
      </c>
      <c r="H87" s="67">
        <v>0</v>
      </c>
      <c r="I87" s="68">
        <v>3</v>
      </c>
      <c r="J87" s="68">
        <v>4</v>
      </c>
      <c r="K87" s="91">
        <v>0</v>
      </c>
      <c r="L87" s="91">
        <v>0</v>
      </c>
      <c r="M87" s="91">
        <v>0</v>
      </c>
      <c r="N87" s="91">
        <v>0</v>
      </c>
      <c r="O87" s="91">
        <v>0</v>
      </c>
      <c r="P87" s="91">
        <v>0</v>
      </c>
      <c r="Q87" s="85">
        <v>0</v>
      </c>
      <c r="R87" s="69" t="s">
        <v>15</v>
      </c>
      <c r="S87" s="86">
        <v>0</v>
      </c>
      <c r="T87" s="69">
        <v>0</v>
      </c>
      <c r="U87" s="68">
        <v>0</v>
      </c>
      <c r="V87" s="68">
        <v>0</v>
      </c>
      <c r="W87" s="68">
        <v>0</v>
      </c>
      <c r="X87" s="68">
        <v>0</v>
      </c>
      <c r="Y87" s="68">
        <v>0</v>
      </c>
      <c r="Z87" s="68">
        <v>0</v>
      </c>
      <c r="AA87" s="68">
        <v>0</v>
      </c>
      <c r="AB87" s="69">
        <v>0</v>
      </c>
      <c r="AC87" s="69">
        <v>0</v>
      </c>
      <c r="AD87" s="70">
        <f>IFERROR(tblTarget[[#This Row],[Cluster Target]]/tblTarget[[#This Row],[Cluster PiN]],0)</f>
        <v>0</v>
      </c>
      <c r="AE87" s="79">
        <f>_xlfn.XLOOKUP(tblTarget[[#This Row],[ID]],tblResponse[ID],tblResponse[2024 Projected reached (Dec 2024)])</f>
        <v>0</v>
      </c>
      <c r="AF87" s="79">
        <f>_xlfn.XLOOKUP(tblTarget[[#This Row],[ID]],tblResponse[ID],tblResponse[2024 Intercluster reached -August RPM])</f>
        <v>20923.408909237172</v>
      </c>
      <c r="AG87" s="79">
        <v>3</v>
      </c>
      <c r="AH87" s="79"/>
      <c r="AI87" s="79"/>
      <c r="AJ87" s="70" t="str">
        <f>IF(tblTarget[[#This Row],[Target to PiN (%)]]&gt;Targ_vs_PiN,"Flagged","")</f>
        <v/>
      </c>
      <c r="AK87" s="69" t="str">
        <f>IF(AND(tblTarget[[#This Row],[Qualifies for exception]]="Flagged",tblTarget[[#This Row],[Target to PiN (%)]]&gt;Targ_severity5),"Flagged","")</f>
        <v/>
      </c>
      <c r="AL87" s="68" t="str">
        <f>IFERROR(IF(AND(tblTarget[[#This Row],[Intercluser Severity]]=4,tblTarget[[#This Row],[Qualifies for exception]]="Flagged",(tblTarget[[#This Row],[Cluster Target]]-tblTarget[[#This Row],[2024 Response capacity up to December]])/tblTarget[[#This Row],[Cluster Target]]&gt;Diff_severity4),"Flagged",""),"No target")</f>
        <v>No target</v>
      </c>
      <c r="AM87" s="68" t="str">
        <f>IFERROR(IF(AND(tblTarget[[#This Row],[Intercluser Severity]]=3,tblTarget[[#This Row],[Qualifies for exception]]="Flagged",(tblTarget[[#This Row],[Cluster Target]]-tblTarget[[#This Row],[2024 Response capacity up to December]])/tblTarget[[#This Row],[Cluster Target]]&gt;Diff_severity3),"Flagged",""),"No target")</f>
        <v>No target</v>
      </c>
      <c r="AN87" s="81" t="s">
        <v>15</v>
      </c>
      <c r="AO87" s="81"/>
      <c r="AP87" s="81" t="s">
        <v>1099</v>
      </c>
      <c r="AQ87" s="81" t="s">
        <v>1098</v>
      </c>
    </row>
    <row r="88" spans="1:43" ht="15.95" hidden="1" customHeight="1" x14ac:dyDescent="0.2">
      <c r="A88" s="62" t="s">
        <v>525</v>
      </c>
      <c r="B88" s="63" t="s">
        <v>180</v>
      </c>
      <c r="C88" s="64" t="s">
        <v>181</v>
      </c>
      <c r="D88" s="63" t="s">
        <v>202</v>
      </c>
      <c r="E88" s="64" t="s">
        <v>203</v>
      </c>
      <c r="F88" s="65">
        <v>0</v>
      </c>
      <c r="G88" s="66" t="s">
        <v>30</v>
      </c>
      <c r="H88" s="67">
        <v>0</v>
      </c>
      <c r="I88" s="68">
        <v>4</v>
      </c>
      <c r="J88" s="68">
        <v>4</v>
      </c>
      <c r="K88" s="91">
        <v>0</v>
      </c>
      <c r="L88" s="91">
        <v>0</v>
      </c>
      <c r="M88" s="91">
        <v>0</v>
      </c>
      <c r="N88" s="91">
        <v>0</v>
      </c>
      <c r="O88" s="91">
        <v>0</v>
      </c>
      <c r="P88" s="91">
        <v>0</v>
      </c>
      <c r="Q88" s="85">
        <v>0</v>
      </c>
      <c r="R88" s="69" t="s">
        <v>1107</v>
      </c>
      <c r="S88" s="86">
        <v>0</v>
      </c>
      <c r="T88" s="69">
        <v>0</v>
      </c>
      <c r="U88" s="68">
        <v>0</v>
      </c>
      <c r="V88" s="68">
        <v>0</v>
      </c>
      <c r="W88" s="68">
        <v>0</v>
      </c>
      <c r="X88" s="68">
        <v>0</v>
      </c>
      <c r="Y88" s="68">
        <v>0</v>
      </c>
      <c r="Z88" s="68">
        <v>0</v>
      </c>
      <c r="AA88" s="68">
        <v>0</v>
      </c>
      <c r="AB88" s="69">
        <v>0</v>
      </c>
      <c r="AC88" s="69">
        <v>0</v>
      </c>
      <c r="AD88" s="70">
        <f>IFERROR(tblTarget[[#This Row],[Cluster Target]]/tblTarget[[#This Row],[Cluster PiN]],0)</f>
        <v>0</v>
      </c>
      <c r="AE88" s="79">
        <f>_xlfn.XLOOKUP(tblTarget[[#This Row],[ID]],tblResponse[ID],tblResponse[2024 Projected reached (Dec 2024)])</f>
        <v>0</v>
      </c>
      <c r="AF88" s="79">
        <f>_xlfn.XLOOKUP(tblTarget[[#This Row],[ID]],tblResponse[ID],tblResponse[2024 Intercluster reached -August RPM])</f>
        <v>24273.281237780859</v>
      </c>
      <c r="AG88" s="79">
        <v>1</v>
      </c>
      <c r="AH88" s="79"/>
      <c r="AI88" s="79"/>
      <c r="AJ88" s="70" t="str">
        <f>IF(tblTarget[[#This Row],[Target to PiN (%)]]&gt;Targ_vs_PiN,"Flagged","")</f>
        <v/>
      </c>
      <c r="AK88" s="69" t="str">
        <f>IF(AND(tblTarget[[#This Row],[Qualifies for exception]]="Flagged",tblTarget[[#This Row],[Target to PiN (%)]]&gt;Targ_severity5),"Flagged","")</f>
        <v/>
      </c>
      <c r="AL88" s="68" t="str">
        <f>IFERROR(IF(AND(tblTarget[[#This Row],[Intercluser Severity]]=4,tblTarget[[#This Row],[Qualifies for exception]]="Flagged",(tblTarget[[#This Row],[Cluster Target]]-tblTarget[[#This Row],[2024 Response capacity up to December]])/tblTarget[[#This Row],[Cluster Target]]&gt;Diff_severity4),"Flagged",""),"No target")</f>
        <v>No target</v>
      </c>
      <c r="AM88" s="68" t="str">
        <f>IFERROR(IF(AND(tblTarget[[#This Row],[Intercluser Severity]]=3,tblTarget[[#This Row],[Qualifies for exception]]="Flagged",(tblTarget[[#This Row],[Cluster Target]]-tblTarget[[#This Row],[2024 Response capacity up to December]])/tblTarget[[#This Row],[Cluster Target]]&gt;Diff_severity3),"Flagged",""),"No target")</f>
        <v>No target</v>
      </c>
      <c r="AN88" s="81" t="s">
        <v>1099</v>
      </c>
      <c r="AO88" s="81"/>
      <c r="AP88" s="81" t="s">
        <v>1099</v>
      </c>
      <c r="AQ88" s="81" t="s">
        <v>1107</v>
      </c>
    </row>
    <row r="89" spans="1:43" ht="15.95" customHeight="1" x14ac:dyDescent="0.2">
      <c r="A89" s="62" t="s">
        <v>526</v>
      </c>
      <c r="B89" s="63" t="s">
        <v>180</v>
      </c>
      <c r="C89" s="64" t="s">
        <v>181</v>
      </c>
      <c r="D89" s="63" t="s">
        <v>204</v>
      </c>
      <c r="E89" s="64" t="s">
        <v>205</v>
      </c>
      <c r="F89" s="65">
        <v>483</v>
      </c>
      <c r="G89" s="66" t="s">
        <v>30</v>
      </c>
      <c r="H89" s="66">
        <v>411</v>
      </c>
      <c r="I89" s="68">
        <v>4</v>
      </c>
      <c r="J89" s="68">
        <v>4</v>
      </c>
      <c r="K89" s="91">
        <v>131.20000000000002</v>
      </c>
      <c r="L89" s="91">
        <v>67.850293646556324</v>
      </c>
      <c r="M89" s="91">
        <v>63.349706353443679</v>
      </c>
      <c r="N89" s="91">
        <v>65.600000000000009</v>
      </c>
      <c r="O89" s="91">
        <v>57.728000000000009</v>
      </c>
      <c r="P89" s="91">
        <v>7.8720000000000008</v>
      </c>
      <c r="Q89" s="85">
        <v>19.680000000000003</v>
      </c>
      <c r="R89" s="69" t="s">
        <v>15</v>
      </c>
      <c r="S89" s="86">
        <v>19</v>
      </c>
      <c r="T89" s="69">
        <v>5</v>
      </c>
      <c r="U89" s="68">
        <v>0</v>
      </c>
      <c r="V89" s="68">
        <v>0</v>
      </c>
      <c r="W89" s="68">
        <v>1</v>
      </c>
      <c r="X89" s="68">
        <v>3</v>
      </c>
      <c r="Y89" s="68">
        <v>8</v>
      </c>
      <c r="Z89" s="68">
        <v>1</v>
      </c>
      <c r="AA89" s="68">
        <v>0</v>
      </c>
      <c r="AB89" s="69">
        <v>0</v>
      </c>
      <c r="AC89" s="69">
        <v>0</v>
      </c>
      <c r="AD89" s="70">
        <f>IFERROR(tblTarget[[#This Row],[Cluster Target]]/tblTarget[[#This Row],[Cluster PiN]],0)</f>
        <v>0.31922141119221414</v>
      </c>
      <c r="AE89" s="79">
        <f>_xlfn.XLOOKUP(tblTarget[[#This Row],[ID]],tblResponse[ID],tblResponse[2024 Projected reached (Dec 2024)])</f>
        <v>0</v>
      </c>
      <c r="AF89" s="79">
        <f>_xlfn.XLOOKUP(tblTarget[[#This Row],[ID]],tblResponse[ID],tblResponse[2024 Intercluster reached -August RPM])</f>
        <v>3169.3654236221623</v>
      </c>
      <c r="AG89" s="79">
        <v>2</v>
      </c>
      <c r="AH89" s="79"/>
      <c r="AI89" s="79"/>
      <c r="AJ89" s="70" t="str">
        <f>IF(tblTarget[[#This Row],[Target to PiN (%)]]&gt;Targ_vs_PiN,"Flagged","")</f>
        <v/>
      </c>
      <c r="AK89" s="69" t="str">
        <f>IF(AND(tblTarget[[#This Row],[Qualifies for exception]]="Flagged",tblTarget[[#This Row],[Target to PiN (%)]]&gt;Targ_severity5),"Flagged","")</f>
        <v/>
      </c>
      <c r="AL89" s="68" t="str">
        <f>IFERROR(IF(AND(tblTarget[[#This Row],[Intercluser Severity]]=4,tblTarget[[#This Row],[Qualifies for exception]]="Flagged",(tblTarget[[#This Row],[Cluster Target]]-tblTarget[[#This Row],[2024 Response capacity up to December]])/tblTarget[[#This Row],[Cluster Target]]&gt;Diff_severity4),"Flagged",""),"No target")</f>
        <v/>
      </c>
      <c r="AM89" s="68" t="str">
        <f>IFERROR(IF(AND(tblTarget[[#This Row],[Intercluser Severity]]=3,tblTarget[[#This Row],[Qualifies for exception]]="Flagged",(tblTarget[[#This Row],[Cluster Target]]-tblTarget[[#This Row],[2024 Response capacity up to December]])/tblTarget[[#This Row],[Cluster Target]]&gt;Diff_severity3),"Flagged",""),"No target")</f>
        <v/>
      </c>
      <c r="AN89" s="81" t="s">
        <v>1099</v>
      </c>
      <c r="AO89" s="81"/>
      <c r="AP89" s="81" t="s">
        <v>15</v>
      </c>
      <c r="AQ89" s="81" t="s">
        <v>1098</v>
      </c>
    </row>
    <row r="90" spans="1:43" ht="15.95" hidden="1" customHeight="1" x14ac:dyDescent="0.2">
      <c r="A90" s="62" t="s">
        <v>527</v>
      </c>
      <c r="B90" s="63" t="s">
        <v>180</v>
      </c>
      <c r="C90" s="64" t="s">
        <v>181</v>
      </c>
      <c r="D90" s="63" t="s">
        <v>206</v>
      </c>
      <c r="E90" s="64" t="s">
        <v>207</v>
      </c>
      <c r="F90" s="65">
        <v>22620</v>
      </c>
      <c r="G90" s="66" t="s">
        <v>30</v>
      </c>
      <c r="H90" s="67">
        <v>13778</v>
      </c>
      <c r="I90" s="68">
        <v>3</v>
      </c>
      <c r="J90" s="68">
        <v>4</v>
      </c>
      <c r="K90" s="91">
        <v>325.40000000000003</v>
      </c>
      <c r="L90" s="91">
        <v>169.57111692313933</v>
      </c>
      <c r="M90" s="91">
        <v>155.82888307686071</v>
      </c>
      <c r="N90" s="91">
        <v>162.70000000000002</v>
      </c>
      <c r="O90" s="91">
        <v>143.17600000000002</v>
      </c>
      <c r="P90" s="91">
        <v>19.524000000000001</v>
      </c>
      <c r="Q90" s="85">
        <v>48.81</v>
      </c>
      <c r="R90" s="69" t="s">
        <v>1107</v>
      </c>
      <c r="S90" s="86">
        <v>47</v>
      </c>
      <c r="T90" s="69">
        <v>12</v>
      </c>
      <c r="U90" s="68">
        <v>0</v>
      </c>
      <c r="V90" s="68">
        <v>0</v>
      </c>
      <c r="W90" s="68">
        <v>3</v>
      </c>
      <c r="X90" s="68">
        <v>7</v>
      </c>
      <c r="Y90" s="68">
        <v>20</v>
      </c>
      <c r="Z90" s="68">
        <v>3</v>
      </c>
      <c r="AA90" s="68">
        <v>0</v>
      </c>
      <c r="AB90" s="69">
        <v>0</v>
      </c>
      <c r="AC90" s="69">
        <v>0</v>
      </c>
      <c r="AD90" s="70">
        <f>IFERROR(tblTarget[[#This Row],[Cluster Target]]/tblTarget[[#This Row],[Cluster PiN]],0)</f>
        <v>2.3617361010306287E-2</v>
      </c>
      <c r="AE90" s="79">
        <f>_xlfn.XLOOKUP(tblTarget[[#This Row],[ID]],tblResponse[ID],tblResponse[2024 Projected reached (Dec 2024)])</f>
        <v>0</v>
      </c>
      <c r="AF90" s="79">
        <f>_xlfn.XLOOKUP(tblTarget[[#This Row],[ID]],tblResponse[ID],tblResponse[2024 Intercluster reached -August RPM])</f>
        <v>8525.8028812935245</v>
      </c>
      <c r="AG90" s="79">
        <v>1</v>
      </c>
      <c r="AH90" s="79"/>
      <c r="AI90" s="79"/>
      <c r="AJ90" s="70" t="str">
        <f>IF(tblTarget[[#This Row],[Target to PiN (%)]]&gt;Targ_vs_PiN,"Flagged","")</f>
        <v/>
      </c>
      <c r="AK90" s="69" t="str">
        <f>IF(AND(tblTarget[[#This Row],[Qualifies for exception]]="Flagged",tblTarget[[#This Row],[Target to PiN (%)]]&gt;Targ_severity5),"Flagged","")</f>
        <v/>
      </c>
      <c r="AL90" s="68" t="str">
        <f>IFERROR(IF(AND(tblTarget[[#This Row],[Intercluser Severity]]=4,tblTarget[[#This Row],[Qualifies for exception]]="Flagged",(tblTarget[[#This Row],[Cluster Target]]-tblTarget[[#This Row],[2024 Response capacity up to December]])/tblTarget[[#This Row],[Cluster Target]]&gt;Diff_severity4),"Flagged",""),"No target")</f>
        <v>Flagged</v>
      </c>
      <c r="AM90" s="68" t="str">
        <f>IFERROR(IF(AND(tblTarget[[#This Row],[Intercluser Severity]]=3,tblTarget[[#This Row],[Qualifies for exception]]="Flagged",(tblTarget[[#This Row],[Cluster Target]]-tblTarget[[#This Row],[2024 Response capacity up to December]])/tblTarget[[#This Row],[Cluster Target]]&gt;Diff_severity3),"Flagged",""),"No target")</f>
        <v/>
      </c>
      <c r="AN90" s="81" t="s">
        <v>1099</v>
      </c>
      <c r="AO90" s="81"/>
      <c r="AP90" s="81" t="s">
        <v>1099</v>
      </c>
      <c r="AQ90" s="81" t="s">
        <v>1107</v>
      </c>
    </row>
    <row r="91" spans="1:43" ht="15.95" hidden="1" customHeight="1" x14ac:dyDescent="0.2">
      <c r="A91" s="62" t="s">
        <v>528</v>
      </c>
      <c r="B91" s="63" t="s">
        <v>180</v>
      </c>
      <c r="C91" s="64" t="s">
        <v>181</v>
      </c>
      <c r="D91" s="63" t="s">
        <v>208</v>
      </c>
      <c r="E91" s="64" t="s">
        <v>209</v>
      </c>
      <c r="F91" s="65">
        <v>8373</v>
      </c>
      <c r="G91" s="66" t="s">
        <v>30</v>
      </c>
      <c r="H91" s="67">
        <v>7151</v>
      </c>
      <c r="I91" s="68">
        <v>3</v>
      </c>
      <c r="J91" s="68">
        <v>4</v>
      </c>
      <c r="K91" s="91">
        <v>113.4</v>
      </c>
      <c r="L91" s="91">
        <v>59.351323943661974</v>
      </c>
      <c r="M91" s="91">
        <v>54.048676056338032</v>
      </c>
      <c r="N91" s="91">
        <v>56.7</v>
      </c>
      <c r="O91" s="91">
        <v>49.896000000000001</v>
      </c>
      <c r="P91" s="91">
        <v>6.8040000000000003</v>
      </c>
      <c r="Q91" s="85">
        <v>17.010000000000002</v>
      </c>
      <c r="R91" s="69" t="s">
        <v>1107</v>
      </c>
      <c r="S91" s="86">
        <v>16</v>
      </c>
      <c r="T91" s="69">
        <v>4</v>
      </c>
      <c r="U91" s="68">
        <v>0</v>
      </c>
      <c r="V91" s="68">
        <v>0</v>
      </c>
      <c r="W91" s="68">
        <v>1</v>
      </c>
      <c r="X91" s="68">
        <v>2</v>
      </c>
      <c r="Y91" s="68">
        <v>7</v>
      </c>
      <c r="Z91" s="68">
        <v>1</v>
      </c>
      <c r="AA91" s="68">
        <v>0</v>
      </c>
      <c r="AB91" s="69">
        <v>0</v>
      </c>
      <c r="AC91" s="69">
        <v>0</v>
      </c>
      <c r="AD91" s="70">
        <f>IFERROR(tblTarget[[#This Row],[Cluster Target]]/tblTarget[[#This Row],[Cluster PiN]],0)</f>
        <v>1.5857921968955392E-2</v>
      </c>
      <c r="AE91" s="79">
        <f>_xlfn.XLOOKUP(tblTarget[[#This Row],[ID]],tblResponse[ID],tblResponse[2024 Projected reached (Dec 2024)])</f>
        <v>0</v>
      </c>
      <c r="AF91" s="79">
        <f>_xlfn.XLOOKUP(tblTarget[[#This Row],[ID]],tblResponse[ID],tblResponse[2024 Intercluster reached -August RPM])</f>
        <v>124798.13629991241</v>
      </c>
      <c r="AG91" s="79">
        <v>1</v>
      </c>
      <c r="AH91" s="79"/>
      <c r="AI91" s="79"/>
      <c r="AJ91" s="70" t="str">
        <f>IF(tblTarget[[#This Row],[Target to PiN (%)]]&gt;Targ_vs_PiN,"Flagged","")</f>
        <v/>
      </c>
      <c r="AK91" s="69" t="str">
        <f>IF(AND(tblTarget[[#This Row],[Qualifies for exception]]="Flagged",tblTarget[[#This Row],[Target to PiN (%)]]&gt;Targ_severity5),"Flagged","")</f>
        <v/>
      </c>
      <c r="AL91" s="68" t="str">
        <f>IFERROR(IF(AND(tblTarget[[#This Row],[Intercluser Severity]]=4,tblTarget[[#This Row],[Qualifies for exception]]="Flagged",(tblTarget[[#This Row],[Cluster Target]]-tblTarget[[#This Row],[2024 Response capacity up to December]])/tblTarget[[#This Row],[Cluster Target]]&gt;Diff_severity4),"Flagged",""),"No target")</f>
        <v>Flagged</v>
      </c>
      <c r="AM91" s="68" t="str">
        <f>IFERROR(IF(AND(tblTarget[[#This Row],[Intercluser Severity]]=3,tblTarget[[#This Row],[Qualifies for exception]]="Flagged",(tblTarget[[#This Row],[Cluster Target]]-tblTarget[[#This Row],[2024 Response capacity up to December]])/tblTarget[[#This Row],[Cluster Target]]&gt;Diff_severity3),"Flagged",""),"No target")</f>
        <v/>
      </c>
      <c r="AN91" s="81" t="s">
        <v>1099</v>
      </c>
      <c r="AO91" s="81"/>
      <c r="AP91" s="81" t="s">
        <v>1099</v>
      </c>
      <c r="AQ91" s="81" t="s">
        <v>1107</v>
      </c>
    </row>
    <row r="92" spans="1:43" ht="15.95" hidden="1" customHeight="1" x14ac:dyDescent="0.2">
      <c r="A92" s="62" t="s">
        <v>529</v>
      </c>
      <c r="B92" s="63" t="s">
        <v>180</v>
      </c>
      <c r="C92" s="64" t="s">
        <v>181</v>
      </c>
      <c r="D92" s="63" t="s">
        <v>210</v>
      </c>
      <c r="E92" s="64" t="s">
        <v>211</v>
      </c>
      <c r="F92" s="65">
        <v>2887</v>
      </c>
      <c r="G92" s="66" t="s">
        <v>30</v>
      </c>
      <c r="H92" s="67">
        <v>1286</v>
      </c>
      <c r="I92" s="68">
        <v>3</v>
      </c>
      <c r="J92" s="68">
        <v>4</v>
      </c>
      <c r="K92" s="91">
        <v>9.4</v>
      </c>
      <c r="L92" s="91">
        <v>4.8106970365511899</v>
      </c>
      <c r="M92" s="91">
        <v>4.5893029634488105</v>
      </c>
      <c r="N92" s="91">
        <v>4.7</v>
      </c>
      <c r="O92" s="91">
        <v>4.1360000000000001</v>
      </c>
      <c r="P92" s="91">
        <v>0.56399999999999995</v>
      </c>
      <c r="Q92" s="85">
        <v>1.41</v>
      </c>
      <c r="R92" s="69" t="s">
        <v>1107</v>
      </c>
      <c r="S92" s="86">
        <v>1</v>
      </c>
      <c r="T92" s="69">
        <v>0</v>
      </c>
      <c r="U92" s="68">
        <v>0</v>
      </c>
      <c r="V92" s="68">
        <v>0</v>
      </c>
      <c r="W92" s="68">
        <v>0</v>
      </c>
      <c r="X92" s="68">
        <v>0</v>
      </c>
      <c r="Y92" s="68">
        <v>1</v>
      </c>
      <c r="Z92" s="68">
        <v>0</v>
      </c>
      <c r="AA92" s="68">
        <v>0</v>
      </c>
      <c r="AB92" s="69">
        <v>0</v>
      </c>
      <c r="AC92" s="69">
        <v>0</v>
      </c>
      <c r="AD92" s="70">
        <f>IFERROR(tblTarget[[#This Row],[Cluster Target]]/tblTarget[[#This Row],[Cluster PiN]],0)</f>
        <v>7.3094867807153964E-3</v>
      </c>
      <c r="AE92" s="79">
        <f>_xlfn.XLOOKUP(tblTarget[[#This Row],[ID]],tblResponse[ID],tblResponse[2024 Projected reached (Dec 2024)])</f>
        <v>0</v>
      </c>
      <c r="AF92" s="79">
        <f>_xlfn.XLOOKUP(tblTarget[[#This Row],[ID]],tblResponse[ID],tblResponse[2024 Intercluster reached -August RPM])</f>
        <v>48338.070003985697</v>
      </c>
      <c r="AG92" s="79">
        <v>1</v>
      </c>
      <c r="AH92" s="79"/>
      <c r="AI92" s="79"/>
      <c r="AJ92" s="70" t="str">
        <f>IF(tblTarget[[#This Row],[Target to PiN (%)]]&gt;Targ_vs_PiN,"Flagged","")</f>
        <v/>
      </c>
      <c r="AK92" s="69" t="str">
        <f>IF(AND(tblTarget[[#This Row],[Qualifies for exception]]="Flagged",tblTarget[[#This Row],[Target to PiN (%)]]&gt;Targ_severity5),"Flagged","")</f>
        <v/>
      </c>
      <c r="AL92" s="68" t="str">
        <f>IFERROR(IF(AND(tblTarget[[#This Row],[Intercluser Severity]]=4,tblTarget[[#This Row],[Qualifies for exception]]="Flagged",(tblTarget[[#This Row],[Cluster Target]]-tblTarget[[#This Row],[2024 Response capacity up to December]])/tblTarget[[#This Row],[Cluster Target]]&gt;Diff_severity4),"Flagged",""),"No target")</f>
        <v>Flagged</v>
      </c>
      <c r="AM92" s="68" t="str">
        <f>IFERROR(IF(AND(tblTarget[[#This Row],[Intercluser Severity]]=3,tblTarget[[#This Row],[Qualifies for exception]]="Flagged",(tblTarget[[#This Row],[Cluster Target]]-tblTarget[[#This Row],[2024 Response capacity up to December]])/tblTarget[[#This Row],[Cluster Target]]&gt;Diff_severity3),"Flagged",""),"No target")</f>
        <v/>
      </c>
      <c r="AN92" s="81" t="s">
        <v>1099</v>
      </c>
      <c r="AO92" s="81"/>
      <c r="AP92" s="81" t="s">
        <v>1099</v>
      </c>
      <c r="AQ92" s="81" t="s">
        <v>1107</v>
      </c>
    </row>
    <row r="93" spans="1:43" ht="15.95" hidden="1" customHeight="1" x14ac:dyDescent="0.2">
      <c r="A93" s="62" t="s">
        <v>530</v>
      </c>
      <c r="B93" s="63" t="s">
        <v>180</v>
      </c>
      <c r="C93" s="64" t="s">
        <v>181</v>
      </c>
      <c r="D93" s="63" t="s">
        <v>212</v>
      </c>
      <c r="E93" s="64" t="s">
        <v>213</v>
      </c>
      <c r="F93" s="65">
        <v>4781</v>
      </c>
      <c r="G93" s="66" t="s">
        <v>30</v>
      </c>
      <c r="H93" s="67">
        <v>3117</v>
      </c>
      <c r="I93" s="68">
        <v>3</v>
      </c>
      <c r="J93" s="68">
        <v>4</v>
      </c>
      <c r="K93" s="91">
        <v>62.400000000000006</v>
      </c>
      <c r="L93" s="91">
        <v>31.105254819118038</v>
      </c>
      <c r="M93" s="91">
        <v>31.294745180881968</v>
      </c>
      <c r="N93" s="91">
        <v>31.200000000000003</v>
      </c>
      <c r="O93" s="91">
        <v>27.456000000000003</v>
      </c>
      <c r="P93" s="91">
        <v>3.7440000000000002</v>
      </c>
      <c r="Q93" s="85">
        <v>9.3600000000000012</v>
      </c>
      <c r="R93" s="69" t="s">
        <v>1107</v>
      </c>
      <c r="S93" s="86">
        <v>9</v>
      </c>
      <c r="T93" s="69">
        <v>2</v>
      </c>
      <c r="U93" s="68">
        <v>0</v>
      </c>
      <c r="V93" s="68">
        <v>0</v>
      </c>
      <c r="W93" s="68">
        <v>1</v>
      </c>
      <c r="X93" s="68">
        <v>1</v>
      </c>
      <c r="Y93" s="68">
        <v>4</v>
      </c>
      <c r="Z93" s="68">
        <v>1</v>
      </c>
      <c r="AA93" s="68">
        <v>0</v>
      </c>
      <c r="AB93" s="69">
        <v>0</v>
      </c>
      <c r="AC93" s="69">
        <v>0</v>
      </c>
      <c r="AD93" s="70">
        <f>IFERROR(tblTarget[[#This Row],[Cluster Target]]/tblTarget[[#This Row],[Cluster PiN]],0)</f>
        <v>2.001924927815207E-2</v>
      </c>
      <c r="AE93" s="79">
        <f>_xlfn.XLOOKUP(tblTarget[[#This Row],[ID]],tblResponse[ID],tblResponse[2024 Projected reached (Dec 2024)])</f>
        <v>0</v>
      </c>
      <c r="AF93" s="79">
        <f>_xlfn.XLOOKUP(tblTarget[[#This Row],[ID]],tblResponse[ID],tblResponse[2024 Intercluster reached -August RPM])</f>
        <v>1609.170082633769</v>
      </c>
      <c r="AG93" s="79">
        <v>1</v>
      </c>
      <c r="AH93" s="79"/>
      <c r="AI93" s="79"/>
      <c r="AJ93" s="70" t="str">
        <f>IF(tblTarget[[#This Row],[Target to PiN (%)]]&gt;Targ_vs_PiN,"Flagged","")</f>
        <v/>
      </c>
      <c r="AK93" s="69" t="str">
        <f>IF(AND(tblTarget[[#This Row],[Qualifies for exception]]="Flagged",tblTarget[[#This Row],[Target to PiN (%)]]&gt;Targ_severity5),"Flagged","")</f>
        <v/>
      </c>
      <c r="AL93" s="68" t="str">
        <f>IFERROR(IF(AND(tblTarget[[#This Row],[Intercluser Severity]]=4,tblTarget[[#This Row],[Qualifies for exception]]="Flagged",(tblTarget[[#This Row],[Cluster Target]]-tblTarget[[#This Row],[2024 Response capacity up to December]])/tblTarget[[#This Row],[Cluster Target]]&gt;Diff_severity4),"Flagged",""),"No target")</f>
        <v>Flagged</v>
      </c>
      <c r="AM93" s="68" t="str">
        <f>IFERROR(IF(AND(tblTarget[[#This Row],[Intercluser Severity]]=3,tblTarget[[#This Row],[Qualifies for exception]]="Flagged",(tblTarget[[#This Row],[Cluster Target]]-tblTarget[[#This Row],[2024 Response capacity up to December]])/tblTarget[[#This Row],[Cluster Target]]&gt;Diff_severity3),"Flagged",""),"No target")</f>
        <v/>
      </c>
      <c r="AN93" s="81" t="s">
        <v>1099</v>
      </c>
      <c r="AO93" s="81"/>
      <c r="AP93" s="81" t="s">
        <v>1099</v>
      </c>
      <c r="AQ93" s="81" t="s">
        <v>1107</v>
      </c>
    </row>
    <row r="94" spans="1:43" ht="15.95" customHeight="1" x14ac:dyDescent="0.2">
      <c r="A94" s="62" t="s">
        <v>531</v>
      </c>
      <c r="B94" s="63" t="s">
        <v>180</v>
      </c>
      <c r="C94" s="64" t="s">
        <v>181</v>
      </c>
      <c r="D94" s="63" t="s">
        <v>214</v>
      </c>
      <c r="E94" s="64" t="s">
        <v>215</v>
      </c>
      <c r="F94" s="65">
        <v>0</v>
      </c>
      <c r="G94" s="66" t="s">
        <v>30</v>
      </c>
      <c r="H94" s="67">
        <v>0</v>
      </c>
      <c r="I94" s="68">
        <v>3</v>
      </c>
      <c r="J94" s="68">
        <v>4</v>
      </c>
      <c r="K94" s="91">
        <v>0</v>
      </c>
      <c r="L94" s="91">
        <v>0</v>
      </c>
      <c r="M94" s="91">
        <v>0</v>
      </c>
      <c r="N94" s="91">
        <v>0</v>
      </c>
      <c r="O94" s="91">
        <v>0</v>
      </c>
      <c r="P94" s="91">
        <v>0</v>
      </c>
      <c r="Q94" s="85">
        <v>0</v>
      </c>
      <c r="R94" s="69" t="s">
        <v>15</v>
      </c>
      <c r="S94" s="86">
        <v>0</v>
      </c>
      <c r="T94" s="69">
        <v>0</v>
      </c>
      <c r="U94" s="68">
        <v>0</v>
      </c>
      <c r="V94" s="68">
        <v>0</v>
      </c>
      <c r="W94" s="68">
        <v>0</v>
      </c>
      <c r="X94" s="68">
        <v>0</v>
      </c>
      <c r="Y94" s="68">
        <v>0</v>
      </c>
      <c r="Z94" s="68">
        <v>0</v>
      </c>
      <c r="AA94" s="68">
        <v>0</v>
      </c>
      <c r="AB94" s="69">
        <v>0</v>
      </c>
      <c r="AC94" s="69">
        <v>0</v>
      </c>
      <c r="AD94" s="70">
        <f>IFERROR(tblTarget[[#This Row],[Cluster Target]]/tblTarget[[#This Row],[Cluster PiN]],0)</f>
        <v>0</v>
      </c>
      <c r="AE94" s="79">
        <f>_xlfn.XLOOKUP(tblTarget[[#This Row],[ID]],tblResponse[ID],tblResponse[2024 Projected reached (Dec 2024)])</f>
        <v>0</v>
      </c>
      <c r="AF94" s="79">
        <f>_xlfn.XLOOKUP(tblTarget[[#This Row],[ID]],tblResponse[ID],tblResponse[2024 Intercluster reached -August RPM])</f>
        <v>45861.347355062411</v>
      </c>
      <c r="AG94" s="79">
        <v>1</v>
      </c>
      <c r="AH94" s="79"/>
      <c r="AI94" s="79"/>
      <c r="AJ94" s="70" t="str">
        <f>IF(tblTarget[[#This Row],[Target to PiN (%)]]&gt;Targ_vs_PiN,"Flagged","")</f>
        <v/>
      </c>
      <c r="AK94" s="69" t="str">
        <f>IF(AND(tblTarget[[#This Row],[Qualifies for exception]]="Flagged",tblTarget[[#This Row],[Target to PiN (%)]]&gt;Targ_severity5),"Flagged","")</f>
        <v/>
      </c>
      <c r="AL94" s="68" t="str">
        <f>IFERROR(IF(AND(tblTarget[[#This Row],[Intercluser Severity]]=4,tblTarget[[#This Row],[Qualifies for exception]]="Flagged",(tblTarget[[#This Row],[Cluster Target]]-tblTarget[[#This Row],[2024 Response capacity up to December]])/tblTarget[[#This Row],[Cluster Target]]&gt;Diff_severity4),"Flagged",""),"No target")</f>
        <v>No target</v>
      </c>
      <c r="AM94" s="68" t="str">
        <f>IFERROR(IF(AND(tblTarget[[#This Row],[Intercluser Severity]]=3,tblTarget[[#This Row],[Qualifies for exception]]="Flagged",(tblTarget[[#This Row],[Cluster Target]]-tblTarget[[#This Row],[2024 Response capacity up to December]])/tblTarget[[#This Row],[Cluster Target]]&gt;Diff_severity3),"Flagged",""),"No target")</f>
        <v>No target</v>
      </c>
      <c r="AN94" s="81" t="s">
        <v>1099</v>
      </c>
      <c r="AO94" s="81"/>
      <c r="AP94" s="81" t="s">
        <v>15</v>
      </c>
      <c r="AQ94" s="81" t="s">
        <v>1098</v>
      </c>
    </row>
    <row r="95" spans="1:43" ht="15.95" hidden="1" customHeight="1" x14ac:dyDescent="0.2">
      <c r="A95" s="62" t="s">
        <v>532</v>
      </c>
      <c r="B95" s="63" t="s">
        <v>216</v>
      </c>
      <c r="C95" s="64" t="s">
        <v>217</v>
      </c>
      <c r="D95" s="63" t="s">
        <v>218</v>
      </c>
      <c r="E95" s="64" t="s">
        <v>219</v>
      </c>
      <c r="F95" s="65">
        <v>50471</v>
      </c>
      <c r="G95" s="66" t="s">
        <v>30</v>
      </c>
      <c r="H95" s="67">
        <v>44046</v>
      </c>
      <c r="I95" s="68">
        <v>4</v>
      </c>
      <c r="J95" s="68">
        <v>4</v>
      </c>
      <c r="K95" s="91">
        <v>881</v>
      </c>
      <c r="L95" s="91">
        <v>445.06549668002185</v>
      </c>
      <c r="M95" s="91">
        <v>435.93450331997821</v>
      </c>
      <c r="N95" s="91">
        <v>440.5</v>
      </c>
      <c r="O95" s="91">
        <v>387.64</v>
      </c>
      <c r="P95" s="91">
        <v>52.86</v>
      </c>
      <c r="Q95" s="85">
        <v>132.15</v>
      </c>
      <c r="R95" s="69" t="s">
        <v>1107</v>
      </c>
      <c r="S95" s="86">
        <v>127</v>
      </c>
      <c r="T95" s="69">
        <v>32</v>
      </c>
      <c r="U95" s="68">
        <v>0</v>
      </c>
      <c r="V95" s="68">
        <v>0</v>
      </c>
      <c r="W95" s="68">
        <v>9</v>
      </c>
      <c r="X95" s="68">
        <v>18</v>
      </c>
      <c r="Y95" s="68">
        <v>53</v>
      </c>
      <c r="Z95" s="68">
        <v>9</v>
      </c>
      <c r="AA95" s="68">
        <v>0</v>
      </c>
      <c r="AB95" s="69">
        <v>0</v>
      </c>
      <c r="AC95" s="69">
        <v>0</v>
      </c>
      <c r="AD95" s="70">
        <f>IFERROR(tblTarget[[#This Row],[Cluster Target]]/tblTarget[[#This Row],[Cluster PiN]],0)</f>
        <v>2.0001816282976887E-2</v>
      </c>
      <c r="AE95" s="79">
        <f>_xlfn.XLOOKUP(tblTarget[[#This Row],[ID]],tblResponse[ID],tblResponse[2024 Projected reached (Dec 2024)])</f>
        <v>0</v>
      </c>
      <c r="AF95" s="79">
        <f>_xlfn.XLOOKUP(tblTarget[[#This Row],[ID]],tblResponse[ID],tblResponse[2024 Intercluster reached -August RPM])</f>
        <v>32230.977115988029</v>
      </c>
      <c r="AG95" s="79">
        <v>1</v>
      </c>
      <c r="AH95" s="79"/>
      <c r="AI95" s="79"/>
      <c r="AJ95" s="70" t="str">
        <f>IF(tblTarget[[#This Row],[Target to PiN (%)]]&gt;Targ_vs_PiN,"Flagged","")</f>
        <v/>
      </c>
      <c r="AK95" s="69" t="str">
        <f>IF(AND(tblTarget[[#This Row],[Qualifies for exception]]="Flagged",tblTarget[[#This Row],[Target to PiN (%)]]&gt;Targ_severity5),"Flagged","")</f>
        <v/>
      </c>
      <c r="AL95" s="68" t="str">
        <f>IFERROR(IF(AND(tblTarget[[#This Row],[Intercluser Severity]]=4,tblTarget[[#This Row],[Qualifies for exception]]="Flagged",(tblTarget[[#This Row],[Cluster Target]]-tblTarget[[#This Row],[2024 Response capacity up to December]])/tblTarget[[#This Row],[Cluster Target]]&gt;Diff_severity4),"Flagged",""),"No target")</f>
        <v>Flagged</v>
      </c>
      <c r="AM95" s="68" t="str">
        <f>IFERROR(IF(AND(tblTarget[[#This Row],[Intercluser Severity]]=3,tblTarget[[#This Row],[Qualifies for exception]]="Flagged",(tblTarget[[#This Row],[Cluster Target]]-tblTarget[[#This Row],[2024 Response capacity up to December]])/tblTarget[[#This Row],[Cluster Target]]&gt;Diff_severity3),"Flagged",""),"No target")</f>
        <v/>
      </c>
      <c r="AN95" s="81" t="s">
        <v>1099</v>
      </c>
      <c r="AO95" s="81"/>
      <c r="AP95" s="81" t="s">
        <v>1099</v>
      </c>
      <c r="AQ95" s="81" t="s">
        <v>1107</v>
      </c>
    </row>
    <row r="96" spans="1:43" ht="15.95" hidden="1" customHeight="1" x14ac:dyDescent="0.2">
      <c r="A96" s="62" t="s">
        <v>533</v>
      </c>
      <c r="B96" s="63" t="s">
        <v>216</v>
      </c>
      <c r="C96" s="64" t="s">
        <v>217</v>
      </c>
      <c r="D96" s="63" t="s">
        <v>220</v>
      </c>
      <c r="E96" s="64" t="s">
        <v>221</v>
      </c>
      <c r="F96" s="65">
        <v>129751</v>
      </c>
      <c r="G96" s="66" t="s">
        <v>30</v>
      </c>
      <c r="H96" s="67">
        <v>77968</v>
      </c>
      <c r="I96" s="68">
        <v>3</v>
      </c>
      <c r="J96" s="68">
        <v>3</v>
      </c>
      <c r="K96" s="91">
        <v>3032.6000000000004</v>
      </c>
      <c r="L96" s="91">
        <v>1522.8642092467799</v>
      </c>
      <c r="M96" s="91">
        <v>1509.7357907532203</v>
      </c>
      <c r="N96" s="91">
        <v>1516.3000000000002</v>
      </c>
      <c r="O96" s="91">
        <v>1334.3440000000003</v>
      </c>
      <c r="P96" s="91">
        <v>181.95600000000002</v>
      </c>
      <c r="Q96" s="85">
        <v>454.89000000000004</v>
      </c>
      <c r="R96" s="69" t="s">
        <v>1107</v>
      </c>
      <c r="S96" s="86">
        <v>437</v>
      </c>
      <c r="T96" s="69">
        <v>109</v>
      </c>
      <c r="U96" s="68">
        <v>0</v>
      </c>
      <c r="V96" s="68">
        <v>0</v>
      </c>
      <c r="W96" s="68">
        <v>30</v>
      </c>
      <c r="X96" s="68">
        <v>61</v>
      </c>
      <c r="Y96" s="68">
        <v>182</v>
      </c>
      <c r="Z96" s="68">
        <v>30</v>
      </c>
      <c r="AA96" s="68">
        <v>0</v>
      </c>
      <c r="AB96" s="69">
        <v>0</v>
      </c>
      <c r="AC96" s="69">
        <v>0</v>
      </c>
      <c r="AD96" s="70">
        <f>IFERROR(tblTarget[[#This Row],[Cluster Target]]/tblTarget[[#This Row],[Cluster PiN]],0)</f>
        <v>3.889544428483481E-2</v>
      </c>
      <c r="AE96" s="79">
        <f>_xlfn.XLOOKUP(tblTarget[[#This Row],[ID]],tblResponse[ID],tblResponse[2024 Projected reached (Dec 2024)])</f>
        <v>0</v>
      </c>
      <c r="AF96" s="79">
        <f>_xlfn.XLOOKUP(tblTarget[[#This Row],[ID]],tblResponse[ID],tblResponse[2024 Intercluster reached -August RPM])</f>
        <v>167142.39756567049</v>
      </c>
      <c r="AG96" s="79">
        <v>5</v>
      </c>
      <c r="AH96" s="79"/>
      <c r="AI96" s="79"/>
      <c r="AJ96" s="70" t="str">
        <f>IF(tblTarget[[#This Row],[Target to PiN (%)]]&gt;Targ_vs_PiN,"Flagged","")</f>
        <v/>
      </c>
      <c r="AK96" s="69" t="str">
        <f>IF(AND(tblTarget[[#This Row],[Qualifies for exception]]="Flagged",tblTarget[[#This Row],[Target to PiN (%)]]&gt;Targ_severity5),"Flagged","")</f>
        <v/>
      </c>
      <c r="AL96" s="68" t="str">
        <f>IFERROR(IF(AND(tblTarget[[#This Row],[Intercluser Severity]]=4,tblTarget[[#This Row],[Qualifies for exception]]="Flagged",(tblTarget[[#This Row],[Cluster Target]]-tblTarget[[#This Row],[2024 Response capacity up to December]])/tblTarget[[#This Row],[Cluster Target]]&gt;Diff_severity4),"Flagged",""),"No target")</f>
        <v/>
      </c>
      <c r="AM96" s="68" t="str">
        <f>IFERROR(IF(AND(tblTarget[[#This Row],[Intercluser Severity]]=3,tblTarget[[#This Row],[Qualifies for exception]]="Flagged",(tblTarget[[#This Row],[Cluster Target]]-tblTarget[[#This Row],[2024 Response capacity up to December]])/tblTarget[[#This Row],[Cluster Target]]&gt;Diff_severity3),"Flagged",""),"No target")</f>
        <v>Flagged</v>
      </c>
      <c r="AN96" s="81" t="s">
        <v>1099</v>
      </c>
      <c r="AO96" s="81"/>
      <c r="AP96" s="81" t="s">
        <v>1099</v>
      </c>
      <c r="AQ96" s="81" t="s">
        <v>1107</v>
      </c>
    </row>
    <row r="97" spans="1:43" ht="15.95" hidden="1" customHeight="1" x14ac:dyDescent="0.2">
      <c r="A97" s="62" t="s">
        <v>534</v>
      </c>
      <c r="B97" s="63" t="s">
        <v>216</v>
      </c>
      <c r="C97" s="64" t="s">
        <v>217</v>
      </c>
      <c r="D97" s="63" t="s">
        <v>222</v>
      </c>
      <c r="E97" s="64" t="s">
        <v>223</v>
      </c>
      <c r="F97" s="65">
        <v>17761</v>
      </c>
      <c r="G97" s="66" t="s">
        <v>30</v>
      </c>
      <c r="H97" s="67">
        <v>15018</v>
      </c>
      <c r="I97" s="68">
        <v>3</v>
      </c>
      <c r="J97" s="68">
        <v>4</v>
      </c>
      <c r="K97" s="91">
        <v>1225.8</v>
      </c>
      <c r="L97" s="91">
        <v>604.33679849062185</v>
      </c>
      <c r="M97" s="91">
        <v>621.46320150937811</v>
      </c>
      <c r="N97" s="91">
        <v>612.9</v>
      </c>
      <c r="O97" s="91">
        <v>539.35199999999998</v>
      </c>
      <c r="P97" s="91">
        <v>73.547999999999988</v>
      </c>
      <c r="Q97" s="85">
        <v>183.86999999999998</v>
      </c>
      <c r="R97" s="69" t="s">
        <v>1107</v>
      </c>
      <c r="S97" s="86">
        <v>177</v>
      </c>
      <c r="T97" s="69">
        <v>44</v>
      </c>
      <c r="U97" s="68">
        <v>0</v>
      </c>
      <c r="V97" s="68">
        <v>0</v>
      </c>
      <c r="W97" s="68">
        <v>12</v>
      </c>
      <c r="X97" s="68">
        <v>25</v>
      </c>
      <c r="Y97" s="68">
        <v>74</v>
      </c>
      <c r="Z97" s="68">
        <v>12</v>
      </c>
      <c r="AA97" s="68">
        <v>0</v>
      </c>
      <c r="AB97" s="69">
        <v>0</v>
      </c>
      <c r="AC97" s="69">
        <v>0</v>
      </c>
      <c r="AD97" s="70">
        <f>IFERROR(tblTarget[[#This Row],[Cluster Target]]/tblTarget[[#This Row],[Cluster PiN]],0)</f>
        <v>8.1622053535757091E-2</v>
      </c>
      <c r="AE97" s="79">
        <f>_xlfn.XLOOKUP(tblTarget[[#This Row],[ID]],tblResponse[ID],tblResponse[2024 Projected reached (Dec 2024)])</f>
        <v>0</v>
      </c>
      <c r="AF97" s="79">
        <f>_xlfn.XLOOKUP(tblTarget[[#This Row],[ID]],tblResponse[ID],tblResponse[2024 Intercluster reached -August RPM])</f>
        <v>74643.103380883273</v>
      </c>
      <c r="AG97" s="79">
        <v>2</v>
      </c>
      <c r="AH97" s="79"/>
      <c r="AI97" s="79"/>
      <c r="AJ97" s="70" t="str">
        <f>IF(tblTarget[[#This Row],[Target to PiN (%)]]&gt;Targ_vs_PiN,"Flagged","")</f>
        <v/>
      </c>
      <c r="AK97" s="69" t="str">
        <f>IF(AND(tblTarget[[#This Row],[Qualifies for exception]]="Flagged",tblTarget[[#This Row],[Target to PiN (%)]]&gt;Targ_severity5),"Flagged","")</f>
        <v/>
      </c>
      <c r="AL97" s="68" t="str">
        <f>IFERROR(IF(AND(tblTarget[[#This Row],[Intercluser Severity]]=4,tblTarget[[#This Row],[Qualifies for exception]]="Flagged",(tblTarget[[#This Row],[Cluster Target]]-tblTarget[[#This Row],[2024 Response capacity up to December]])/tblTarget[[#This Row],[Cluster Target]]&gt;Diff_severity4),"Flagged",""),"No target")</f>
        <v>Flagged</v>
      </c>
      <c r="AM97" s="68" t="str">
        <f>IFERROR(IF(AND(tblTarget[[#This Row],[Intercluser Severity]]=3,tblTarget[[#This Row],[Qualifies for exception]]="Flagged",(tblTarget[[#This Row],[Cluster Target]]-tblTarget[[#This Row],[2024 Response capacity up to December]])/tblTarget[[#This Row],[Cluster Target]]&gt;Diff_severity3),"Flagged",""),"No target")</f>
        <v/>
      </c>
      <c r="AN97" s="81" t="s">
        <v>1099</v>
      </c>
      <c r="AO97" s="81"/>
      <c r="AP97" s="81" t="s">
        <v>1099</v>
      </c>
      <c r="AQ97" s="81" t="s">
        <v>1107</v>
      </c>
    </row>
    <row r="98" spans="1:43" ht="15.95" hidden="1" customHeight="1" x14ac:dyDescent="0.2">
      <c r="A98" s="62" t="s">
        <v>535</v>
      </c>
      <c r="B98" s="63" t="s">
        <v>216</v>
      </c>
      <c r="C98" s="64" t="s">
        <v>217</v>
      </c>
      <c r="D98" s="63" t="s">
        <v>224</v>
      </c>
      <c r="E98" s="64" t="s">
        <v>225</v>
      </c>
      <c r="F98" s="65">
        <v>50975</v>
      </c>
      <c r="G98" s="66" t="s">
        <v>30</v>
      </c>
      <c r="H98" s="67">
        <v>8913</v>
      </c>
      <c r="I98" s="68">
        <v>2</v>
      </c>
      <c r="J98" s="68">
        <v>3</v>
      </c>
      <c r="K98" s="91">
        <v>0</v>
      </c>
      <c r="L98" s="91">
        <v>0</v>
      </c>
      <c r="M98" s="91">
        <v>0</v>
      </c>
      <c r="N98" s="91">
        <v>0</v>
      </c>
      <c r="O98" s="91">
        <v>0</v>
      </c>
      <c r="P98" s="91">
        <v>0</v>
      </c>
      <c r="Q98" s="85">
        <v>0</v>
      </c>
      <c r="R98" s="69" t="s">
        <v>1107</v>
      </c>
      <c r="S98" s="86">
        <v>0</v>
      </c>
      <c r="T98" s="69">
        <v>0</v>
      </c>
      <c r="U98" s="68">
        <v>0</v>
      </c>
      <c r="V98" s="68">
        <v>0</v>
      </c>
      <c r="W98" s="68">
        <v>0</v>
      </c>
      <c r="X98" s="68">
        <v>0</v>
      </c>
      <c r="Y98" s="68">
        <v>0</v>
      </c>
      <c r="Z98" s="68">
        <v>0</v>
      </c>
      <c r="AA98" s="68">
        <v>0</v>
      </c>
      <c r="AB98" s="69">
        <v>0</v>
      </c>
      <c r="AC98" s="69">
        <v>0</v>
      </c>
      <c r="AD98" s="70">
        <f>IFERROR(tblTarget[[#This Row],[Cluster Target]]/tblTarget[[#This Row],[Cluster PiN]],0)</f>
        <v>0</v>
      </c>
      <c r="AE98" s="79">
        <f>_xlfn.XLOOKUP(tblTarget[[#This Row],[ID]],tblResponse[ID],tblResponse[2024 Projected reached (Dec 2024)])</f>
        <v>0</v>
      </c>
      <c r="AF98" s="79">
        <f>_xlfn.XLOOKUP(tblTarget[[#This Row],[ID]],tblResponse[ID],tblResponse[2024 Intercluster reached -August RPM])</f>
        <v>107441.4878607913</v>
      </c>
      <c r="AG98" s="79">
        <v>2</v>
      </c>
      <c r="AH98" s="79"/>
      <c r="AI98" s="79"/>
      <c r="AJ98" s="70" t="str">
        <f>IF(tblTarget[[#This Row],[Target to PiN (%)]]&gt;Targ_vs_PiN,"Flagged","")</f>
        <v/>
      </c>
      <c r="AK98" s="69" t="str">
        <f>IF(AND(tblTarget[[#This Row],[Qualifies for exception]]="Flagged",tblTarget[[#This Row],[Target to PiN (%)]]&gt;Targ_severity5),"Flagged","")</f>
        <v/>
      </c>
      <c r="AL98" s="68" t="str">
        <f>IFERROR(IF(AND(tblTarget[[#This Row],[Intercluser Severity]]=4,tblTarget[[#This Row],[Qualifies for exception]]="Flagged",(tblTarget[[#This Row],[Cluster Target]]-tblTarget[[#This Row],[2024 Response capacity up to December]])/tblTarget[[#This Row],[Cluster Target]]&gt;Diff_severity4),"Flagged",""),"No target")</f>
        <v>No target</v>
      </c>
      <c r="AM98" s="68" t="str">
        <f>IFERROR(IF(AND(tblTarget[[#This Row],[Intercluser Severity]]=3,tblTarget[[#This Row],[Qualifies for exception]]="Flagged",(tblTarget[[#This Row],[Cluster Target]]-tblTarget[[#This Row],[2024 Response capacity up to December]])/tblTarget[[#This Row],[Cluster Target]]&gt;Diff_severity3),"Flagged",""),"No target")</f>
        <v>No target</v>
      </c>
      <c r="AN98" s="81" t="s">
        <v>1099</v>
      </c>
      <c r="AO98" s="81"/>
      <c r="AP98" s="81" t="s">
        <v>1099</v>
      </c>
      <c r="AQ98" s="81" t="s">
        <v>1107</v>
      </c>
    </row>
    <row r="99" spans="1:43" ht="15.95" hidden="1" customHeight="1" x14ac:dyDescent="0.2">
      <c r="A99" s="62" t="s">
        <v>536</v>
      </c>
      <c r="B99" s="63" t="s">
        <v>216</v>
      </c>
      <c r="C99" s="64" t="s">
        <v>217</v>
      </c>
      <c r="D99" s="63" t="s">
        <v>226</v>
      </c>
      <c r="E99" s="64" t="s">
        <v>227</v>
      </c>
      <c r="F99" s="65">
        <v>21640</v>
      </c>
      <c r="G99" s="66" t="s">
        <v>30</v>
      </c>
      <c r="H99" s="67">
        <v>16422</v>
      </c>
      <c r="I99" s="68">
        <v>3</v>
      </c>
      <c r="J99" s="68">
        <v>4</v>
      </c>
      <c r="K99" s="91">
        <v>328.40000000000003</v>
      </c>
      <c r="L99" s="91">
        <v>164.48423124347909</v>
      </c>
      <c r="M99" s="91">
        <v>163.91576875652095</v>
      </c>
      <c r="N99" s="91">
        <v>164.20000000000002</v>
      </c>
      <c r="O99" s="91">
        <v>144.49600000000001</v>
      </c>
      <c r="P99" s="91">
        <v>19.704000000000001</v>
      </c>
      <c r="Q99" s="85">
        <v>49.260000000000005</v>
      </c>
      <c r="R99" s="69" t="s">
        <v>1107</v>
      </c>
      <c r="S99" s="86">
        <v>47</v>
      </c>
      <c r="T99" s="69">
        <v>12</v>
      </c>
      <c r="U99" s="68">
        <v>0</v>
      </c>
      <c r="V99" s="68">
        <v>0</v>
      </c>
      <c r="W99" s="68">
        <v>3</v>
      </c>
      <c r="X99" s="68">
        <v>7</v>
      </c>
      <c r="Y99" s="68">
        <v>20</v>
      </c>
      <c r="Z99" s="68">
        <v>3</v>
      </c>
      <c r="AA99" s="68">
        <v>0</v>
      </c>
      <c r="AB99" s="69">
        <v>0</v>
      </c>
      <c r="AC99" s="69">
        <v>0</v>
      </c>
      <c r="AD99" s="70">
        <f>IFERROR(tblTarget[[#This Row],[Cluster Target]]/tblTarget[[#This Row],[Cluster PiN]],0)</f>
        <v>1.9997564243088541E-2</v>
      </c>
      <c r="AE99" s="79">
        <f>_xlfn.XLOOKUP(tblTarget[[#This Row],[ID]],tblResponse[ID],tblResponse[2024 Projected reached (Dec 2024)])</f>
        <v>0</v>
      </c>
      <c r="AF99" s="79">
        <f>_xlfn.XLOOKUP(tblTarget[[#This Row],[ID]],tblResponse[ID],tblResponse[2024 Intercluster reached -August RPM])</f>
        <v>46763.182240503687</v>
      </c>
      <c r="AG99" s="79">
        <v>1</v>
      </c>
      <c r="AH99" s="79"/>
      <c r="AI99" s="79"/>
      <c r="AJ99" s="70" t="str">
        <f>IF(tblTarget[[#This Row],[Target to PiN (%)]]&gt;Targ_vs_PiN,"Flagged","")</f>
        <v/>
      </c>
      <c r="AK99" s="69" t="str">
        <f>IF(AND(tblTarget[[#This Row],[Qualifies for exception]]="Flagged",tblTarget[[#This Row],[Target to PiN (%)]]&gt;Targ_severity5),"Flagged","")</f>
        <v/>
      </c>
      <c r="AL99" s="68" t="str">
        <f>IFERROR(IF(AND(tblTarget[[#This Row],[Intercluser Severity]]=4,tblTarget[[#This Row],[Qualifies for exception]]="Flagged",(tblTarget[[#This Row],[Cluster Target]]-tblTarget[[#This Row],[2024 Response capacity up to December]])/tblTarget[[#This Row],[Cluster Target]]&gt;Diff_severity4),"Flagged",""),"No target")</f>
        <v>Flagged</v>
      </c>
      <c r="AM99" s="68" t="str">
        <f>IFERROR(IF(AND(tblTarget[[#This Row],[Intercluser Severity]]=3,tblTarget[[#This Row],[Qualifies for exception]]="Flagged",(tblTarget[[#This Row],[Cluster Target]]-tblTarget[[#This Row],[2024 Response capacity up to December]])/tblTarget[[#This Row],[Cluster Target]]&gt;Diff_severity3),"Flagged",""),"No target")</f>
        <v/>
      </c>
      <c r="AN99" s="81" t="s">
        <v>1099</v>
      </c>
      <c r="AO99" s="81"/>
      <c r="AP99" s="81" t="s">
        <v>1099</v>
      </c>
      <c r="AQ99" s="81" t="s">
        <v>1107</v>
      </c>
    </row>
    <row r="100" spans="1:43" ht="15.95" hidden="1" customHeight="1" x14ac:dyDescent="0.2">
      <c r="A100" s="62" t="s">
        <v>537</v>
      </c>
      <c r="B100" s="63" t="s">
        <v>216</v>
      </c>
      <c r="C100" s="64" t="s">
        <v>217</v>
      </c>
      <c r="D100" s="63" t="s">
        <v>228</v>
      </c>
      <c r="E100" s="64" t="s">
        <v>229</v>
      </c>
      <c r="F100" s="65">
        <v>33794</v>
      </c>
      <c r="G100" s="66" t="s">
        <v>30</v>
      </c>
      <c r="H100" s="67">
        <v>22198</v>
      </c>
      <c r="I100" s="68">
        <v>3</v>
      </c>
      <c r="J100" s="68">
        <v>3</v>
      </c>
      <c r="K100" s="91">
        <v>894.80000000000007</v>
      </c>
      <c r="L100" s="91">
        <v>451.35918973736233</v>
      </c>
      <c r="M100" s="91">
        <v>443.4408102626378</v>
      </c>
      <c r="N100" s="91">
        <v>447.40000000000003</v>
      </c>
      <c r="O100" s="91">
        <v>393.71200000000005</v>
      </c>
      <c r="P100" s="91">
        <v>53.688000000000002</v>
      </c>
      <c r="Q100" s="85">
        <v>134.22</v>
      </c>
      <c r="R100" s="69" t="s">
        <v>1107</v>
      </c>
      <c r="S100" s="86">
        <v>129</v>
      </c>
      <c r="T100" s="69">
        <v>32</v>
      </c>
      <c r="U100" s="68">
        <v>0</v>
      </c>
      <c r="V100" s="68">
        <v>0</v>
      </c>
      <c r="W100" s="68">
        <v>9</v>
      </c>
      <c r="X100" s="68">
        <v>18</v>
      </c>
      <c r="Y100" s="68">
        <v>54</v>
      </c>
      <c r="Z100" s="68">
        <v>9</v>
      </c>
      <c r="AA100" s="68">
        <v>0</v>
      </c>
      <c r="AB100" s="69">
        <v>0</v>
      </c>
      <c r="AC100" s="69">
        <v>0</v>
      </c>
      <c r="AD100" s="70">
        <f>IFERROR(tblTarget[[#This Row],[Cluster Target]]/tblTarget[[#This Row],[Cluster PiN]],0)</f>
        <v>4.0309937832237144E-2</v>
      </c>
      <c r="AE100" s="79">
        <f>_xlfn.XLOOKUP(tblTarget[[#This Row],[ID]],tblResponse[ID],tblResponse[2024 Projected reached (Dec 2024)])</f>
        <v>0</v>
      </c>
      <c r="AF100" s="79">
        <f>_xlfn.XLOOKUP(tblTarget[[#This Row],[ID]],tblResponse[ID],tblResponse[2024 Intercluster reached -August RPM])</f>
        <v>35685.095680319733</v>
      </c>
      <c r="AG100" s="79">
        <v>2</v>
      </c>
      <c r="AH100" s="79"/>
      <c r="AI100" s="79"/>
      <c r="AJ100" s="70" t="str">
        <f>IF(tblTarget[[#This Row],[Target to PiN (%)]]&gt;Targ_vs_PiN,"Flagged","")</f>
        <v/>
      </c>
      <c r="AK100" s="69" t="str">
        <f>IF(AND(tblTarget[[#This Row],[Qualifies for exception]]="Flagged",tblTarget[[#This Row],[Target to PiN (%)]]&gt;Targ_severity5),"Flagged","")</f>
        <v/>
      </c>
      <c r="AL100" s="68" t="str">
        <f>IFERROR(IF(AND(tblTarget[[#This Row],[Intercluser Severity]]=4,tblTarget[[#This Row],[Qualifies for exception]]="Flagged",(tblTarget[[#This Row],[Cluster Target]]-tblTarget[[#This Row],[2024 Response capacity up to December]])/tblTarget[[#This Row],[Cluster Target]]&gt;Diff_severity4),"Flagged",""),"No target")</f>
        <v/>
      </c>
      <c r="AM100" s="68" t="str">
        <f>IFERROR(IF(AND(tblTarget[[#This Row],[Intercluser Severity]]=3,tblTarget[[#This Row],[Qualifies for exception]]="Flagged",(tblTarget[[#This Row],[Cluster Target]]-tblTarget[[#This Row],[2024 Response capacity up to December]])/tblTarget[[#This Row],[Cluster Target]]&gt;Diff_severity3),"Flagged",""),"No target")</f>
        <v>Flagged</v>
      </c>
      <c r="AN100" s="81" t="s">
        <v>1099</v>
      </c>
      <c r="AO100" s="81"/>
      <c r="AP100" s="81" t="s">
        <v>1099</v>
      </c>
      <c r="AQ100" s="81" t="s">
        <v>1107</v>
      </c>
    </row>
    <row r="101" spans="1:43" ht="15.95" hidden="1" customHeight="1" x14ac:dyDescent="0.2">
      <c r="A101" s="62" t="s">
        <v>538</v>
      </c>
      <c r="B101" s="63" t="s">
        <v>216</v>
      </c>
      <c r="C101" s="64" t="s">
        <v>217</v>
      </c>
      <c r="D101" s="63" t="s">
        <v>230</v>
      </c>
      <c r="E101" s="64" t="s">
        <v>231</v>
      </c>
      <c r="F101" s="65">
        <v>21683</v>
      </c>
      <c r="G101" s="66" t="s">
        <v>30</v>
      </c>
      <c r="H101" s="67">
        <v>9138</v>
      </c>
      <c r="I101" s="68">
        <v>3</v>
      </c>
      <c r="J101" s="68">
        <v>3</v>
      </c>
      <c r="K101" s="91">
        <v>163</v>
      </c>
      <c r="L101" s="91">
        <v>81.366849404589018</v>
      </c>
      <c r="M101" s="91">
        <v>81.633150595410982</v>
      </c>
      <c r="N101" s="91">
        <v>81.5</v>
      </c>
      <c r="O101" s="91">
        <v>71.72</v>
      </c>
      <c r="P101" s="91">
        <v>9.7799999999999994</v>
      </c>
      <c r="Q101" s="85">
        <v>24.45</v>
      </c>
      <c r="R101" s="69" t="s">
        <v>1107</v>
      </c>
      <c r="S101" s="86">
        <v>23</v>
      </c>
      <c r="T101" s="69">
        <v>6</v>
      </c>
      <c r="U101" s="68">
        <v>0</v>
      </c>
      <c r="V101" s="68">
        <v>0</v>
      </c>
      <c r="W101" s="68">
        <v>2</v>
      </c>
      <c r="X101" s="68">
        <v>3</v>
      </c>
      <c r="Y101" s="68">
        <v>10</v>
      </c>
      <c r="Z101" s="68">
        <v>2</v>
      </c>
      <c r="AA101" s="68">
        <v>0</v>
      </c>
      <c r="AB101" s="69">
        <v>0</v>
      </c>
      <c r="AC101" s="69">
        <v>0</v>
      </c>
      <c r="AD101" s="70">
        <f>IFERROR(tblTarget[[#This Row],[Cluster Target]]/tblTarget[[#This Row],[Cluster PiN]],0)</f>
        <v>1.7837601225651128E-2</v>
      </c>
      <c r="AE101" s="79">
        <f>_xlfn.XLOOKUP(tblTarget[[#This Row],[ID]],tblResponse[ID],tblResponse[2024 Projected reached (Dec 2024)])</f>
        <v>0</v>
      </c>
      <c r="AF101" s="79">
        <f>_xlfn.XLOOKUP(tblTarget[[#This Row],[ID]],tblResponse[ID],tblResponse[2024 Intercluster reached -August RPM])</f>
        <v>29297.390091430032</v>
      </c>
      <c r="AG101" s="79">
        <v>2</v>
      </c>
      <c r="AH101" s="79"/>
      <c r="AI101" s="79"/>
      <c r="AJ101" s="70" t="str">
        <f>IF(tblTarget[[#This Row],[Target to PiN (%)]]&gt;Targ_vs_PiN,"Flagged","")</f>
        <v/>
      </c>
      <c r="AK101" s="69" t="str">
        <f>IF(AND(tblTarget[[#This Row],[Qualifies for exception]]="Flagged",tblTarget[[#This Row],[Target to PiN (%)]]&gt;Targ_severity5),"Flagged","")</f>
        <v/>
      </c>
      <c r="AL101" s="68" t="str">
        <f>IFERROR(IF(AND(tblTarget[[#This Row],[Intercluser Severity]]=4,tblTarget[[#This Row],[Qualifies for exception]]="Flagged",(tblTarget[[#This Row],[Cluster Target]]-tblTarget[[#This Row],[2024 Response capacity up to December]])/tblTarget[[#This Row],[Cluster Target]]&gt;Diff_severity4),"Flagged",""),"No target")</f>
        <v/>
      </c>
      <c r="AM101" s="68" t="str">
        <f>IFERROR(IF(AND(tblTarget[[#This Row],[Intercluser Severity]]=3,tblTarget[[#This Row],[Qualifies for exception]]="Flagged",(tblTarget[[#This Row],[Cluster Target]]-tblTarget[[#This Row],[2024 Response capacity up to December]])/tblTarget[[#This Row],[Cluster Target]]&gt;Diff_severity3),"Flagged",""),"No target")</f>
        <v>Flagged</v>
      </c>
      <c r="AN101" s="81" t="s">
        <v>1099</v>
      </c>
      <c r="AO101" s="81"/>
      <c r="AP101" s="81" t="s">
        <v>1099</v>
      </c>
      <c r="AQ101" s="81" t="s">
        <v>1107</v>
      </c>
    </row>
    <row r="102" spans="1:43" ht="15.95" hidden="1" customHeight="1" x14ac:dyDescent="0.2">
      <c r="A102" s="62" t="s">
        <v>539</v>
      </c>
      <c r="B102" s="63" t="s">
        <v>232</v>
      </c>
      <c r="C102" s="64" t="s">
        <v>233</v>
      </c>
      <c r="D102" s="63" t="s">
        <v>234</v>
      </c>
      <c r="E102" s="64" t="s">
        <v>235</v>
      </c>
      <c r="F102" s="65">
        <v>85388</v>
      </c>
      <c r="G102" s="66" t="s">
        <v>30</v>
      </c>
      <c r="H102" s="67">
        <v>52030</v>
      </c>
      <c r="I102" s="68">
        <v>3</v>
      </c>
      <c r="J102" s="68">
        <v>4</v>
      </c>
      <c r="K102" s="91">
        <v>1038.2</v>
      </c>
      <c r="L102" s="91">
        <v>548.76771916715654</v>
      </c>
      <c r="M102" s="91">
        <v>489.4322808328435</v>
      </c>
      <c r="N102" s="91">
        <v>519.1</v>
      </c>
      <c r="O102" s="91">
        <v>456.80800000000005</v>
      </c>
      <c r="P102" s="91">
        <v>62.292000000000002</v>
      </c>
      <c r="Q102" s="85">
        <v>155.72999999999999</v>
      </c>
      <c r="R102" s="69" t="s">
        <v>1107</v>
      </c>
      <c r="S102" s="86">
        <v>150</v>
      </c>
      <c r="T102" s="69">
        <v>37</v>
      </c>
      <c r="U102" s="68">
        <v>0</v>
      </c>
      <c r="V102" s="68">
        <v>0</v>
      </c>
      <c r="W102" s="68">
        <v>10</v>
      </c>
      <c r="X102" s="68">
        <v>21</v>
      </c>
      <c r="Y102" s="68">
        <v>62</v>
      </c>
      <c r="Z102" s="68">
        <v>10</v>
      </c>
      <c r="AA102" s="68">
        <v>0</v>
      </c>
      <c r="AB102" s="69">
        <v>0</v>
      </c>
      <c r="AC102" s="69">
        <v>0</v>
      </c>
      <c r="AD102" s="70">
        <f>IFERROR(tblTarget[[#This Row],[Cluster Target]]/tblTarget[[#This Row],[Cluster PiN]],0)</f>
        <v>1.9953872765712088E-2</v>
      </c>
      <c r="AE102" s="79">
        <f>_xlfn.XLOOKUP(tblTarget[[#This Row],[ID]],tblResponse[ID],tblResponse[2024 Projected reached (Dec 2024)])</f>
        <v>0</v>
      </c>
      <c r="AF102" s="79">
        <f>_xlfn.XLOOKUP(tblTarget[[#This Row],[ID]],tblResponse[ID],tblResponse[2024 Intercluster reached -August RPM])</f>
        <v>69814.893493815602</v>
      </c>
      <c r="AG102" s="79">
        <v>2</v>
      </c>
      <c r="AH102" s="79"/>
      <c r="AI102" s="79"/>
      <c r="AJ102" s="70" t="str">
        <f>IF(tblTarget[[#This Row],[Target to PiN (%)]]&gt;Targ_vs_PiN,"Flagged","")</f>
        <v/>
      </c>
      <c r="AK102" s="69" t="str">
        <f>IF(AND(tblTarget[[#This Row],[Qualifies for exception]]="Flagged",tblTarget[[#This Row],[Target to PiN (%)]]&gt;Targ_severity5),"Flagged","")</f>
        <v/>
      </c>
      <c r="AL102" s="68" t="str">
        <f>IFERROR(IF(AND(tblTarget[[#This Row],[Intercluser Severity]]=4,tblTarget[[#This Row],[Qualifies for exception]]="Flagged",(tblTarget[[#This Row],[Cluster Target]]-tblTarget[[#This Row],[2024 Response capacity up to December]])/tblTarget[[#This Row],[Cluster Target]]&gt;Diff_severity4),"Flagged",""),"No target")</f>
        <v>Flagged</v>
      </c>
      <c r="AM102" s="68" t="str">
        <f>IFERROR(IF(AND(tblTarget[[#This Row],[Intercluser Severity]]=3,tblTarget[[#This Row],[Qualifies for exception]]="Flagged",(tblTarget[[#This Row],[Cluster Target]]-tblTarget[[#This Row],[2024 Response capacity up to December]])/tblTarget[[#This Row],[Cluster Target]]&gt;Diff_severity3),"Flagged",""),"No target")</f>
        <v/>
      </c>
      <c r="AN102" s="81" t="s">
        <v>1099</v>
      </c>
      <c r="AO102" s="81"/>
      <c r="AP102" s="81" t="s">
        <v>1099</v>
      </c>
      <c r="AQ102" s="81" t="s">
        <v>1107</v>
      </c>
    </row>
    <row r="103" spans="1:43" ht="15.95" customHeight="1" x14ac:dyDescent="0.2">
      <c r="A103" s="62" t="s">
        <v>540</v>
      </c>
      <c r="B103" s="63" t="s">
        <v>232</v>
      </c>
      <c r="C103" s="64" t="s">
        <v>233</v>
      </c>
      <c r="D103" s="63" t="s">
        <v>236</v>
      </c>
      <c r="E103" s="64" t="s">
        <v>237</v>
      </c>
      <c r="F103" s="65">
        <v>12850</v>
      </c>
      <c r="G103" s="66" t="s">
        <v>30</v>
      </c>
      <c r="H103" s="67">
        <v>5478</v>
      </c>
      <c r="I103" s="68">
        <v>3</v>
      </c>
      <c r="J103" s="68">
        <v>3</v>
      </c>
      <c r="K103" s="91">
        <v>0</v>
      </c>
      <c r="L103" s="91">
        <v>0</v>
      </c>
      <c r="M103" s="91">
        <v>0</v>
      </c>
      <c r="N103" s="91">
        <v>0</v>
      </c>
      <c r="O103" s="91">
        <v>0</v>
      </c>
      <c r="P103" s="91">
        <v>0</v>
      </c>
      <c r="Q103" s="85">
        <v>0</v>
      </c>
      <c r="R103" s="69" t="s">
        <v>15</v>
      </c>
      <c r="S103" s="86">
        <v>0</v>
      </c>
      <c r="T103" s="69">
        <v>0</v>
      </c>
      <c r="U103" s="68">
        <v>0</v>
      </c>
      <c r="V103" s="68">
        <v>0</v>
      </c>
      <c r="W103" s="68">
        <v>0</v>
      </c>
      <c r="X103" s="68">
        <v>0</v>
      </c>
      <c r="Y103" s="68">
        <v>0</v>
      </c>
      <c r="Z103" s="68">
        <v>0</v>
      </c>
      <c r="AA103" s="68">
        <v>0</v>
      </c>
      <c r="AB103" s="69">
        <v>0</v>
      </c>
      <c r="AC103" s="69">
        <v>0</v>
      </c>
      <c r="AD103" s="70">
        <f>IFERROR(tblTarget[[#This Row],[Cluster Target]]/tblTarget[[#This Row],[Cluster PiN]],0)</f>
        <v>0</v>
      </c>
      <c r="AE103" s="79">
        <f>_xlfn.XLOOKUP(tblTarget[[#This Row],[ID]],tblResponse[ID],tblResponse[2024 Projected reached (Dec 2024)])</f>
        <v>0</v>
      </c>
      <c r="AF103" s="79">
        <f>_xlfn.XLOOKUP(tblTarget[[#This Row],[ID]],tblResponse[ID],tblResponse[2024 Intercluster reached -August RPM])</f>
        <v>4514.7715405372655</v>
      </c>
      <c r="AG103" s="79">
        <v>1</v>
      </c>
      <c r="AH103" s="79"/>
      <c r="AI103" s="79"/>
      <c r="AJ103" s="70" t="str">
        <f>IF(tblTarget[[#This Row],[Target to PiN (%)]]&gt;Targ_vs_PiN,"Flagged","")</f>
        <v/>
      </c>
      <c r="AK103" s="69" t="str">
        <f>IF(AND(tblTarget[[#This Row],[Qualifies for exception]]="Flagged",tblTarget[[#This Row],[Target to PiN (%)]]&gt;Targ_severity5),"Flagged","")</f>
        <v/>
      </c>
      <c r="AL103" s="68" t="str">
        <f>IFERROR(IF(AND(tblTarget[[#This Row],[Intercluser Severity]]=4,tblTarget[[#This Row],[Qualifies for exception]]="Flagged",(tblTarget[[#This Row],[Cluster Target]]-tblTarget[[#This Row],[2024 Response capacity up to December]])/tblTarget[[#This Row],[Cluster Target]]&gt;Diff_severity4),"Flagged",""),"No target")</f>
        <v>No target</v>
      </c>
      <c r="AM103" s="68" t="str">
        <f>IFERROR(IF(AND(tblTarget[[#This Row],[Intercluser Severity]]=3,tblTarget[[#This Row],[Qualifies for exception]]="Flagged",(tblTarget[[#This Row],[Cluster Target]]-tblTarget[[#This Row],[2024 Response capacity up to December]])/tblTarget[[#This Row],[Cluster Target]]&gt;Diff_severity3),"Flagged",""),"No target")</f>
        <v>No target</v>
      </c>
      <c r="AN103" s="81" t="s">
        <v>1099</v>
      </c>
      <c r="AO103" s="81"/>
      <c r="AP103" s="81" t="s">
        <v>1099</v>
      </c>
      <c r="AQ103" s="81" t="s">
        <v>1107</v>
      </c>
    </row>
    <row r="104" spans="1:43" ht="15.95" hidden="1" customHeight="1" x14ac:dyDescent="0.2">
      <c r="A104" s="62" t="s">
        <v>541</v>
      </c>
      <c r="B104" s="63" t="s">
        <v>232</v>
      </c>
      <c r="C104" s="64" t="s">
        <v>233</v>
      </c>
      <c r="D104" s="63" t="s">
        <v>238</v>
      </c>
      <c r="E104" s="64" t="s">
        <v>239</v>
      </c>
      <c r="F104" s="65">
        <v>143680</v>
      </c>
      <c r="G104" s="66" t="s">
        <v>30</v>
      </c>
      <c r="H104" s="67">
        <v>85945</v>
      </c>
      <c r="I104" s="68">
        <v>4</v>
      </c>
      <c r="J104" s="68">
        <v>3</v>
      </c>
      <c r="K104" s="91">
        <v>10316.6</v>
      </c>
      <c r="L104" s="91">
        <v>5395.636201373617</v>
      </c>
      <c r="M104" s="91">
        <v>4920.9637986263842</v>
      </c>
      <c r="N104" s="91">
        <v>5158.3</v>
      </c>
      <c r="O104" s="91">
        <v>4539.3040000000001</v>
      </c>
      <c r="P104" s="91">
        <v>618.99599999999998</v>
      </c>
      <c r="Q104" s="85">
        <v>1547.49</v>
      </c>
      <c r="R104" s="69" t="s">
        <v>1107</v>
      </c>
      <c r="S104" s="86">
        <v>1486</v>
      </c>
      <c r="T104" s="69">
        <v>371</v>
      </c>
      <c r="U104" s="68">
        <v>0</v>
      </c>
      <c r="V104" s="68">
        <v>0</v>
      </c>
      <c r="W104" s="68">
        <v>103</v>
      </c>
      <c r="X104" s="68">
        <v>206</v>
      </c>
      <c r="Y104" s="68">
        <v>619</v>
      </c>
      <c r="Z104" s="68">
        <v>103</v>
      </c>
      <c r="AA104" s="68">
        <v>0</v>
      </c>
      <c r="AB104" s="69">
        <v>0</v>
      </c>
      <c r="AC104" s="69">
        <v>0</v>
      </c>
      <c r="AD104" s="70">
        <f>IFERROR(tblTarget[[#This Row],[Cluster Target]]/tblTarget[[#This Row],[Cluster PiN]],0)</f>
        <v>0.12003723311420095</v>
      </c>
      <c r="AE104" s="79">
        <f>_xlfn.XLOOKUP(tblTarget[[#This Row],[ID]],tblResponse[ID],tblResponse[2024 Projected reached (Dec 2024)])</f>
        <v>0</v>
      </c>
      <c r="AF104" s="79">
        <f>_xlfn.XLOOKUP(tblTarget[[#This Row],[ID]],tblResponse[ID],tblResponse[2024 Intercluster reached -August RPM])</f>
        <v>58261.052300505151</v>
      </c>
      <c r="AG104" s="79">
        <v>4</v>
      </c>
      <c r="AH104" s="79"/>
      <c r="AI104" s="79"/>
      <c r="AJ104" s="70" t="str">
        <f>IF(tblTarget[[#This Row],[Target to PiN (%)]]&gt;Targ_vs_PiN,"Flagged","")</f>
        <v/>
      </c>
      <c r="AK104" s="69" t="str">
        <f>IF(AND(tblTarget[[#This Row],[Qualifies for exception]]="Flagged",tblTarget[[#This Row],[Target to PiN (%)]]&gt;Targ_severity5),"Flagged","")</f>
        <v/>
      </c>
      <c r="AL104" s="68" t="str">
        <f>IFERROR(IF(AND(tblTarget[[#This Row],[Intercluser Severity]]=4,tblTarget[[#This Row],[Qualifies for exception]]="Flagged",(tblTarget[[#This Row],[Cluster Target]]-tblTarget[[#This Row],[2024 Response capacity up to December]])/tblTarget[[#This Row],[Cluster Target]]&gt;Diff_severity4),"Flagged",""),"No target")</f>
        <v/>
      </c>
      <c r="AM104" s="68" t="str">
        <f>IFERROR(IF(AND(tblTarget[[#This Row],[Intercluser Severity]]=3,tblTarget[[#This Row],[Qualifies for exception]]="Flagged",(tblTarget[[#This Row],[Cluster Target]]-tblTarget[[#This Row],[2024 Response capacity up to December]])/tblTarget[[#This Row],[Cluster Target]]&gt;Diff_severity3),"Flagged",""),"No target")</f>
        <v>Flagged</v>
      </c>
      <c r="AN104" s="81" t="s">
        <v>1099</v>
      </c>
      <c r="AO104" s="81"/>
      <c r="AP104" s="81" t="s">
        <v>1099</v>
      </c>
      <c r="AQ104" s="81" t="s">
        <v>1107</v>
      </c>
    </row>
    <row r="105" spans="1:43" ht="15.95" hidden="1" customHeight="1" x14ac:dyDescent="0.2">
      <c r="A105" s="62" t="s">
        <v>542</v>
      </c>
      <c r="B105" s="63" t="s">
        <v>232</v>
      </c>
      <c r="C105" s="64" t="s">
        <v>233</v>
      </c>
      <c r="D105" s="63" t="s">
        <v>240</v>
      </c>
      <c r="E105" s="64" t="s">
        <v>241</v>
      </c>
      <c r="F105" s="65">
        <v>212484</v>
      </c>
      <c r="G105" s="66" t="s">
        <v>30</v>
      </c>
      <c r="H105" s="67">
        <v>89755</v>
      </c>
      <c r="I105" s="68">
        <v>3</v>
      </c>
      <c r="J105" s="68">
        <v>3</v>
      </c>
      <c r="K105" s="91">
        <v>2703.2000000000003</v>
      </c>
      <c r="L105" s="91">
        <v>1423.8963942829682</v>
      </c>
      <c r="M105" s="91">
        <v>1279.303605717032</v>
      </c>
      <c r="N105" s="91">
        <v>1351.6000000000001</v>
      </c>
      <c r="O105" s="91">
        <v>1189.4080000000001</v>
      </c>
      <c r="P105" s="91">
        <v>162.19200000000001</v>
      </c>
      <c r="Q105" s="85">
        <v>405.48</v>
      </c>
      <c r="R105" s="69" t="s">
        <v>1107</v>
      </c>
      <c r="S105" s="86">
        <v>389</v>
      </c>
      <c r="T105" s="69">
        <v>97</v>
      </c>
      <c r="U105" s="68">
        <v>0</v>
      </c>
      <c r="V105" s="68">
        <v>0</v>
      </c>
      <c r="W105" s="68">
        <v>27</v>
      </c>
      <c r="X105" s="68">
        <v>54</v>
      </c>
      <c r="Y105" s="68">
        <v>162</v>
      </c>
      <c r="Z105" s="68">
        <v>27</v>
      </c>
      <c r="AA105" s="68">
        <v>0</v>
      </c>
      <c r="AB105" s="69">
        <v>0</v>
      </c>
      <c r="AC105" s="69">
        <v>0</v>
      </c>
      <c r="AD105" s="70">
        <f>IFERROR(tblTarget[[#This Row],[Cluster Target]]/tblTarget[[#This Row],[Cluster PiN]],0)</f>
        <v>3.011754219820623E-2</v>
      </c>
      <c r="AE105" s="79">
        <f>_xlfn.XLOOKUP(tblTarget[[#This Row],[ID]],tblResponse[ID],tblResponse[2024 Projected reached (Dec 2024)])</f>
        <v>0</v>
      </c>
      <c r="AF105" s="79">
        <f>_xlfn.XLOOKUP(tblTarget[[#This Row],[ID]],tblResponse[ID],tblResponse[2024 Intercluster reached -August RPM])</f>
        <v>48970.543810377399</v>
      </c>
      <c r="AG105" s="79">
        <v>6</v>
      </c>
      <c r="AH105" s="79"/>
      <c r="AI105" s="79"/>
      <c r="AJ105" s="70" t="str">
        <f>IF(tblTarget[[#This Row],[Target to PiN (%)]]&gt;Targ_vs_PiN,"Flagged","")</f>
        <v/>
      </c>
      <c r="AK105" s="69" t="str">
        <f>IF(AND(tblTarget[[#This Row],[Qualifies for exception]]="Flagged",tblTarget[[#This Row],[Target to PiN (%)]]&gt;Targ_severity5),"Flagged","")</f>
        <v/>
      </c>
      <c r="AL105" s="68" t="str">
        <f>IFERROR(IF(AND(tblTarget[[#This Row],[Intercluser Severity]]=4,tblTarget[[#This Row],[Qualifies for exception]]="Flagged",(tblTarget[[#This Row],[Cluster Target]]-tblTarget[[#This Row],[2024 Response capacity up to December]])/tblTarget[[#This Row],[Cluster Target]]&gt;Diff_severity4),"Flagged",""),"No target")</f>
        <v/>
      </c>
      <c r="AM105" s="68" t="str">
        <f>IFERROR(IF(AND(tblTarget[[#This Row],[Intercluser Severity]]=3,tblTarget[[#This Row],[Qualifies for exception]]="Flagged",(tblTarget[[#This Row],[Cluster Target]]-tblTarget[[#This Row],[2024 Response capacity up to December]])/tblTarget[[#This Row],[Cluster Target]]&gt;Diff_severity3),"Flagged",""),"No target")</f>
        <v>Flagged</v>
      </c>
      <c r="AN105" s="81" t="s">
        <v>1099</v>
      </c>
      <c r="AO105" s="81"/>
      <c r="AP105" s="81" t="s">
        <v>1099</v>
      </c>
      <c r="AQ105" s="81" t="s">
        <v>1107</v>
      </c>
    </row>
    <row r="106" spans="1:43" ht="15.95" hidden="1" customHeight="1" x14ac:dyDescent="0.2">
      <c r="A106" s="62" t="s">
        <v>543</v>
      </c>
      <c r="B106" s="63" t="s">
        <v>232</v>
      </c>
      <c r="C106" s="64" t="s">
        <v>233</v>
      </c>
      <c r="D106" s="63" t="s">
        <v>242</v>
      </c>
      <c r="E106" s="64" t="s">
        <v>243</v>
      </c>
      <c r="F106" s="65">
        <v>19380</v>
      </c>
      <c r="G106" s="66" t="s">
        <v>30</v>
      </c>
      <c r="H106" s="67">
        <v>5926</v>
      </c>
      <c r="I106" s="68">
        <v>3</v>
      </c>
      <c r="J106" s="68">
        <v>3</v>
      </c>
      <c r="K106" s="91">
        <v>118.60000000000001</v>
      </c>
      <c r="L106" s="91">
        <v>62.707878258213412</v>
      </c>
      <c r="M106" s="91">
        <v>55.892121741786589</v>
      </c>
      <c r="N106" s="91">
        <v>59.300000000000004</v>
      </c>
      <c r="O106" s="91">
        <v>52.184000000000005</v>
      </c>
      <c r="P106" s="91">
        <v>7.1160000000000005</v>
      </c>
      <c r="Q106" s="85">
        <v>17.79</v>
      </c>
      <c r="R106" s="69" t="s">
        <v>1107</v>
      </c>
      <c r="S106" s="86">
        <v>17</v>
      </c>
      <c r="T106" s="69">
        <v>4</v>
      </c>
      <c r="U106" s="68">
        <v>0</v>
      </c>
      <c r="V106" s="68">
        <v>0</v>
      </c>
      <c r="W106" s="68">
        <v>1</v>
      </c>
      <c r="X106" s="68">
        <v>2</v>
      </c>
      <c r="Y106" s="68">
        <v>7</v>
      </c>
      <c r="Z106" s="68">
        <v>1</v>
      </c>
      <c r="AA106" s="68">
        <v>0</v>
      </c>
      <c r="AB106" s="69">
        <v>0</v>
      </c>
      <c r="AC106" s="69">
        <v>0</v>
      </c>
      <c r="AD106" s="70">
        <f>IFERROR(tblTarget[[#This Row],[Cluster Target]]/tblTarget[[#This Row],[Cluster PiN]],0)</f>
        <v>2.0013499831252109E-2</v>
      </c>
      <c r="AE106" s="79">
        <f>_xlfn.XLOOKUP(tblTarget[[#This Row],[ID]],tblResponse[ID],tblResponse[2024 Projected reached (Dec 2024)])</f>
        <v>0</v>
      </c>
      <c r="AF106" s="79">
        <f>_xlfn.XLOOKUP(tblTarget[[#This Row],[ID]],tblResponse[ID],tblResponse[2024 Intercluster reached -August RPM])</f>
        <v>5177.3298310825612</v>
      </c>
      <c r="AG106" s="79">
        <v>3</v>
      </c>
      <c r="AH106" s="79"/>
      <c r="AI106" s="79"/>
      <c r="AJ106" s="70" t="str">
        <f>IF(tblTarget[[#This Row],[Target to PiN (%)]]&gt;Targ_vs_PiN,"Flagged","")</f>
        <v/>
      </c>
      <c r="AK106" s="69" t="str">
        <f>IF(AND(tblTarget[[#This Row],[Qualifies for exception]]="Flagged",tblTarget[[#This Row],[Target to PiN (%)]]&gt;Targ_severity5),"Flagged","")</f>
        <v/>
      </c>
      <c r="AL106" s="68" t="str">
        <f>IFERROR(IF(AND(tblTarget[[#This Row],[Intercluser Severity]]=4,tblTarget[[#This Row],[Qualifies for exception]]="Flagged",(tblTarget[[#This Row],[Cluster Target]]-tblTarget[[#This Row],[2024 Response capacity up to December]])/tblTarget[[#This Row],[Cluster Target]]&gt;Diff_severity4),"Flagged",""),"No target")</f>
        <v/>
      </c>
      <c r="AM106" s="68" t="str">
        <f>IFERROR(IF(AND(tblTarget[[#This Row],[Intercluser Severity]]=3,tblTarget[[#This Row],[Qualifies for exception]]="Flagged",(tblTarget[[#This Row],[Cluster Target]]-tblTarget[[#This Row],[2024 Response capacity up to December]])/tblTarget[[#This Row],[Cluster Target]]&gt;Diff_severity3),"Flagged",""),"No target")</f>
        <v>Flagged</v>
      </c>
      <c r="AN106" s="81" t="s">
        <v>1099</v>
      </c>
      <c r="AO106" s="81"/>
      <c r="AP106" s="81" t="s">
        <v>1099</v>
      </c>
      <c r="AQ106" s="81" t="s">
        <v>1107</v>
      </c>
    </row>
    <row r="107" spans="1:43" ht="15.95" hidden="1" customHeight="1" x14ac:dyDescent="0.2">
      <c r="A107" s="62" t="s">
        <v>544</v>
      </c>
      <c r="B107" s="63" t="s">
        <v>232</v>
      </c>
      <c r="C107" s="64" t="s">
        <v>233</v>
      </c>
      <c r="D107" s="63" t="s">
        <v>244</v>
      </c>
      <c r="E107" s="64" t="s">
        <v>245</v>
      </c>
      <c r="F107" s="65">
        <v>0</v>
      </c>
      <c r="G107" s="66" t="s">
        <v>30</v>
      </c>
      <c r="H107" s="67">
        <v>0</v>
      </c>
      <c r="I107" s="68">
        <v>3</v>
      </c>
      <c r="J107" s="68">
        <v>3</v>
      </c>
      <c r="K107" s="91">
        <v>0</v>
      </c>
      <c r="L107" s="91">
        <v>0</v>
      </c>
      <c r="M107" s="91">
        <v>0</v>
      </c>
      <c r="N107" s="91">
        <v>0</v>
      </c>
      <c r="O107" s="91">
        <v>0</v>
      </c>
      <c r="P107" s="91">
        <v>0</v>
      </c>
      <c r="Q107" s="85">
        <v>0</v>
      </c>
      <c r="R107" s="69" t="s">
        <v>1107</v>
      </c>
      <c r="S107" s="86">
        <v>0</v>
      </c>
      <c r="T107" s="69">
        <v>0</v>
      </c>
      <c r="U107" s="68">
        <v>0</v>
      </c>
      <c r="V107" s="68">
        <v>0</v>
      </c>
      <c r="W107" s="68">
        <v>0</v>
      </c>
      <c r="X107" s="68">
        <v>0</v>
      </c>
      <c r="Y107" s="68">
        <v>0</v>
      </c>
      <c r="Z107" s="68">
        <v>0</v>
      </c>
      <c r="AA107" s="68">
        <v>0</v>
      </c>
      <c r="AB107" s="69">
        <v>0</v>
      </c>
      <c r="AC107" s="69">
        <v>0</v>
      </c>
      <c r="AD107" s="70">
        <f>IFERROR(tblTarget[[#This Row],[Cluster Target]]/tblTarget[[#This Row],[Cluster PiN]],0)</f>
        <v>0</v>
      </c>
      <c r="AE107" s="79">
        <f>_xlfn.XLOOKUP(tblTarget[[#This Row],[ID]],tblResponse[ID],tblResponse[2024 Projected reached (Dec 2024)])</f>
        <v>0</v>
      </c>
      <c r="AF107" s="79">
        <f>_xlfn.XLOOKUP(tblTarget[[#This Row],[ID]],tblResponse[ID],tblResponse[2024 Intercluster reached -August RPM])</f>
        <v>32897.03360236514</v>
      </c>
      <c r="AG107" s="79">
        <v>4</v>
      </c>
      <c r="AH107" s="79"/>
      <c r="AI107" s="79"/>
      <c r="AJ107" s="70" t="str">
        <f>IF(tblTarget[[#This Row],[Target to PiN (%)]]&gt;Targ_vs_PiN,"Flagged","")</f>
        <v/>
      </c>
      <c r="AK107" s="69" t="str">
        <f>IF(AND(tblTarget[[#This Row],[Qualifies for exception]]="Flagged",tblTarget[[#This Row],[Target to PiN (%)]]&gt;Targ_severity5),"Flagged","")</f>
        <v/>
      </c>
      <c r="AL107" s="68" t="str">
        <f>IFERROR(IF(AND(tblTarget[[#This Row],[Intercluser Severity]]=4,tblTarget[[#This Row],[Qualifies for exception]]="Flagged",(tblTarget[[#This Row],[Cluster Target]]-tblTarget[[#This Row],[2024 Response capacity up to December]])/tblTarget[[#This Row],[Cluster Target]]&gt;Diff_severity4),"Flagged",""),"No target")</f>
        <v>No target</v>
      </c>
      <c r="AM107" s="68" t="str">
        <f>IFERROR(IF(AND(tblTarget[[#This Row],[Intercluser Severity]]=3,tblTarget[[#This Row],[Qualifies for exception]]="Flagged",(tblTarget[[#This Row],[Cluster Target]]-tblTarget[[#This Row],[2024 Response capacity up to December]])/tblTarget[[#This Row],[Cluster Target]]&gt;Diff_severity3),"Flagged",""),"No target")</f>
        <v>No target</v>
      </c>
      <c r="AN107" s="81" t="s">
        <v>1099</v>
      </c>
      <c r="AO107" s="81"/>
      <c r="AP107" s="81" t="s">
        <v>1099</v>
      </c>
      <c r="AQ107" s="81" t="s">
        <v>1107</v>
      </c>
    </row>
    <row r="108" spans="1:43" ht="15.95" hidden="1" customHeight="1" x14ac:dyDescent="0.2">
      <c r="A108" s="62" t="s">
        <v>545</v>
      </c>
      <c r="B108" s="63" t="s">
        <v>232</v>
      </c>
      <c r="C108" s="64" t="s">
        <v>233</v>
      </c>
      <c r="D108" s="63" t="s">
        <v>246</v>
      </c>
      <c r="E108" s="64" t="s">
        <v>247</v>
      </c>
      <c r="F108" s="65">
        <v>16497</v>
      </c>
      <c r="G108" s="66" t="s">
        <v>30</v>
      </c>
      <c r="H108" s="67">
        <v>9643</v>
      </c>
      <c r="I108" s="68">
        <v>3</v>
      </c>
      <c r="J108" s="68">
        <v>4</v>
      </c>
      <c r="K108" s="91">
        <v>99.2</v>
      </c>
      <c r="L108" s="91">
        <v>51.318227634660417</v>
      </c>
      <c r="M108" s="91">
        <v>47.881772365339579</v>
      </c>
      <c r="N108" s="91">
        <v>49.6</v>
      </c>
      <c r="O108" s="91">
        <v>43.648000000000003</v>
      </c>
      <c r="P108" s="91">
        <v>5.952</v>
      </c>
      <c r="Q108" s="85">
        <v>14.879999999999999</v>
      </c>
      <c r="R108" s="69" t="s">
        <v>1107</v>
      </c>
      <c r="S108" s="86">
        <v>14</v>
      </c>
      <c r="T108" s="69">
        <v>4</v>
      </c>
      <c r="U108" s="68">
        <v>0</v>
      </c>
      <c r="V108" s="68">
        <v>0</v>
      </c>
      <c r="W108" s="68">
        <v>1</v>
      </c>
      <c r="X108" s="68">
        <v>2</v>
      </c>
      <c r="Y108" s="68">
        <v>6</v>
      </c>
      <c r="Z108" s="68">
        <v>1</v>
      </c>
      <c r="AA108" s="68">
        <v>0</v>
      </c>
      <c r="AB108" s="69">
        <v>0</v>
      </c>
      <c r="AC108" s="69">
        <v>0</v>
      </c>
      <c r="AD108" s="70">
        <f>IFERROR(tblTarget[[#This Row],[Cluster Target]]/tblTarget[[#This Row],[Cluster PiN]],0)</f>
        <v>1.0287255003629576E-2</v>
      </c>
      <c r="AE108" s="79">
        <f>_xlfn.XLOOKUP(tblTarget[[#This Row],[ID]],tblResponse[ID],tblResponse[2024 Projected reached (Dec 2024)])</f>
        <v>0</v>
      </c>
      <c r="AF108" s="79">
        <f>_xlfn.XLOOKUP(tblTarget[[#This Row],[ID]],tblResponse[ID],tblResponse[2024 Intercluster reached -August RPM])</f>
        <v>7048.8646011022702</v>
      </c>
      <c r="AG108" s="79">
        <v>1</v>
      </c>
      <c r="AH108" s="79"/>
      <c r="AI108" s="79"/>
      <c r="AJ108" s="70" t="str">
        <f>IF(tblTarget[[#This Row],[Target to PiN (%)]]&gt;Targ_vs_PiN,"Flagged","")</f>
        <v/>
      </c>
      <c r="AK108" s="69" t="str">
        <f>IF(AND(tblTarget[[#This Row],[Qualifies for exception]]="Flagged",tblTarget[[#This Row],[Target to PiN (%)]]&gt;Targ_severity5),"Flagged","")</f>
        <v/>
      </c>
      <c r="AL108" s="68" t="str">
        <f>IFERROR(IF(AND(tblTarget[[#This Row],[Intercluser Severity]]=4,tblTarget[[#This Row],[Qualifies for exception]]="Flagged",(tblTarget[[#This Row],[Cluster Target]]-tblTarget[[#This Row],[2024 Response capacity up to December]])/tblTarget[[#This Row],[Cluster Target]]&gt;Diff_severity4),"Flagged",""),"No target")</f>
        <v>Flagged</v>
      </c>
      <c r="AM108" s="68" t="str">
        <f>IFERROR(IF(AND(tblTarget[[#This Row],[Intercluser Severity]]=3,tblTarget[[#This Row],[Qualifies for exception]]="Flagged",(tblTarget[[#This Row],[Cluster Target]]-tblTarget[[#This Row],[2024 Response capacity up to December]])/tblTarget[[#This Row],[Cluster Target]]&gt;Diff_severity3),"Flagged",""),"No target")</f>
        <v/>
      </c>
      <c r="AN108" s="81" t="s">
        <v>1099</v>
      </c>
      <c r="AO108" s="81"/>
      <c r="AP108" s="81" t="s">
        <v>1099</v>
      </c>
      <c r="AQ108" s="81" t="s">
        <v>1107</v>
      </c>
    </row>
    <row r="109" spans="1:43" ht="15.95" hidden="1" customHeight="1" x14ac:dyDescent="0.2">
      <c r="A109" s="62" t="s">
        <v>546</v>
      </c>
      <c r="B109" s="63" t="s">
        <v>232</v>
      </c>
      <c r="C109" s="64" t="s">
        <v>233</v>
      </c>
      <c r="D109" s="63" t="s">
        <v>248</v>
      </c>
      <c r="E109" s="64" t="s">
        <v>249</v>
      </c>
      <c r="F109" s="65">
        <v>225999</v>
      </c>
      <c r="G109" s="66" t="s">
        <v>30</v>
      </c>
      <c r="H109" s="67">
        <v>184424</v>
      </c>
      <c r="I109" s="68">
        <v>4</v>
      </c>
      <c r="J109" s="68">
        <v>4</v>
      </c>
      <c r="K109" s="91">
        <v>13059.400000000001</v>
      </c>
      <c r="L109" s="91">
        <v>6777.0951086556315</v>
      </c>
      <c r="M109" s="91">
        <v>6282.304891344369</v>
      </c>
      <c r="N109" s="91">
        <v>6529.7000000000007</v>
      </c>
      <c r="O109" s="91">
        <v>5746.1360000000004</v>
      </c>
      <c r="P109" s="91">
        <v>783.56400000000008</v>
      </c>
      <c r="Q109" s="85">
        <v>1958.91</v>
      </c>
      <c r="R109" s="69" t="s">
        <v>1107</v>
      </c>
      <c r="S109" s="86">
        <v>1881</v>
      </c>
      <c r="T109" s="69">
        <v>470</v>
      </c>
      <c r="U109" s="68">
        <v>0</v>
      </c>
      <c r="V109" s="68">
        <v>0</v>
      </c>
      <c r="W109" s="68">
        <v>131</v>
      </c>
      <c r="X109" s="68">
        <v>261</v>
      </c>
      <c r="Y109" s="68">
        <v>784</v>
      </c>
      <c r="Z109" s="68">
        <v>131</v>
      </c>
      <c r="AA109" s="68">
        <v>0</v>
      </c>
      <c r="AB109" s="69">
        <v>0</v>
      </c>
      <c r="AC109" s="69">
        <v>0</v>
      </c>
      <c r="AD109" s="70">
        <f>IFERROR(tblTarget[[#This Row],[Cluster Target]]/tblTarget[[#This Row],[Cluster PiN]],0)</f>
        <v>7.0811824925172434E-2</v>
      </c>
      <c r="AE109" s="79">
        <f>_xlfn.XLOOKUP(tblTarget[[#This Row],[ID]],tblResponse[ID],tblResponse[2024 Projected reached (Dec 2024)])</f>
        <v>0</v>
      </c>
      <c r="AF109" s="79">
        <f>_xlfn.XLOOKUP(tblTarget[[#This Row],[ID]],tblResponse[ID],tblResponse[2024 Intercluster reached -August RPM])</f>
        <v>37369.127153754293</v>
      </c>
      <c r="AG109" s="79">
        <v>3</v>
      </c>
      <c r="AH109" s="79"/>
      <c r="AI109" s="79"/>
      <c r="AJ109" s="70" t="str">
        <f>IF(tblTarget[[#This Row],[Target to PiN (%)]]&gt;Targ_vs_PiN,"Flagged","")</f>
        <v/>
      </c>
      <c r="AK109" s="69" t="str">
        <f>IF(AND(tblTarget[[#This Row],[Qualifies for exception]]="Flagged",tblTarget[[#This Row],[Target to PiN (%)]]&gt;Targ_severity5),"Flagged","")</f>
        <v/>
      </c>
      <c r="AL109" s="68" t="str">
        <f>IFERROR(IF(AND(tblTarget[[#This Row],[Intercluser Severity]]=4,tblTarget[[#This Row],[Qualifies for exception]]="Flagged",(tblTarget[[#This Row],[Cluster Target]]-tblTarget[[#This Row],[2024 Response capacity up to December]])/tblTarget[[#This Row],[Cluster Target]]&gt;Diff_severity4),"Flagged",""),"No target")</f>
        <v>Flagged</v>
      </c>
      <c r="AM109" s="68" t="str">
        <f>IFERROR(IF(AND(tblTarget[[#This Row],[Intercluser Severity]]=3,tblTarget[[#This Row],[Qualifies for exception]]="Flagged",(tblTarget[[#This Row],[Cluster Target]]-tblTarget[[#This Row],[2024 Response capacity up to December]])/tblTarget[[#This Row],[Cluster Target]]&gt;Diff_severity3),"Flagged",""),"No target")</f>
        <v/>
      </c>
      <c r="AN109" s="81" t="s">
        <v>1099</v>
      </c>
      <c r="AO109" s="81"/>
      <c r="AP109" s="81" t="s">
        <v>1099</v>
      </c>
      <c r="AQ109" s="81" t="s">
        <v>1107</v>
      </c>
    </row>
    <row r="110" spans="1:43" ht="15.95" hidden="1" customHeight="1" x14ac:dyDescent="0.2">
      <c r="A110" s="62" t="s">
        <v>547</v>
      </c>
      <c r="B110" s="63" t="s">
        <v>232</v>
      </c>
      <c r="C110" s="64" t="s">
        <v>233</v>
      </c>
      <c r="D110" s="63" t="s">
        <v>250</v>
      </c>
      <c r="E110" s="64" t="s">
        <v>251</v>
      </c>
      <c r="F110" s="65">
        <v>26540</v>
      </c>
      <c r="G110" s="66" t="s">
        <v>30</v>
      </c>
      <c r="H110" s="67">
        <v>16883</v>
      </c>
      <c r="I110" s="68">
        <v>3</v>
      </c>
      <c r="J110" s="68">
        <v>4</v>
      </c>
      <c r="K110" s="91">
        <v>167.8</v>
      </c>
      <c r="L110" s="91">
        <v>87.013500168061853</v>
      </c>
      <c r="M110" s="91">
        <v>80.786499831938158</v>
      </c>
      <c r="N110" s="91">
        <v>83.9</v>
      </c>
      <c r="O110" s="91">
        <v>73.832000000000008</v>
      </c>
      <c r="P110" s="91">
        <v>10.068</v>
      </c>
      <c r="Q110" s="85">
        <v>25.17</v>
      </c>
      <c r="R110" s="69" t="s">
        <v>1107</v>
      </c>
      <c r="S110" s="86">
        <v>24</v>
      </c>
      <c r="T110" s="69">
        <v>6</v>
      </c>
      <c r="U110" s="68">
        <v>0</v>
      </c>
      <c r="V110" s="68">
        <v>0</v>
      </c>
      <c r="W110" s="68">
        <v>2</v>
      </c>
      <c r="X110" s="68">
        <v>3</v>
      </c>
      <c r="Y110" s="68">
        <v>10</v>
      </c>
      <c r="Z110" s="68">
        <v>2</v>
      </c>
      <c r="AA110" s="68">
        <v>0</v>
      </c>
      <c r="AB110" s="69">
        <v>0</v>
      </c>
      <c r="AC110" s="69">
        <v>0</v>
      </c>
      <c r="AD110" s="70">
        <f>IFERROR(tblTarget[[#This Row],[Cluster Target]]/tblTarget[[#This Row],[Cluster PiN]],0)</f>
        <v>9.9389918853284367E-3</v>
      </c>
      <c r="AE110" s="79">
        <f>_xlfn.XLOOKUP(tblTarget[[#This Row],[ID]],tblResponse[ID],tblResponse[2024 Projected reached (Dec 2024)])</f>
        <v>0</v>
      </c>
      <c r="AF110" s="79">
        <f>_xlfn.XLOOKUP(tblTarget[[#This Row],[ID]],tblResponse[ID],tblResponse[2024 Intercluster reached -August RPM])</f>
        <v>35682.29712365428</v>
      </c>
      <c r="AG110" s="79">
        <v>1</v>
      </c>
      <c r="AH110" s="79"/>
      <c r="AI110" s="79"/>
      <c r="AJ110" s="70" t="str">
        <f>IF(tblTarget[[#This Row],[Target to PiN (%)]]&gt;Targ_vs_PiN,"Flagged","")</f>
        <v/>
      </c>
      <c r="AK110" s="69" t="str">
        <f>IF(AND(tblTarget[[#This Row],[Qualifies for exception]]="Flagged",tblTarget[[#This Row],[Target to PiN (%)]]&gt;Targ_severity5),"Flagged","")</f>
        <v/>
      </c>
      <c r="AL110" s="68" t="str">
        <f>IFERROR(IF(AND(tblTarget[[#This Row],[Intercluser Severity]]=4,tblTarget[[#This Row],[Qualifies for exception]]="Flagged",(tblTarget[[#This Row],[Cluster Target]]-tblTarget[[#This Row],[2024 Response capacity up to December]])/tblTarget[[#This Row],[Cluster Target]]&gt;Diff_severity4),"Flagged",""),"No target")</f>
        <v>Flagged</v>
      </c>
      <c r="AM110" s="68" t="str">
        <f>IFERROR(IF(AND(tblTarget[[#This Row],[Intercluser Severity]]=3,tblTarget[[#This Row],[Qualifies for exception]]="Flagged",(tblTarget[[#This Row],[Cluster Target]]-tblTarget[[#This Row],[2024 Response capacity up to December]])/tblTarget[[#This Row],[Cluster Target]]&gt;Diff_severity3),"Flagged",""),"No target")</f>
        <v/>
      </c>
      <c r="AN110" s="81" t="s">
        <v>1099</v>
      </c>
      <c r="AO110" s="81"/>
      <c r="AP110" s="81" t="s">
        <v>1099</v>
      </c>
      <c r="AQ110" s="81" t="s">
        <v>1107</v>
      </c>
    </row>
    <row r="111" spans="1:43" ht="15.95" hidden="1" customHeight="1" x14ac:dyDescent="0.2">
      <c r="A111" s="62" t="s">
        <v>548</v>
      </c>
      <c r="B111" s="63" t="s">
        <v>252</v>
      </c>
      <c r="C111" s="64" t="s">
        <v>253</v>
      </c>
      <c r="D111" s="63" t="s">
        <v>254</v>
      </c>
      <c r="E111" s="64" t="s">
        <v>255</v>
      </c>
      <c r="F111" s="65">
        <v>1160</v>
      </c>
      <c r="G111" s="66" t="s">
        <v>30</v>
      </c>
      <c r="H111" s="67">
        <v>777</v>
      </c>
      <c r="I111" s="68">
        <v>3</v>
      </c>
      <c r="J111" s="68">
        <v>3</v>
      </c>
      <c r="K111" s="91">
        <v>85.4</v>
      </c>
      <c r="L111" s="91">
        <v>39.008843028505098</v>
      </c>
      <c r="M111" s="91">
        <v>46.391156971494908</v>
      </c>
      <c r="N111" s="91">
        <v>42.7</v>
      </c>
      <c r="O111" s="91">
        <v>37.576000000000001</v>
      </c>
      <c r="P111" s="91">
        <v>5.1240000000000006</v>
      </c>
      <c r="Q111" s="85">
        <v>12.81</v>
      </c>
      <c r="R111" s="69" t="s">
        <v>1107</v>
      </c>
      <c r="S111" s="86">
        <v>12</v>
      </c>
      <c r="T111" s="69">
        <v>3</v>
      </c>
      <c r="U111" s="68">
        <v>0</v>
      </c>
      <c r="V111" s="68">
        <v>0</v>
      </c>
      <c r="W111" s="68">
        <v>1</v>
      </c>
      <c r="X111" s="68">
        <v>2</v>
      </c>
      <c r="Y111" s="68">
        <v>5</v>
      </c>
      <c r="Z111" s="68">
        <v>1</v>
      </c>
      <c r="AA111" s="68">
        <v>0</v>
      </c>
      <c r="AB111" s="69">
        <v>0</v>
      </c>
      <c r="AC111" s="69">
        <v>0</v>
      </c>
      <c r="AD111" s="70">
        <f>IFERROR(tblTarget[[#This Row],[Cluster Target]]/tblTarget[[#This Row],[Cluster PiN]],0)</f>
        <v>0.10990990990990991</v>
      </c>
      <c r="AE111" s="79">
        <f>_xlfn.XLOOKUP(tblTarget[[#This Row],[ID]],tblResponse[ID],tblResponse[2024 Projected reached (Dec 2024)])</f>
        <v>0</v>
      </c>
      <c r="AF111" s="79">
        <f>_xlfn.XLOOKUP(tblTarget[[#This Row],[ID]],tblResponse[ID],tblResponse[2024 Intercluster reached -August RPM])</f>
        <v>21318.005399065627</v>
      </c>
      <c r="AG111" s="79">
        <v>1</v>
      </c>
      <c r="AH111" s="79"/>
      <c r="AI111" s="79"/>
      <c r="AJ111" s="70" t="str">
        <f>IF(tblTarget[[#This Row],[Target to PiN (%)]]&gt;Targ_vs_PiN,"Flagged","")</f>
        <v/>
      </c>
      <c r="AK111" s="69" t="str">
        <f>IF(AND(tblTarget[[#This Row],[Qualifies for exception]]="Flagged",tblTarget[[#This Row],[Target to PiN (%)]]&gt;Targ_severity5),"Flagged","")</f>
        <v/>
      </c>
      <c r="AL111" s="68" t="str">
        <f>IFERROR(IF(AND(tblTarget[[#This Row],[Intercluser Severity]]=4,tblTarget[[#This Row],[Qualifies for exception]]="Flagged",(tblTarget[[#This Row],[Cluster Target]]-tblTarget[[#This Row],[2024 Response capacity up to December]])/tblTarget[[#This Row],[Cluster Target]]&gt;Diff_severity4),"Flagged",""),"No target")</f>
        <v/>
      </c>
      <c r="AM111" s="68" t="str">
        <f>IFERROR(IF(AND(tblTarget[[#This Row],[Intercluser Severity]]=3,tblTarget[[#This Row],[Qualifies for exception]]="Flagged",(tblTarget[[#This Row],[Cluster Target]]-tblTarget[[#This Row],[2024 Response capacity up to December]])/tblTarget[[#This Row],[Cluster Target]]&gt;Diff_severity3),"Flagged",""),"No target")</f>
        <v>Flagged</v>
      </c>
      <c r="AN111" s="81" t="s">
        <v>1099</v>
      </c>
      <c r="AO111" s="81"/>
      <c r="AP111" s="81" t="s">
        <v>1099</v>
      </c>
      <c r="AQ111" s="81" t="s">
        <v>1107</v>
      </c>
    </row>
    <row r="112" spans="1:43" ht="15.95" hidden="1" customHeight="1" x14ac:dyDescent="0.2">
      <c r="A112" s="62" t="s">
        <v>549</v>
      </c>
      <c r="B112" s="63" t="s">
        <v>252</v>
      </c>
      <c r="C112" s="64" t="s">
        <v>253</v>
      </c>
      <c r="D112" s="63" t="s">
        <v>256</v>
      </c>
      <c r="E112" s="64" t="s">
        <v>257</v>
      </c>
      <c r="F112" s="65">
        <v>257748</v>
      </c>
      <c r="G112" s="66" t="s">
        <v>30</v>
      </c>
      <c r="H112" s="67">
        <v>164740</v>
      </c>
      <c r="I112" s="68">
        <v>3</v>
      </c>
      <c r="J112" s="68">
        <v>3</v>
      </c>
      <c r="K112" s="91">
        <v>12250</v>
      </c>
      <c r="L112" s="91">
        <v>6146.8915823614834</v>
      </c>
      <c r="M112" s="91">
        <v>6103.1084176385157</v>
      </c>
      <c r="N112" s="91">
        <v>6125</v>
      </c>
      <c r="O112" s="91">
        <v>5390</v>
      </c>
      <c r="P112" s="91">
        <v>735</v>
      </c>
      <c r="Q112" s="85">
        <v>1837.5</v>
      </c>
      <c r="R112" s="69" t="s">
        <v>1107</v>
      </c>
      <c r="S112" s="86">
        <v>1764</v>
      </c>
      <c r="T112" s="69">
        <v>441</v>
      </c>
      <c r="U112" s="68">
        <v>0</v>
      </c>
      <c r="V112" s="68">
        <v>0</v>
      </c>
      <c r="W112" s="68">
        <v>123</v>
      </c>
      <c r="X112" s="68">
        <v>245</v>
      </c>
      <c r="Y112" s="68">
        <v>735</v>
      </c>
      <c r="Z112" s="68">
        <v>123</v>
      </c>
      <c r="AA112" s="68">
        <v>60.612003345037316</v>
      </c>
      <c r="AB112" s="69">
        <v>0</v>
      </c>
      <c r="AC112" s="69">
        <v>0</v>
      </c>
      <c r="AD112" s="70">
        <f>IFERROR(tblTarget[[#This Row],[Cluster Target]]/tblTarget[[#This Row],[Cluster PiN]],0)</f>
        <v>7.4359596940633724E-2</v>
      </c>
      <c r="AE112" s="79">
        <f>_xlfn.XLOOKUP(tblTarget[[#This Row],[ID]],tblResponse[ID],tblResponse[2024 Projected reached (Dec 2024)])</f>
        <v>0</v>
      </c>
      <c r="AF112" s="79">
        <f>_xlfn.XLOOKUP(tblTarget[[#This Row],[ID]],tblResponse[ID],tblResponse[2024 Intercluster reached -August RPM])</f>
        <v>82942.223172275349</v>
      </c>
      <c r="AG112" s="79">
        <v>8</v>
      </c>
      <c r="AH112" s="79"/>
      <c r="AI112" s="79"/>
      <c r="AJ112" s="70" t="str">
        <f>IF(tblTarget[[#This Row],[Target to PiN (%)]]&gt;Targ_vs_PiN,"Flagged","")</f>
        <v/>
      </c>
      <c r="AK112" s="69" t="str">
        <f>IF(AND(tblTarget[[#This Row],[Qualifies for exception]]="Flagged",tblTarget[[#This Row],[Target to PiN (%)]]&gt;Targ_severity5),"Flagged","")</f>
        <v/>
      </c>
      <c r="AL112" s="68" t="str">
        <f>IFERROR(IF(AND(tblTarget[[#This Row],[Intercluser Severity]]=4,tblTarget[[#This Row],[Qualifies for exception]]="Flagged",(tblTarget[[#This Row],[Cluster Target]]-tblTarget[[#This Row],[2024 Response capacity up to December]])/tblTarget[[#This Row],[Cluster Target]]&gt;Diff_severity4),"Flagged",""),"No target")</f>
        <v/>
      </c>
      <c r="AM112" s="68" t="str">
        <f>IFERROR(IF(AND(tblTarget[[#This Row],[Intercluser Severity]]=3,tblTarget[[#This Row],[Qualifies for exception]]="Flagged",(tblTarget[[#This Row],[Cluster Target]]-tblTarget[[#This Row],[2024 Response capacity up to December]])/tblTarget[[#This Row],[Cluster Target]]&gt;Diff_severity3),"Flagged",""),"No target")</f>
        <v>Flagged</v>
      </c>
      <c r="AN112" s="81" t="s">
        <v>1099</v>
      </c>
      <c r="AO112" s="81"/>
      <c r="AP112" s="81" t="s">
        <v>1099</v>
      </c>
      <c r="AQ112" s="81" t="s">
        <v>1107</v>
      </c>
    </row>
    <row r="113" spans="1:43" ht="15.95" hidden="1" customHeight="1" x14ac:dyDescent="0.2">
      <c r="A113" s="62" t="s">
        <v>550</v>
      </c>
      <c r="B113" s="63" t="s">
        <v>252</v>
      </c>
      <c r="C113" s="64" t="s">
        <v>253</v>
      </c>
      <c r="D113" s="63" t="s">
        <v>258</v>
      </c>
      <c r="E113" s="64" t="s">
        <v>259</v>
      </c>
      <c r="F113" s="65">
        <v>2434</v>
      </c>
      <c r="G113" s="66" t="s">
        <v>30</v>
      </c>
      <c r="H113" s="67">
        <v>1199</v>
      </c>
      <c r="I113" s="68">
        <v>3</v>
      </c>
      <c r="J113" s="68">
        <v>3</v>
      </c>
      <c r="K113" s="91">
        <v>142.6</v>
      </c>
      <c r="L113" s="91">
        <v>65.094958481881974</v>
      </c>
      <c r="M113" s="91">
        <v>77.50504151811802</v>
      </c>
      <c r="N113" s="91">
        <v>71.3</v>
      </c>
      <c r="O113" s="91">
        <v>62.744</v>
      </c>
      <c r="P113" s="91">
        <v>8.5559999999999992</v>
      </c>
      <c r="Q113" s="85">
        <v>21.389999999999997</v>
      </c>
      <c r="R113" s="69" t="s">
        <v>1107</v>
      </c>
      <c r="S113" s="86">
        <v>21</v>
      </c>
      <c r="T113" s="69">
        <v>5</v>
      </c>
      <c r="U113" s="68">
        <v>0</v>
      </c>
      <c r="V113" s="68">
        <v>0</v>
      </c>
      <c r="W113" s="68">
        <v>1</v>
      </c>
      <c r="X113" s="68">
        <v>3</v>
      </c>
      <c r="Y113" s="68">
        <v>9</v>
      </c>
      <c r="Z113" s="68">
        <v>1</v>
      </c>
      <c r="AA113" s="68">
        <v>0</v>
      </c>
      <c r="AB113" s="69">
        <v>0</v>
      </c>
      <c r="AC113" s="69">
        <v>0</v>
      </c>
      <c r="AD113" s="70">
        <f>IFERROR(tblTarget[[#This Row],[Cluster Target]]/tblTarget[[#This Row],[Cluster PiN]],0)</f>
        <v>0.11893244370308589</v>
      </c>
      <c r="AE113" s="79">
        <f>_xlfn.XLOOKUP(tblTarget[[#This Row],[ID]],tblResponse[ID],tblResponse[2024 Projected reached (Dec 2024)])</f>
        <v>0</v>
      </c>
      <c r="AF113" s="79">
        <f>_xlfn.XLOOKUP(tblTarget[[#This Row],[ID]],tblResponse[ID],tblResponse[2024 Intercluster reached -August RPM])</f>
        <v>32064.462994393751</v>
      </c>
      <c r="AG113" s="79">
        <v>4</v>
      </c>
      <c r="AH113" s="79"/>
      <c r="AI113" s="79"/>
      <c r="AJ113" s="70" t="str">
        <f>IF(tblTarget[[#This Row],[Target to PiN (%)]]&gt;Targ_vs_PiN,"Flagged","")</f>
        <v/>
      </c>
      <c r="AK113" s="69" t="str">
        <f>IF(AND(tblTarget[[#This Row],[Qualifies for exception]]="Flagged",tblTarget[[#This Row],[Target to PiN (%)]]&gt;Targ_severity5),"Flagged","")</f>
        <v/>
      </c>
      <c r="AL113" s="68" t="str">
        <f>IFERROR(IF(AND(tblTarget[[#This Row],[Intercluser Severity]]=4,tblTarget[[#This Row],[Qualifies for exception]]="Flagged",(tblTarget[[#This Row],[Cluster Target]]-tblTarget[[#This Row],[2024 Response capacity up to December]])/tblTarget[[#This Row],[Cluster Target]]&gt;Diff_severity4),"Flagged",""),"No target")</f>
        <v/>
      </c>
      <c r="AM113" s="68" t="str">
        <f>IFERROR(IF(AND(tblTarget[[#This Row],[Intercluser Severity]]=3,tblTarget[[#This Row],[Qualifies for exception]]="Flagged",(tblTarget[[#This Row],[Cluster Target]]-tblTarget[[#This Row],[2024 Response capacity up to December]])/tblTarget[[#This Row],[Cluster Target]]&gt;Diff_severity3),"Flagged",""),"No target")</f>
        <v>Flagged</v>
      </c>
      <c r="AN113" s="81" t="s">
        <v>1099</v>
      </c>
      <c r="AO113" s="81"/>
      <c r="AP113" s="81" t="s">
        <v>1099</v>
      </c>
      <c r="AQ113" s="81" t="s">
        <v>1107</v>
      </c>
    </row>
    <row r="114" spans="1:43" ht="15.95" hidden="1" customHeight="1" x14ac:dyDescent="0.2">
      <c r="A114" s="62" t="s">
        <v>551</v>
      </c>
      <c r="B114" s="63" t="s">
        <v>252</v>
      </c>
      <c r="C114" s="64" t="s">
        <v>253</v>
      </c>
      <c r="D114" s="63" t="s">
        <v>260</v>
      </c>
      <c r="E114" s="64" t="s">
        <v>261</v>
      </c>
      <c r="F114" s="65">
        <v>600</v>
      </c>
      <c r="G114" s="66" t="s">
        <v>30</v>
      </c>
      <c r="H114" s="67">
        <v>131</v>
      </c>
      <c r="I114" s="68">
        <v>3</v>
      </c>
      <c r="J114" s="68">
        <v>3</v>
      </c>
      <c r="K114" s="91">
        <v>0</v>
      </c>
      <c r="L114" s="91">
        <v>0</v>
      </c>
      <c r="M114" s="91">
        <v>0</v>
      </c>
      <c r="N114" s="91">
        <v>0</v>
      </c>
      <c r="O114" s="91">
        <v>0</v>
      </c>
      <c r="P114" s="91">
        <v>0</v>
      </c>
      <c r="Q114" s="85">
        <v>0</v>
      </c>
      <c r="R114" s="69" t="s">
        <v>1107</v>
      </c>
      <c r="S114" s="86">
        <v>0</v>
      </c>
      <c r="T114" s="69">
        <v>0</v>
      </c>
      <c r="U114" s="68">
        <v>0</v>
      </c>
      <c r="V114" s="68">
        <v>0</v>
      </c>
      <c r="W114" s="68">
        <v>0</v>
      </c>
      <c r="X114" s="68">
        <v>0</v>
      </c>
      <c r="Y114" s="68">
        <v>0</v>
      </c>
      <c r="Z114" s="68">
        <v>0</v>
      </c>
      <c r="AA114" s="68">
        <v>0</v>
      </c>
      <c r="AB114" s="69">
        <v>0</v>
      </c>
      <c r="AC114" s="69">
        <v>0</v>
      </c>
      <c r="AD114" s="70">
        <f>IFERROR(tblTarget[[#This Row],[Cluster Target]]/tblTarget[[#This Row],[Cluster PiN]],0)</f>
        <v>0</v>
      </c>
      <c r="AE114" s="79">
        <f>_xlfn.XLOOKUP(tblTarget[[#This Row],[ID]],tblResponse[ID],tblResponse[2024 Projected reached (Dec 2024)])</f>
        <v>0</v>
      </c>
      <c r="AF114" s="79">
        <f>_xlfn.XLOOKUP(tblTarget[[#This Row],[ID]],tblResponse[ID],tblResponse[2024 Intercluster reached -August RPM])</f>
        <v>2211.5594048718885</v>
      </c>
      <c r="AG114" s="79">
        <v>1</v>
      </c>
      <c r="AH114" s="79"/>
      <c r="AI114" s="79"/>
      <c r="AJ114" s="70" t="str">
        <f>IF(tblTarget[[#This Row],[Target to PiN (%)]]&gt;Targ_vs_PiN,"Flagged","")</f>
        <v/>
      </c>
      <c r="AK114" s="69" t="str">
        <f>IF(AND(tblTarget[[#This Row],[Qualifies for exception]]="Flagged",tblTarget[[#This Row],[Target to PiN (%)]]&gt;Targ_severity5),"Flagged","")</f>
        <v/>
      </c>
      <c r="AL114" s="68" t="str">
        <f>IFERROR(IF(AND(tblTarget[[#This Row],[Intercluser Severity]]=4,tblTarget[[#This Row],[Qualifies for exception]]="Flagged",(tblTarget[[#This Row],[Cluster Target]]-tblTarget[[#This Row],[2024 Response capacity up to December]])/tblTarget[[#This Row],[Cluster Target]]&gt;Diff_severity4),"Flagged",""),"No target")</f>
        <v>No target</v>
      </c>
      <c r="AM114" s="68" t="str">
        <f>IFERROR(IF(AND(tblTarget[[#This Row],[Intercluser Severity]]=3,tblTarget[[#This Row],[Qualifies for exception]]="Flagged",(tblTarget[[#This Row],[Cluster Target]]-tblTarget[[#This Row],[2024 Response capacity up to December]])/tblTarget[[#This Row],[Cluster Target]]&gt;Diff_severity3),"Flagged",""),"No target")</f>
        <v>No target</v>
      </c>
      <c r="AN114" s="81" t="s">
        <v>1099</v>
      </c>
      <c r="AO114" s="81"/>
      <c r="AP114" s="81" t="s">
        <v>1099</v>
      </c>
      <c r="AQ114" s="81" t="s">
        <v>1107</v>
      </c>
    </row>
    <row r="115" spans="1:43" ht="15.95" hidden="1" customHeight="1" x14ac:dyDescent="0.2">
      <c r="A115" s="62" t="s">
        <v>552</v>
      </c>
      <c r="B115" s="63" t="s">
        <v>252</v>
      </c>
      <c r="C115" s="64" t="s">
        <v>253</v>
      </c>
      <c r="D115" s="63" t="s">
        <v>262</v>
      </c>
      <c r="E115" s="64" t="s">
        <v>263</v>
      </c>
      <c r="F115" s="65">
        <v>345</v>
      </c>
      <c r="G115" s="66" t="s">
        <v>30</v>
      </c>
      <c r="H115" s="67">
        <v>222</v>
      </c>
      <c r="I115" s="68">
        <v>4</v>
      </c>
      <c r="J115" s="68">
        <v>3</v>
      </c>
      <c r="K115" s="91">
        <v>28.8</v>
      </c>
      <c r="L115" s="91">
        <v>13.060649176723771</v>
      </c>
      <c r="M115" s="91">
        <v>15.739350823276229</v>
      </c>
      <c r="N115" s="91">
        <v>14.4</v>
      </c>
      <c r="O115" s="91">
        <v>12.672000000000001</v>
      </c>
      <c r="P115" s="91">
        <v>1.728</v>
      </c>
      <c r="Q115" s="85">
        <v>4.32</v>
      </c>
      <c r="R115" s="69" t="s">
        <v>1107</v>
      </c>
      <c r="S115" s="86">
        <v>4</v>
      </c>
      <c r="T115" s="69">
        <v>1</v>
      </c>
      <c r="U115" s="68">
        <v>0</v>
      </c>
      <c r="V115" s="68">
        <v>0</v>
      </c>
      <c r="W115" s="68">
        <v>0</v>
      </c>
      <c r="X115" s="68">
        <v>1</v>
      </c>
      <c r="Y115" s="68">
        <v>2</v>
      </c>
      <c r="Z115" s="68">
        <v>0</v>
      </c>
      <c r="AA115" s="68">
        <v>0</v>
      </c>
      <c r="AB115" s="69">
        <v>0</v>
      </c>
      <c r="AC115" s="69">
        <v>0</v>
      </c>
      <c r="AD115" s="70">
        <f>IFERROR(tblTarget[[#This Row],[Cluster Target]]/tblTarget[[#This Row],[Cluster PiN]],0)</f>
        <v>0.12972972972972974</v>
      </c>
      <c r="AE115" s="79">
        <f>_xlfn.XLOOKUP(tblTarget[[#This Row],[ID]],tblResponse[ID],tblResponse[2024 Projected reached (Dec 2024)])</f>
        <v>0</v>
      </c>
      <c r="AF115" s="79">
        <f>_xlfn.XLOOKUP(tblTarget[[#This Row],[ID]],tblResponse[ID],tblResponse[2024 Intercluster reached -August RPM])</f>
        <v>6372.313527229725</v>
      </c>
      <c r="AG115" s="79">
        <v>1</v>
      </c>
      <c r="AH115" s="79"/>
      <c r="AI115" s="79"/>
      <c r="AJ115" s="70" t="str">
        <f>IF(tblTarget[[#This Row],[Target to PiN (%)]]&gt;Targ_vs_PiN,"Flagged","")</f>
        <v/>
      </c>
      <c r="AK115" s="69" t="str">
        <f>IF(AND(tblTarget[[#This Row],[Qualifies for exception]]="Flagged",tblTarget[[#This Row],[Target to PiN (%)]]&gt;Targ_severity5),"Flagged","")</f>
        <v/>
      </c>
      <c r="AL115" s="68" t="str">
        <f>IFERROR(IF(AND(tblTarget[[#This Row],[Intercluser Severity]]=4,tblTarget[[#This Row],[Qualifies for exception]]="Flagged",(tblTarget[[#This Row],[Cluster Target]]-tblTarget[[#This Row],[2024 Response capacity up to December]])/tblTarget[[#This Row],[Cluster Target]]&gt;Diff_severity4),"Flagged",""),"No target")</f>
        <v/>
      </c>
      <c r="AM115" s="68" t="str">
        <f>IFERROR(IF(AND(tblTarget[[#This Row],[Intercluser Severity]]=3,tblTarget[[#This Row],[Qualifies for exception]]="Flagged",(tblTarget[[#This Row],[Cluster Target]]-tblTarget[[#This Row],[2024 Response capacity up to December]])/tblTarget[[#This Row],[Cluster Target]]&gt;Diff_severity3),"Flagged",""),"No target")</f>
        <v>Flagged</v>
      </c>
      <c r="AN115" s="81" t="s">
        <v>1099</v>
      </c>
      <c r="AO115" s="81"/>
      <c r="AP115" s="81" t="s">
        <v>1099</v>
      </c>
      <c r="AQ115" s="81" t="s">
        <v>1107</v>
      </c>
    </row>
    <row r="116" spans="1:43" ht="15.95" hidden="1" customHeight="1" x14ac:dyDescent="0.2">
      <c r="A116" s="62" t="s">
        <v>553</v>
      </c>
      <c r="B116" s="63" t="s">
        <v>252</v>
      </c>
      <c r="C116" s="64" t="s">
        <v>253</v>
      </c>
      <c r="D116" s="63" t="s">
        <v>264</v>
      </c>
      <c r="E116" s="64" t="s">
        <v>265</v>
      </c>
      <c r="F116" s="65">
        <v>7897</v>
      </c>
      <c r="G116" s="66" t="s">
        <v>30</v>
      </c>
      <c r="H116" s="67">
        <v>1798</v>
      </c>
      <c r="I116" s="68">
        <v>3</v>
      </c>
      <c r="J116" s="68">
        <v>3</v>
      </c>
      <c r="K116" s="91">
        <v>191</v>
      </c>
      <c r="L116" s="91">
        <v>90.757551084047222</v>
      </c>
      <c r="M116" s="91">
        <v>100.24244891595278</v>
      </c>
      <c r="N116" s="91">
        <v>95.5</v>
      </c>
      <c r="O116" s="91">
        <v>84.04</v>
      </c>
      <c r="P116" s="91">
        <v>11.459999999999999</v>
      </c>
      <c r="Q116" s="85">
        <v>28.65</v>
      </c>
      <c r="R116" s="69" t="s">
        <v>1107</v>
      </c>
      <c r="S116" s="86">
        <v>28</v>
      </c>
      <c r="T116" s="69">
        <v>7</v>
      </c>
      <c r="U116" s="68">
        <v>0</v>
      </c>
      <c r="V116" s="68">
        <v>0</v>
      </c>
      <c r="W116" s="68">
        <v>2</v>
      </c>
      <c r="X116" s="68">
        <v>4</v>
      </c>
      <c r="Y116" s="68">
        <v>11</v>
      </c>
      <c r="Z116" s="68">
        <v>2</v>
      </c>
      <c r="AA116" s="68">
        <v>0</v>
      </c>
      <c r="AB116" s="69">
        <v>0</v>
      </c>
      <c r="AC116" s="69">
        <v>0</v>
      </c>
      <c r="AD116" s="70">
        <f>IFERROR(tblTarget[[#This Row],[Cluster Target]]/tblTarget[[#This Row],[Cluster PiN]],0)</f>
        <v>0.10622914349276974</v>
      </c>
      <c r="AE116" s="79">
        <f>_xlfn.XLOOKUP(tblTarget[[#This Row],[ID]],tblResponse[ID],tblResponse[2024 Projected reached (Dec 2024)])</f>
        <v>0</v>
      </c>
      <c r="AF116" s="79">
        <f>_xlfn.XLOOKUP(tblTarget[[#This Row],[ID]],tblResponse[ID],tblResponse[2024 Intercluster reached -August RPM])</f>
        <v>14291.529251286955</v>
      </c>
      <c r="AG116" s="79">
        <v>2</v>
      </c>
      <c r="AH116" s="79"/>
      <c r="AI116" s="79"/>
      <c r="AJ116" s="70" t="str">
        <f>IF(tblTarget[[#This Row],[Target to PiN (%)]]&gt;Targ_vs_PiN,"Flagged","")</f>
        <v/>
      </c>
      <c r="AK116" s="69" t="str">
        <f>IF(AND(tblTarget[[#This Row],[Qualifies for exception]]="Flagged",tblTarget[[#This Row],[Target to PiN (%)]]&gt;Targ_severity5),"Flagged","")</f>
        <v/>
      </c>
      <c r="AL116" s="68" t="str">
        <f>IFERROR(IF(AND(tblTarget[[#This Row],[Intercluser Severity]]=4,tblTarget[[#This Row],[Qualifies for exception]]="Flagged",(tblTarget[[#This Row],[Cluster Target]]-tblTarget[[#This Row],[2024 Response capacity up to December]])/tblTarget[[#This Row],[Cluster Target]]&gt;Diff_severity4),"Flagged",""),"No target")</f>
        <v/>
      </c>
      <c r="AM116" s="68" t="str">
        <f>IFERROR(IF(AND(tblTarget[[#This Row],[Intercluser Severity]]=3,tblTarget[[#This Row],[Qualifies for exception]]="Flagged",(tblTarget[[#This Row],[Cluster Target]]-tblTarget[[#This Row],[2024 Response capacity up to December]])/tblTarget[[#This Row],[Cluster Target]]&gt;Diff_severity3),"Flagged",""),"No target")</f>
        <v>Flagged</v>
      </c>
      <c r="AN116" s="81" t="s">
        <v>1099</v>
      </c>
      <c r="AO116" s="81"/>
      <c r="AP116" s="81" t="s">
        <v>1099</v>
      </c>
      <c r="AQ116" s="81" t="s">
        <v>1107</v>
      </c>
    </row>
    <row r="117" spans="1:43" ht="15.95" hidden="1" customHeight="1" x14ac:dyDescent="0.2">
      <c r="A117" s="62" t="s">
        <v>554</v>
      </c>
      <c r="B117" s="63" t="s">
        <v>252</v>
      </c>
      <c r="C117" s="64" t="s">
        <v>253</v>
      </c>
      <c r="D117" s="63" t="s">
        <v>266</v>
      </c>
      <c r="E117" s="64" t="s">
        <v>267</v>
      </c>
      <c r="F117" s="65">
        <v>240</v>
      </c>
      <c r="G117" s="66" t="s">
        <v>30</v>
      </c>
      <c r="H117" s="67">
        <v>196</v>
      </c>
      <c r="I117" s="68">
        <v>3</v>
      </c>
      <c r="J117" s="68">
        <v>3</v>
      </c>
      <c r="K117" s="91">
        <v>25.400000000000002</v>
      </c>
      <c r="L117" s="91">
        <v>11.753697416200202</v>
      </c>
      <c r="M117" s="91">
        <v>13.646302583799798</v>
      </c>
      <c r="N117" s="91">
        <v>12.700000000000001</v>
      </c>
      <c r="O117" s="91">
        <v>11.176</v>
      </c>
      <c r="P117" s="91">
        <v>1.524</v>
      </c>
      <c r="Q117" s="85">
        <v>3.81</v>
      </c>
      <c r="R117" s="69" t="s">
        <v>1107</v>
      </c>
      <c r="S117" s="86">
        <v>4</v>
      </c>
      <c r="T117" s="69">
        <v>1</v>
      </c>
      <c r="U117" s="68">
        <v>0</v>
      </c>
      <c r="V117" s="68">
        <v>0</v>
      </c>
      <c r="W117" s="68">
        <v>0</v>
      </c>
      <c r="X117" s="68">
        <v>1</v>
      </c>
      <c r="Y117" s="68">
        <v>2</v>
      </c>
      <c r="Z117" s="68">
        <v>0</v>
      </c>
      <c r="AA117" s="68">
        <v>0</v>
      </c>
      <c r="AB117" s="69">
        <v>0</v>
      </c>
      <c r="AC117" s="69">
        <v>0</v>
      </c>
      <c r="AD117" s="70">
        <f>IFERROR(tblTarget[[#This Row],[Cluster Target]]/tblTarget[[#This Row],[Cluster PiN]],0)</f>
        <v>0.12959183673469388</v>
      </c>
      <c r="AE117" s="79">
        <f>_xlfn.XLOOKUP(tblTarget[[#This Row],[ID]],tblResponse[ID],tblResponse[2024 Projected reached (Dec 2024)])</f>
        <v>3335</v>
      </c>
      <c r="AF117" s="79">
        <f>_xlfn.XLOOKUP(tblTarget[[#This Row],[ID]],tblResponse[ID],tblResponse[2024 Intercluster reached -August RPM])</f>
        <v>55000.733785255856</v>
      </c>
      <c r="AG117" s="79">
        <v>4</v>
      </c>
      <c r="AH117" s="79"/>
      <c r="AI117" s="79"/>
      <c r="AJ117" s="70" t="str">
        <f>IF(tblTarget[[#This Row],[Target to PiN (%)]]&gt;Targ_vs_PiN,"Flagged","")</f>
        <v/>
      </c>
      <c r="AK117" s="69" t="str">
        <f>IF(AND(tblTarget[[#This Row],[Qualifies for exception]]="Flagged",tblTarget[[#This Row],[Target to PiN (%)]]&gt;Targ_severity5),"Flagged","")</f>
        <v/>
      </c>
      <c r="AL117" s="68" t="str">
        <f>IFERROR(IF(AND(tblTarget[[#This Row],[Intercluser Severity]]=4,tblTarget[[#This Row],[Qualifies for exception]]="Flagged",(tblTarget[[#This Row],[Cluster Target]]-tblTarget[[#This Row],[2024 Response capacity up to December]])/tblTarget[[#This Row],[Cluster Target]]&gt;Diff_severity4),"Flagged",""),"No target")</f>
        <v/>
      </c>
      <c r="AM117" s="68" t="str">
        <f>IFERROR(IF(AND(tblTarget[[#This Row],[Intercluser Severity]]=3,tblTarget[[#This Row],[Qualifies for exception]]="Flagged",(tblTarget[[#This Row],[Cluster Target]]-tblTarget[[#This Row],[2024 Response capacity up to December]])/tblTarget[[#This Row],[Cluster Target]]&gt;Diff_severity3),"Flagged",""),"No target")</f>
        <v/>
      </c>
      <c r="AN117" s="81" t="s">
        <v>1099</v>
      </c>
      <c r="AO117" s="81"/>
      <c r="AP117" s="81" t="s">
        <v>1099</v>
      </c>
      <c r="AQ117" s="81" t="s">
        <v>1107</v>
      </c>
    </row>
    <row r="118" spans="1:43" ht="15.95" hidden="1" customHeight="1" x14ac:dyDescent="0.2">
      <c r="A118" s="62" t="s">
        <v>555</v>
      </c>
      <c r="B118" s="63" t="s">
        <v>252</v>
      </c>
      <c r="C118" s="64" t="s">
        <v>253</v>
      </c>
      <c r="D118" s="63" t="s">
        <v>268</v>
      </c>
      <c r="E118" s="64" t="s">
        <v>269</v>
      </c>
      <c r="F118" s="65">
        <v>2130</v>
      </c>
      <c r="G118" s="66" t="s">
        <v>30</v>
      </c>
      <c r="H118" s="67">
        <v>1487</v>
      </c>
      <c r="I118" s="68">
        <v>3</v>
      </c>
      <c r="J118" s="68">
        <v>3</v>
      </c>
      <c r="K118" s="91">
        <v>0</v>
      </c>
      <c r="L118" s="91">
        <v>0</v>
      </c>
      <c r="M118" s="91">
        <v>0</v>
      </c>
      <c r="N118" s="91">
        <v>0</v>
      </c>
      <c r="O118" s="91">
        <v>0</v>
      </c>
      <c r="P118" s="91">
        <v>0</v>
      </c>
      <c r="Q118" s="85">
        <v>0</v>
      </c>
      <c r="R118" s="69" t="s">
        <v>1107</v>
      </c>
      <c r="S118" s="86">
        <v>0</v>
      </c>
      <c r="T118" s="69">
        <v>0</v>
      </c>
      <c r="U118" s="68">
        <v>0</v>
      </c>
      <c r="V118" s="68">
        <v>0</v>
      </c>
      <c r="W118" s="68">
        <v>0</v>
      </c>
      <c r="X118" s="68">
        <v>0</v>
      </c>
      <c r="Y118" s="68">
        <v>0</v>
      </c>
      <c r="Z118" s="68">
        <v>0</v>
      </c>
      <c r="AA118" s="68">
        <v>0</v>
      </c>
      <c r="AB118" s="69">
        <v>0</v>
      </c>
      <c r="AC118" s="69">
        <v>0</v>
      </c>
      <c r="AD118" s="70">
        <f>IFERROR(tblTarget[[#This Row],[Cluster Target]]/tblTarget[[#This Row],[Cluster PiN]],0)</f>
        <v>0</v>
      </c>
      <c r="AE118" s="79">
        <f>_xlfn.XLOOKUP(tblTarget[[#This Row],[ID]],tblResponse[ID],tblResponse[2024 Projected reached (Dec 2024)])</f>
        <v>0</v>
      </c>
      <c r="AF118" s="79">
        <f>_xlfn.XLOOKUP(tblTarget[[#This Row],[ID]],tblResponse[ID],tblResponse[2024 Intercluster reached -August RPM])</f>
        <v>27768.678512927952</v>
      </c>
      <c r="AG118" s="79">
        <v>1</v>
      </c>
      <c r="AH118" s="79"/>
      <c r="AI118" s="79"/>
      <c r="AJ118" s="70" t="str">
        <f>IF(tblTarget[[#This Row],[Target to PiN (%)]]&gt;Targ_vs_PiN,"Flagged","")</f>
        <v/>
      </c>
      <c r="AK118" s="69" t="str">
        <f>IF(AND(tblTarget[[#This Row],[Qualifies for exception]]="Flagged",tblTarget[[#This Row],[Target to PiN (%)]]&gt;Targ_severity5),"Flagged","")</f>
        <v/>
      </c>
      <c r="AL118" s="68" t="str">
        <f>IFERROR(IF(AND(tblTarget[[#This Row],[Intercluser Severity]]=4,tblTarget[[#This Row],[Qualifies for exception]]="Flagged",(tblTarget[[#This Row],[Cluster Target]]-tblTarget[[#This Row],[2024 Response capacity up to December]])/tblTarget[[#This Row],[Cluster Target]]&gt;Diff_severity4),"Flagged",""),"No target")</f>
        <v>No target</v>
      </c>
      <c r="AM118" s="68" t="str">
        <f>IFERROR(IF(AND(tblTarget[[#This Row],[Intercluser Severity]]=3,tblTarget[[#This Row],[Qualifies for exception]]="Flagged",(tblTarget[[#This Row],[Cluster Target]]-tblTarget[[#This Row],[2024 Response capacity up to December]])/tblTarget[[#This Row],[Cluster Target]]&gt;Diff_severity3),"Flagged",""),"No target")</f>
        <v>No target</v>
      </c>
      <c r="AN118" s="81" t="s">
        <v>1099</v>
      </c>
      <c r="AO118" s="81"/>
      <c r="AP118" s="81" t="s">
        <v>1099</v>
      </c>
      <c r="AQ118" s="81" t="s">
        <v>1107</v>
      </c>
    </row>
    <row r="119" spans="1:43" ht="15.95" hidden="1" customHeight="1" x14ac:dyDescent="0.2">
      <c r="A119" s="62" t="s">
        <v>556</v>
      </c>
      <c r="B119" s="63" t="s">
        <v>252</v>
      </c>
      <c r="C119" s="64" t="s">
        <v>253</v>
      </c>
      <c r="D119" s="63" t="s">
        <v>270</v>
      </c>
      <c r="E119" s="64" t="s">
        <v>271</v>
      </c>
      <c r="F119" s="65">
        <v>7993</v>
      </c>
      <c r="G119" s="66" t="s">
        <v>30</v>
      </c>
      <c r="H119" s="67">
        <v>2911</v>
      </c>
      <c r="I119" s="68">
        <v>3</v>
      </c>
      <c r="J119" s="68">
        <v>3</v>
      </c>
      <c r="K119" s="91">
        <v>317.60000000000002</v>
      </c>
      <c r="L119" s="91">
        <v>150.16401003522466</v>
      </c>
      <c r="M119" s="91">
        <v>167.43598996477536</v>
      </c>
      <c r="N119" s="91">
        <v>158.80000000000001</v>
      </c>
      <c r="O119" s="91">
        <v>139.744</v>
      </c>
      <c r="P119" s="91">
        <v>19.056000000000001</v>
      </c>
      <c r="Q119" s="85">
        <v>47.64</v>
      </c>
      <c r="R119" s="69" t="s">
        <v>1107</v>
      </c>
      <c r="S119" s="86">
        <v>46</v>
      </c>
      <c r="T119" s="69">
        <v>11</v>
      </c>
      <c r="U119" s="68">
        <v>0</v>
      </c>
      <c r="V119" s="68">
        <v>0</v>
      </c>
      <c r="W119" s="68">
        <v>3</v>
      </c>
      <c r="X119" s="68">
        <v>6</v>
      </c>
      <c r="Y119" s="68">
        <v>19</v>
      </c>
      <c r="Z119" s="68">
        <v>3</v>
      </c>
      <c r="AA119" s="68">
        <v>0</v>
      </c>
      <c r="AB119" s="69">
        <v>0</v>
      </c>
      <c r="AC119" s="69">
        <v>0</v>
      </c>
      <c r="AD119" s="70">
        <f>IFERROR(tblTarget[[#This Row],[Cluster Target]]/tblTarget[[#This Row],[Cluster PiN]],0)</f>
        <v>0.10910340089316387</v>
      </c>
      <c r="AE119" s="79">
        <f>_xlfn.XLOOKUP(tblTarget[[#This Row],[ID]],tblResponse[ID],tblResponse[2024 Projected reached (Dec 2024)])</f>
        <v>0</v>
      </c>
      <c r="AF119" s="79">
        <f>_xlfn.XLOOKUP(tblTarget[[#This Row],[ID]],tblResponse[ID],tblResponse[2024 Intercluster reached -August RPM])</f>
        <v>22345.775334452152</v>
      </c>
      <c r="AG119" s="79">
        <v>2</v>
      </c>
      <c r="AH119" s="79"/>
      <c r="AI119" s="79"/>
      <c r="AJ119" s="70" t="str">
        <f>IF(tblTarget[[#This Row],[Target to PiN (%)]]&gt;Targ_vs_PiN,"Flagged","")</f>
        <v/>
      </c>
      <c r="AK119" s="69" t="str">
        <f>IF(AND(tblTarget[[#This Row],[Qualifies for exception]]="Flagged",tblTarget[[#This Row],[Target to PiN (%)]]&gt;Targ_severity5),"Flagged","")</f>
        <v/>
      </c>
      <c r="AL119" s="68" t="str">
        <f>IFERROR(IF(AND(tblTarget[[#This Row],[Intercluser Severity]]=4,tblTarget[[#This Row],[Qualifies for exception]]="Flagged",(tblTarget[[#This Row],[Cluster Target]]-tblTarget[[#This Row],[2024 Response capacity up to December]])/tblTarget[[#This Row],[Cluster Target]]&gt;Diff_severity4),"Flagged",""),"No target")</f>
        <v/>
      </c>
      <c r="AM119" s="68" t="str">
        <f>IFERROR(IF(AND(tblTarget[[#This Row],[Intercluser Severity]]=3,tblTarget[[#This Row],[Qualifies for exception]]="Flagged",(tblTarget[[#This Row],[Cluster Target]]-tblTarget[[#This Row],[2024 Response capacity up to December]])/tblTarget[[#This Row],[Cluster Target]]&gt;Diff_severity3),"Flagged",""),"No target")</f>
        <v>Flagged</v>
      </c>
      <c r="AN119" s="81" t="s">
        <v>1099</v>
      </c>
      <c r="AO119" s="81"/>
      <c r="AP119" s="81" t="s">
        <v>1099</v>
      </c>
      <c r="AQ119" s="81" t="s">
        <v>1107</v>
      </c>
    </row>
    <row r="120" spans="1:43" ht="15.95" hidden="1" customHeight="1" x14ac:dyDescent="0.2">
      <c r="A120" s="62" t="s">
        <v>557</v>
      </c>
      <c r="B120" s="63" t="s">
        <v>252</v>
      </c>
      <c r="C120" s="64" t="s">
        <v>253</v>
      </c>
      <c r="D120" s="63" t="s">
        <v>272</v>
      </c>
      <c r="E120" s="64" t="s">
        <v>273</v>
      </c>
      <c r="F120" s="65">
        <v>250</v>
      </c>
      <c r="G120" s="66" t="s">
        <v>30</v>
      </c>
      <c r="H120" s="67">
        <v>208</v>
      </c>
      <c r="I120" s="68">
        <v>4</v>
      </c>
      <c r="J120" s="68">
        <v>4</v>
      </c>
      <c r="K120" s="91">
        <v>4.6000000000000005</v>
      </c>
      <c r="L120" s="91">
        <v>2.2028049702444417</v>
      </c>
      <c r="M120" s="91">
        <v>2.3971950297555589</v>
      </c>
      <c r="N120" s="91">
        <v>2.3000000000000003</v>
      </c>
      <c r="O120" s="91">
        <v>2.0240000000000005</v>
      </c>
      <c r="P120" s="91">
        <v>0.27600000000000002</v>
      </c>
      <c r="Q120" s="85">
        <v>0.69000000000000006</v>
      </c>
      <c r="R120" s="69" t="s">
        <v>1107</v>
      </c>
      <c r="S120" s="86">
        <v>1</v>
      </c>
      <c r="T120" s="69">
        <v>0</v>
      </c>
      <c r="U120" s="68">
        <v>0</v>
      </c>
      <c r="V120" s="68">
        <v>0</v>
      </c>
      <c r="W120" s="68">
        <v>0</v>
      </c>
      <c r="X120" s="68">
        <v>0</v>
      </c>
      <c r="Y120" s="68">
        <v>0</v>
      </c>
      <c r="Z120" s="68">
        <v>0</v>
      </c>
      <c r="AA120" s="68">
        <v>0</v>
      </c>
      <c r="AB120" s="69">
        <v>0</v>
      </c>
      <c r="AC120" s="69">
        <v>0</v>
      </c>
      <c r="AD120" s="70">
        <f>IFERROR(tblTarget[[#This Row],[Cluster Target]]/tblTarget[[#This Row],[Cluster PiN]],0)</f>
        <v>2.2115384615384617E-2</v>
      </c>
      <c r="AE120" s="79">
        <f>_xlfn.XLOOKUP(tblTarget[[#This Row],[ID]],tblResponse[ID],tblResponse[2024 Projected reached (Dec 2024)])</f>
        <v>0</v>
      </c>
      <c r="AF120" s="79">
        <f>_xlfn.XLOOKUP(tblTarget[[#This Row],[ID]],tblResponse[ID],tblResponse[2024 Intercluster reached -August RPM])</f>
        <v>25612.390602198702</v>
      </c>
      <c r="AG120" s="79">
        <v>1</v>
      </c>
      <c r="AH120" s="79"/>
      <c r="AI120" s="79"/>
      <c r="AJ120" s="70" t="str">
        <f>IF(tblTarget[[#This Row],[Target to PiN (%)]]&gt;Targ_vs_PiN,"Flagged","")</f>
        <v/>
      </c>
      <c r="AK120" s="69" t="str">
        <f>IF(AND(tblTarget[[#This Row],[Qualifies for exception]]="Flagged",tblTarget[[#This Row],[Target to PiN (%)]]&gt;Targ_severity5),"Flagged","")</f>
        <v/>
      </c>
      <c r="AL120" s="68" t="str">
        <f>IFERROR(IF(AND(tblTarget[[#This Row],[Intercluser Severity]]=4,tblTarget[[#This Row],[Qualifies for exception]]="Flagged",(tblTarget[[#This Row],[Cluster Target]]-tblTarget[[#This Row],[2024 Response capacity up to December]])/tblTarget[[#This Row],[Cluster Target]]&gt;Diff_severity4),"Flagged",""),"No target")</f>
        <v>Flagged</v>
      </c>
      <c r="AM120" s="68" t="str">
        <f>IFERROR(IF(AND(tblTarget[[#This Row],[Intercluser Severity]]=3,tblTarget[[#This Row],[Qualifies for exception]]="Flagged",(tblTarget[[#This Row],[Cluster Target]]-tblTarget[[#This Row],[2024 Response capacity up to December]])/tblTarget[[#This Row],[Cluster Target]]&gt;Diff_severity3),"Flagged",""),"No target")</f>
        <v/>
      </c>
      <c r="AN120" s="81" t="s">
        <v>1099</v>
      </c>
      <c r="AO120" s="81"/>
      <c r="AP120" s="81" t="s">
        <v>1099</v>
      </c>
      <c r="AQ120" s="81" t="s">
        <v>1107</v>
      </c>
    </row>
    <row r="121" spans="1:43" ht="15.95" hidden="1" customHeight="1" x14ac:dyDescent="0.2">
      <c r="A121" s="62" t="s">
        <v>558</v>
      </c>
      <c r="B121" s="63" t="s">
        <v>274</v>
      </c>
      <c r="C121" s="64" t="s">
        <v>275</v>
      </c>
      <c r="D121" s="63" t="s">
        <v>276</v>
      </c>
      <c r="E121" s="64" t="s">
        <v>277</v>
      </c>
      <c r="F121" s="65">
        <v>61559</v>
      </c>
      <c r="G121" s="66" t="s">
        <v>30</v>
      </c>
      <c r="H121" s="67">
        <v>14353</v>
      </c>
      <c r="I121" s="68">
        <v>3</v>
      </c>
      <c r="J121" s="68">
        <v>3</v>
      </c>
      <c r="K121" s="91">
        <v>1125.2</v>
      </c>
      <c r="L121" s="91">
        <v>586.80394528896727</v>
      </c>
      <c r="M121" s="91">
        <v>538.39605471103278</v>
      </c>
      <c r="N121" s="91">
        <v>562.6</v>
      </c>
      <c r="O121" s="91">
        <v>495.08800000000002</v>
      </c>
      <c r="P121" s="91">
        <v>67.512</v>
      </c>
      <c r="Q121" s="85">
        <v>168.78</v>
      </c>
      <c r="R121" s="69" t="s">
        <v>1107</v>
      </c>
      <c r="S121" s="86">
        <v>162</v>
      </c>
      <c r="T121" s="69">
        <v>41</v>
      </c>
      <c r="U121" s="68">
        <v>0</v>
      </c>
      <c r="V121" s="68">
        <v>0</v>
      </c>
      <c r="W121" s="68">
        <v>11</v>
      </c>
      <c r="X121" s="68">
        <v>23</v>
      </c>
      <c r="Y121" s="68">
        <v>68</v>
      </c>
      <c r="Z121" s="68">
        <v>11</v>
      </c>
      <c r="AA121" s="68">
        <v>0</v>
      </c>
      <c r="AB121" s="69">
        <v>0</v>
      </c>
      <c r="AC121" s="69">
        <v>0</v>
      </c>
      <c r="AD121" s="70">
        <f>IFERROR(tblTarget[[#This Row],[Cluster Target]]/tblTarget[[#This Row],[Cluster PiN]],0)</f>
        <v>7.8394760677210337E-2</v>
      </c>
      <c r="AE121" s="79">
        <f>_xlfn.XLOOKUP(tblTarget[[#This Row],[ID]],tblResponse[ID],tblResponse[2024 Projected reached (Dec 2024)])</f>
        <v>0</v>
      </c>
      <c r="AF121" s="79">
        <f>_xlfn.XLOOKUP(tblTarget[[#This Row],[ID]],tblResponse[ID],tblResponse[2024 Intercluster reached -August RPM])</f>
        <v>68420.512635255131</v>
      </c>
      <c r="AG121" s="79">
        <v>3</v>
      </c>
      <c r="AH121" s="79"/>
      <c r="AI121" s="79"/>
      <c r="AJ121" s="70" t="str">
        <f>IF(tblTarget[[#This Row],[Target to PiN (%)]]&gt;Targ_vs_PiN,"Flagged","")</f>
        <v/>
      </c>
      <c r="AK121" s="69" t="str">
        <f>IF(AND(tblTarget[[#This Row],[Qualifies for exception]]="Flagged",tblTarget[[#This Row],[Target to PiN (%)]]&gt;Targ_severity5),"Flagged","")</f>
        <v/>
      </c>
      <c r="AL121" s="68" t="str">
        <f>IFERROR(IF(AND(tblTarget[[#This Row],[Intercluser Severity]]=4,tblTarget[[#This Row],[Qualifies for exception]]="Flagged",(tblTarget[[#This Row],[Cluster Target]]-tblTarget[[#This Row],[2024 Response capacity up to December]])/tblTarget[[#This Row],[Cluster Target]]&gt;Diff_severity4),"Flagged",""),"No target")</f>
        <v/>
      </c>
      <c r="AM121" s="68" t="str">
        <f>IFERROR(IF(AND(tblTarget[[#This Row],[Intercluser Severity]]=3,tblTarget[[#This Row],[Qualifies for exception]]="Flagged",(tblTarget[[#This Row],[Cluster Target]]-tblTarget[[#This Row],[2024 Response capacity up to December]])/tblTarget[[#This Row],[Cluster Target]]&gt;Diff_severity3),"Flagged",""),"No target")</f>
        <v>Flagged</v>
      </c>
      <c r="AN121" s="81" t="s">
        <v>1099</v>
      </c>
      <c r="AO121" s="81"/>
      <c r="AP121" s="81" t="s">
        <v>1099</v>
      </c>
      <c r="AQ121" s="81" t="s">
        <v>1107</v>
      </c>
    </row>
    <row r="122" spans="1:43" ht="15.95" hidden="1" customHeight="1" x14ac:dyDescent="0.2">
      <c r="A122" s="62" t="s">
        <v>559</v>
      </c>
      <c r="B122" s="63" t="s">
        <v>274</v>
      </c>
      <c r="C122" s="64" t="s">
        <v>275</v>
      </c>
      <c r="D122" s="63" t="s">
        <v>278</v>
      </c>
      <c r="E122" s="64" t="s">
        <v>279</v>
      </c>
      <c r="F122" s="65">
        <v>170470</v>
      </c>
      <c r="G122" s="66" t="s">
        <v>30</v>
      </c>
      <c r="H122" s="67">
        <v>55683</v>
      </c>
      <c r="I122" s="68">
        <v>3</v>
      </c>
      <c r="J122" s="68">
        <v>3</v>
      </c>
      <c r="K122" s="91">
        <v>6037</v>
      </c>
      <c r="L122" s="91">
        <v>3124.047497886786</v>
      </c>
      <c r="M122" s="91">
        <v>2912.952502113214</v>
      </c>
      <c r="N122" s="91">
        <v>3018.5</v>
      </c>
      <c r="O122" s="91">
        <v>2656.28</v>
      </c>
      <c r="P122" s="91">
        <v>362.21999999999997</v>
      </c>
      <c r="Q122" s="85">
        <v>905.55</v>
      </c>
      <c r="R122" s="69" t="s">
        <v>1107</v>
      </c>
      <c r="S122" s="86">
        <v>869</v>
      </c>
      <c r="T122" s="69">
        <v>217</v>
      </c>
      <c r="U122" s="68">
        <v>0</v>
      </c>
      <c r="V122" s="68">
        <v>0</v>
      </c>
      <c r="W122" s="68">
        <v>60</v>
      </c>
      <c r="X122" s="68">
        <v>121</v>
      </c>
      <c r="Y122" s="68">
        <v>362</v>
      </c>
      <c r="Z122" s="68">
        <v>60</v>
      </c>
      <c r="AA122" s="68">
        <v>29.778940773866157</v>
      </c>
      <c r="AB122" s="69">
        <v>0</v>
      </c>
      <c r="AC122" s="69">
        <v>0</v>
      </c>
      <c r="AD122" s="70">
        <f>IFERROR(tblTarget[[#This Row],[Cluster Target]]/tblTarget[[#This Row],[Cluster PiN]],0)</f>
        <v>0.10841729073505378</v>
      </c>
      <c r="AE122" s="79">
        <f>_xlfn.XLOOKUP(tblTarget[[#This Row],[ID]],tblResponse[ID],tblResponse[2024 Projected reached (Dec 2024)])</f>
        <v>0</v>
      </c>
      <c r="AF122" s="79">
        <f>_xlfn.XLOOKUP(tblTarget[[#This Row],[ID]],tblResponse[ID],tblResponse[2024 Intercluster reached -August RPM])</f>
        <v>90848.145752171695</v>
      </c>
      <c r="AG122" s="79">
        <v>7</v>
      </c>
      <c r="AH122" s="79"/>
      <c r="AI122" s="79"/>
      <c r="AJ122" s="70" t="str">
        <f>IF(tblTarget[[#This Row],[Target to PiN (%)]]&gt;Targ_vs_PiN,"Flagged","")</f>
        <v/>
      </c>
      <c r="AK122" s="69" t="str">
        <f>IF(AND(tblTarget[[#This Row],[Qualifies for exception]]="Flagged",tblTarget[[#This Row],[Target to PiN (%)]]&gt;Targ_severity5),"Flagged","")</f>
        <v/>
      </c>
      <c r="AL122" s="68" t="str">
        <f>IFERROR(IF(AND(tblTarget[[#This Row],[Intercluser Severity]]=4,tblTarget[[#This Row],[Qualifies for exception]]="Flagged",(tblTarget[[#This Row],[Cluster Target]]-tblTarget[[#This Row],[2024 Response capacity up to December]])/tblTarget[[#This Row],[Cluster Target]]&gt;Diff_severity4),"Flagged",""),"No target")</f>
        <v/>
      </c>
      <c r="AM122" s="68" t="str">
        <f>IFERROR(IF(AND(tblTarget[[#This Row],[Intercluser Severity]]=3,tblTarget[[#This Row],[Qualifies for exception]]="Flagged",(tblTarget[[#This Row],[Cluster Target]]-tblTarget[[#This Row],[2024 Response capacity up to December]])/tblTarget[[#This Row],[Cluster Target]]&gt;Diff_severity3),"Flagged",""),"No target")</f>
        <v>Flagged</v>
      </c>
      <c r="AN122" s="81" t="s">
        <v>1099</v>
      </c>
      <c r="AO122" s="81"/>
      <c r="AP122" s="81" t="s">
        <v>1099</v>
      </c>
      <c r="AQ122" s="81" t="s">
        <v>1107</v>
      </c>
    </row>
    <row r="123" spans="1:43" ht="15.95" hidden="1" customHeight="1" x14ac:dyDescent="0.2">
      <c r="A123" s="62" t="s">
        <v>560</v>
      </c>
      <c r="B123" s="63" t="s">
        <v>274</v>
      </c>
      <c r="C123" s="64" t="s">
        <v>275</v>
      </c>
      <c r="D123" s="63" t="s">
        <v>280</v>
      </c>
      <c r="E123" s="64" t="s">
        <v>281</v>
      </c>
      <c r="F123" s="65">
        <v>20</v>
      </c>
      <c r="G123" s="66" t="s">
        <v>30</v>
      </c>
      <c r="H123" s="67">
        <v>18</v>
      </c>
      <c r="I123" s="68">
        <v>3</v>
      </c>
      <c r="J123" s="68">
        <v>3</v>
      </c>
      <c r="K123" s="91">
        <v>0</v>
      </c>
      <c r="L123" s="91">
        <v>0</v>
      </c>
      <c r="M123" s="91">
        <v>0</v>
      </c>
      <c r="N123" s="91">
        <v>0</v>
      </c>
      <c r="O123" s="91">
        <v>0</v>
      </c>
      <c r="P123" s="91">
        <v>0</v>
      </c>
      <c r="Q123" s="85">
        <v>0</v>
      </c>
      <c r="R123" s="69" t="s">
        <v>1107</v>
      </c>
      <c r="S123" s="86">
        <v>0</v>
      </c>
      <c r="T123" s="69">
        <v>0</v>
      </c>
      <c r="U123" s="68">
        <v>0</v>
      </c>
      <c r="V123" s="68">
        <v>0</v>
      </c>
      <c r="W123" s="68">
        <v>0</v>
      </c>
      <c r="X123" s="68">
        <v>0</v>
      </c>
      <c r="Y123" s="68">
        <v>0</v>
      </c>
      <c r="Z123" s="68">
        <v>0</v>
      </c>
      <c r="AA123" s="68">
        <v>0</v>
      </c>
      <c r="AB123" s="69">
        <v>0</v>
      </c>
      <c r="AC123" s="69">
        <v>0</v>
      </c>
      <c r="AD123" s="70">
        <f>IFERROR(tblTarget[[#This Row],[Cluster Target]]/tblTarget[[#This Row],[Cluster PiN]],0)</f>
        <v>0</v>
      </c>
      <c r="AE123" s="79">
        <f>_xlfn.XLOOKUP(tblTarget[[#This Row],[ID]],tblResponse[ID],tblResponse[2024 Projected reached (Dec 2024)])</f>
        <v>0</v>
      </c>
      <c r="AF123" s="79">
        <f>_xlfn.XLOOKUP(tblTarget[[#This Row],[ID]],tblResponse[ID],tblResponse[2024 Intercluster reached -August RPM])</f>
        <v>13808.078587330463</v>
      </c>
      <c r="AG123" s="79">
        <v>1</v>
      </c>
      <c r="AH123" s="79"/>
      <c r="AI123" s="79"/>
      <c r="AJ123" s="70" t="str">
        <f>IF(tblTarget[[#This Row],[Target to PiN (%)]]&gt;Targ_vs_PiN,"Flagged","")</f>
        <v/>
      </c>
      <c r="AK123" s="69" t="str">
        <f>IF(AND(tblTarget[[#This Row],[Qualifies for exception]]="Flagged",tblTarget[[#This Row],[Target to PiN (%)]]&gt;Targ_severity5),"Flagged","")</f>
        <v/>
      </c>
      <c r="AL123" s="68" t="str">
        <f>IFERROR(IF(AND(tblTarget[[#This Row],[Intercluser Severity]]=4,tblTarget[[#This Row],[Qualifies for exception]]="Flagged",(tblTarget[[#This Row],[Cluster Target]]-tblTarget[[#This Row],[2024 Response capacity up to December]])/tblTarget[[#This Row],[Cluster Target]]&gt;Diff_severity4),"Flagged",""),"No target")</f>
        <v>No target</v>
      </c>
      <c r="AM123" s="68" t="str">
        <f>IFERROR(IF(AND(tblTarget[[#This Row],[Intercluser Severity]]=3,tblTarget[[#This Row],[Qualifies for exception]]="Flagged",(tblTarget[[#This Row],[Cluster Target]]-tblTarget[[#This Row],[2024 Response capacity up to December]])/tblTarget[[#This Row],[Cluster Target]]&gt;Diff_severity3),"Flagged",""),"No target")</f>
        <v>No target</v>
      </c>
      <c r="AN123" s="81" t="s">
        <v>1099</v>
      </c>
      <c r="AO123" s="81"/>
      <c r="AP123" s="81" t="s">
        <v>1099</v>
      </c>
      <c r="AQ123" s="81" t="s">
        <v>1107</v>
      </c>
    </row>
    <row r="124" spans="1:43" ht="15.95" hidden="1" customHeight="1" x14ac:dyDescent="0.2">
      <c r="A124" s="62" t="s">
        <v>561</v>
      </c>
      <c r="B124" s="63" t="s">
        <v>274</v>
      </c>
      <c r="C124" s="64" t="s">
        <v>275</v>
      </c>
      <c r="D124" s="63" t="s">
        <v>282</v>
      </c>
      <c r="E124" s="64" t="s">
        <v>283</v>
      </c>
      <c r="F124" s="65">
        <v>1655</v>
      </c>
      <c r="G124" s="66" t="s">
        <v>30</v>
      </c>
      <c r="H124" s="67">
        <v>727</v>
      </c>
      <c r="I124" s="68">
        <v>3</v>
      </c>
      <c r="J124" s="68">
        <v>3</v>
      </c>
      <c r="K124" s="91">
        <v>86.800000000000011</v>
      </c>
      <c r="L124" s="91">
        <v>40.961572815398277</v>
      </c>
      <c r="M124" s="91">
        <v>45.838427184601734</v>
      </c>
      <c r="N124" s="91">
        <v>43.400000000000006</v>
      </c>
      <c r="O124" s="91">
        <v>38.192000000000007</v>
      </c>
      <c r="P124" s="91">
        <v>5.2080000000000002</v>
      </c>
      <c r="Q124" s="85">
        <v>13.020000000000001</v>
      </c>
      <c r="R124" s="69" t="s">
        <v>1107</v>
      </c>
      <c r="S124" s="86">
        <v>12</v>
      </c>
      <c r="T124" s="69">
        <v>3</v>
      </c>
      <c r="U124" s="68">
        <v>0</v>
      </c>
      <c r="V124" s="68">
        <v>0</v>
      </c>
      <c r="W124" s="68">
        <v>1</v>
      </c>
      <c r="X124" s="68">
        <v>2</v>
      </c>
      <c r="Y124" s="68">
        <v>5</v>
      </c>
      <c r="Z124" s="68">
        <v>1</v>
      </c>
      <c r="AA124" s="68">
        <v>0</v>
      </c>
      <c r="AB124" s="69">
        <v>0</v>
      </c>
      <c r="AC124" s="69">
        <v>0</v>
      </c>
      <c r="AD124" s="70">
        <f>IFERROR(tblTarget[[#This Row],[Cluster Target]]/tblTarget[[#This Row],[Cluster PiN]],0)</f>
        <v>0.11939477303988998</v>
      </c>
      <c r="AE124" s="79">
        <f>_xlfn.XLOOKUP(tblTarget[[#This Row],[ID]],tblResponse[ID],tblResponse[2024 Projected reached (Dec 2024)])</f>
        <v>0</v>
      </c>
      <c r="AF124" s="79">
        <f>_xlfn.XLOOKUP(tblTarget[[#This Row],[ID]],tblResponse[ID],tblResponse[2024 Intercluster reached -August RPM])</f>
        <v>8286.5262863975477</v>
      </c>
      <c r="AG124" s="79">
        <v>1</v>
      </c>
      <c r="AH124" s="79"/>
      <c r="AI124" s="79"/>
      <c r="AJ124" s="70" t="str">
        <f>IF(tblTarget[[#This Row],[Target to PiN (%)]]&gt;Targ_vs_PiN,"Flagged","")</f>
        <v/>
      </c>
      <c r="AK124" s="69" t="str">
        <f>IF(AND(tblTarget[[#This Row],[Qualifies for exception]]="Flagged",tblTarget[[#This Row],[Target to PiN (%)]]&gt;Targ_severity5),"Flagged","")</f>
        <v/>
      </c>
      <c r="AL124" s="68" t="str">
        <f>IFERROR(IF(AND(tblTarget[[#This Row],[Intercluser Severity]]=4,tblTarget[[#This Row],[Qualifies for exception]]="Flagged",(tblTarget[[#This Row],[Cluster Target]]-tblTarget[[#This Row],[2024 Response capacity up to December]])/tblTarget[[#This Row],[Cluster Target]]&gt;Diff_severity4),"Flagged",""),"No target")</f>
        <v/>
      </c>
      <c r="AM124" s="68" t="str">
        <f>IFERROR(IF(AND(tblTarget[[#This Row],[Intercluser Severity]]=3,tblTarget[[#This Row],[Qualifies for exception]]="Flagged",(tblTarget[[#This Row],[Cluster Target]]-tblTarget[[#This Row],[2024 Response capacity up to December]])/tblTarget[[#This Row],[Cluster Target]]&gt;Diff_severity3),"Flagged",""),"No target")</f>
        <v>Flagged</v>
      </c>
      <c r="AN124" s="81" t="s">
        <v>1099</v>
      </c>
      <c r="AO124" s="81"/>
      <c r="AP124" s="81" t="s">
        <v>1099</v>
      </c>
      <c r="AQ124" s="81" t="s">
        <v>1107</v>
      </c>
    </row>
    <row r="125" spans="1:43" ht="15.95" hidden="1" customHeight="1" x14ac:dyDescent="0.2">
      <c r="A125" s="62" t="s">
        <v>562</v>
      </c>
      <c r="B125" s="63" t="s">
        <v>274</v>
      </c>
      <c r="C125" s="64" t="s">
        <v>275</v>
      </c>
      <c r="D125" s="63" t="s">
        <v>284</v>
      </c>
      <c r="E125" s="64" t="s">
        <v>285</v>
      </c>
      <c r="F125" s="65">
        <v>7610</v>
      </c>
      <c r="G125" s="66" t="s">
        <v>30</v>
      </c>
      <c r="H125" s="67">
        <v>6248</v>
      </c>
      <c r="I125" s="68">
        <v>3</v>
      </c>
      <c r="J125" s="68">
        <v>3</v>
      </c>
      <c r="K125" s="91">
        <v>409.40000000000003</v>
      </c>
      <c r="L125" s="91">
        <v>195.85553683021485</v>
      </c>
      <c r="M125" s="91">
        <v>213.54446316978519</v>
      </c>
      <c r="N125" s="91">
        <v>204.70000000000002</v>
      </c>
      <c r="O125" s="91">
        <v>180.13600000000002</v>
      </c>
      <c r="P125" s="91">
        <v>24.564</v>
      </c>
      <c r="Q125" s="85">
        <v>61.410000000000004</v>
      </c>
      <c r="R125" s="69" t="s">
        <v>1107</v>
      </c>
      <c r="S125" s="86">
        <v>59</v>
      </c>
      <c r="T125" s="69">
        <v>15</v>
      </c>
      <c r="U125" s="68">
        <v>0</v>
      </c>
      <c r="V125" s="68">
        <v>0</v>
      </c>
      <c r="W125" s="68">
        <v>4</v>
      </c>
      <c r="X125" s="68">
        <v>8</v>
      </c>
      <c r="Y125" s="68">
        <v>25</v>
      </c>
      <c r="Z125" s="68">
        <v>4</v>
      </c>
      <c r="AA125" s="68">
        <v>0</v>
      </c>
      <c r="AB125" s="69">
        <v>0</v>
      </c>
      <c r="AC125" s="69">
        <v>0</v>
      </c>
      <c r="AD125" s="70">
        <f>IFERROR(tblTarget[[#This Row],[Cluster Target]]/tblTarget[[#This Row],[Cluster PiN]],0)</f>
        <v>6.5524967989756724E-2</v>
      </c>
      <c r="AE125" s="79">
        <f>_xlfn.XLOOKUP(tblTarget[[#This Row],[ID]],tblResponse[ID],tblResponse[2024 Projected reached (Dec 2024)])</f>
        <v>0</v>
      </c>
      <c r="AF125" s="79">
        <f>_xlfn.XLOOKUP(tblTarget[[#This Row],[ID]],tblResponse[ID],tblResponse[2024 Intercluster reached -August RPM])</f>
        <v>13466.654674145559</v>
      </c>
      <c r="AG125" s="79">
        <v>2</v>
      </c>
      <c r="AH125" s="79"/>
      <c r="AI125" s="79"/>
      <c r="AJ125" s="70" t="str">
        <f>IF(tblTarget[[#This Row],[Target to PiN (%)]]&gt;Targ_vs_PiN,"Flagged","")</f>
        <v/>
      </c>
      <c r="AK125" s="69" t="str">
        <f>IF(AND(tblTarget[[#This Row],[Qualifies for exception]]="Flagged",tblTarget[[#This Row],[Target to PiN (%)]]&gt;Targ_severity5),"Flagged","")</f>
        <v/>
      </c>
      <c r="AL125" s="68" t="str">
        <f>IFERROR(IF(AND(tblTarget[[#This Row],[Intercluser Severity]]=4,tblTarget[[#This Row],[Qualifies for exception]]="Flagged",(tblTarget[[#This Row],[Cluster Target]]-tblTarget[[#This Row],[2024 Response capacity up to December]])/tblTarget[[#This Row],[Cluster Target]]&gt;Diff_severity4),"Flagged",""),"No target")</f>
        <v/>
      </c>
      <c r="AM125" s="68" t="str">
        <f>IFERROR(IF(AND(tblTarget[[#This Row],[Intercluser Severity]]=3,tblTarget[[#This Row],[Qualifies for exception]]="Flagged",(tblTarget[[#This Row],[Cluster Target]]-tblTarget[[#This Row],[2024 Response capacity up to December]])/tblTarget[[#This Row],[Cluster Target]]&gt;Diff_severity3),"Flagged",""),"No target")</f>
        <v>Flagged</v>
      </c>
      <c r="AN125" s="81" t="s">
        <v>1099</v>
      </c>
      <c r="AO125" s="81"/>
      <c r="AP125" s="81" t="s">
        <v>1099</v>
      </c>
      <c r="AQ125" s="81" t="s">
        <v>1107</v>
      </c>
    </row>
    <row r="126" spans="1:43" ht="15.95" hidden="1" customHeight="1" x14ac:dyDescent="0.2">
      <c r="A126" s="62" t="s">
        <v>563</v>
      </c>
      <c r="B126" s="63" t="s">
        <v>274</v>
      </c>
      <c r="C126" s="64" t="s">
        <v>275</v>
      </c>
      <c r="D126" s="63" t="s">
        <v>286</v>
      </c>
      <c r="E126" s="64" t="s">
        <v>287</v>
      </c>
      <c r="F126" s="65">
        <v>5790</v>
      </c>
      <c r="G126" s="66" t="s">
        <v>30</v>
      </c>
      <c r="H126" s="67">
        <v>871</v>
      </c>
      <c r="I126" s="68">
        <v>2</v>
      </c>
      <c r="J126" s="68">
        <v>3</v>
      </c>
      <c r="K126" s="91">
        <v>0</v>
      </c>
      <c r="L126" s="91">
        <v>0</v>
      </c>
      <c r="M126" s="91">
        <v>0</v>
      </c>
      <c r="N126" s="91">
        <v>0</v>
      </c>
      <c r="O126" s="91">
        <v>0</v>
      </c>
      <c r="P126" s="91">
        <v>0</v>
      </c>
      <c r="Q126" s="85">
        <v>0</v>
      </c>
      <c r="R126" s="69" t="s">
        <v>1107</v>
      </c>
      <c r="S126" s="86">
        <v>0</v>
      </c>
      <c r="T126" s="69">
        <v>0</v>
      </c>
      <c r="U126" s="68">
        <v>0</v>
      </c>
      <c r="V126" s="68">
        <v>0</v>
      </c>
      <c r="W126" s="68">
        <v>0</v>
      </c>
      <c r="X126" s="68">
        <v>0</v>
      </c>
      <c r="Y126" s="68">
        <v>0</v>
      </c>
      <c r="Z126" s="68">
        <v>0</v>
      </c>
      <c r="AA126" s="68">
        <v>0</v>
      </c>
      <c r="AB126" s="69">
        <v>0</v>
      </c>
      <c r="AC126" s="69">
        <v>0</v>
      </c>
      <c r="AD126" s="70">
        <f>IFERROR(tblTarget[[#This Row],[Cluster Target]]/tblTarget[[#This Row],[Cluster PiN]],0)</f>
        <v>0</v>
      </c>
      <c r="AE126" s="79">
        <f>_xlfn.XLOOKUP(tblTarget[[#This Row],[ID]],tblResponse[ID],tblResponse[2024 Projected reached (Dec 2024)])</f>
        <v>0</v>
      </c>
      <c r="AF126" s="79">
        <f>_xlfn.XLOOKUP(tblTarget[[#This Row],[ID]],tblResponse[ID],tblResponse[2024 Intercluster reached -August RPM])</f>
        <v>60872.10566937003</v>
      </c>
      <c r="AG126" s="79">
        <v>1</v>
      </c>
      <c r="AH126" s="79"/>
      <c r="AI126" s="79"/>
      <c r="AJ126" s="70" t="str">
        <f>IF(tblTarget[[#This Row],[Target to PiN (%)]]&gt;Targ_vs_PiN,"Flagged","")</f>
        <v/>
      </c>
      <c r="AK126" s="69" t="str">
        <f>IF(AND(tblTarget[[#This Row],[Qualifies for exception]]="Flagged",tblTarget[[#This Row],[Target to PiN (%)]]&gt;Targ_severity5),"Flagged","")</f>
        <v/>
      </c>
      <c r="AL126" s="68" t="str">
        <f>IFERROR(IF(AND(tblTarget[[#This Row],[Intercluser Severity]]=4,tblTarget[[#This Row],[Qualifies for exception]]="Flagged",(tblTarget[[#This Row],[Cluster Target]]-tblTarget[[#This Row],[2024 Response capacity up to December]])/tblTarget[[#This Row],[Cluster Target]]&gt;Diff_severity4),"Flagged",""),"No target")</f>
        <v>No target</v>
      </c>
      <c r="AM126" s="68" t="str">
        <f>IFERROR(IF(AND(tblTarget[[#This Row],[Intercluser Severity]]=3,tblTarget[[#This Row],[Qualifies for exception]]="Flagged",(tblTarget[[#This Row],[Cluster Target]]-tblTarget[[#This Row],[2024 Response capacity up to December]])/tblTarget[[#This Row],[Cluster Target]]&gt;Diff_severity3),"Flagged",""),"No target")</f>
        <v>No target</v>
      </c>
      <c r="AN126" s="81" t="s">
        <v>1099</v>
      </c>
      <c r="AO126" s="81"/>
      <c r="AP126" s="81" t="s">
        <v>1099</v>
      </c>
      <c r="AQ126" s="81" t="s">
        <v>1107</v>
      </c>
    </row>
    <row r="127" spans="1:43" ht="15.95" hidden="1" customHeight="1" x14ac:dyDescent="0.2">
      <c r="A127" s="62" t="s">
        <v>564</v>
      </c>
      <c r="B127" s="63" t="s">
        <v>274</v>
      </c>
      <c r="C127" s="64" t="s">
        <v>275</v>
      </c>
      <c r="D127" s="63" t="s">
        <v>288</v>
      </c>
      <c r="E127" s="64" t="s">
        <v>289</v>
      </c>
      <c r="F127" s="65">
        <v>735</v>
      </c>
      <c r="G127" s="66" t="s">
        <v>30</v>
      </c>
      <c r="H127" s="67">
        <v>374</v>
      </c>
      <c r="I127" s="68">
        <v>3</v>
      </c>
      <c r="J127" s="68">
        <v>4</v>
      </c>
      <c r="K127" s="91">
        <v>3.8000000000000003</v>
      </c>
      <c r="L127" s="91">
        <v>1.5623204900318419</v>
      </c>
      <c r="M127" s="91">
        <v>2.2376795099681583</v>
      </c>
      <c r="N127" s="91">
        <v>1.9000000000000001</v>
      </c>
      <c r="O127" s="91">
        <v>1.6720000000000002</v>
      </c>
      <c r="P127" s="91">
        <v>0.22800000000000001</v>
      </c>
      <c r="Q127" s="85">
        <v>0.57000000000000006</v>
      </c>
      <c r="R127" s="69" t="s">
        <v>1107</v>
      </c>
      <c r="S127" s="86">
        <v>1</v>
      </c>
      <c r="T127" s="69">
        <v>0</v>
      </c>
      <c r="U127" s="68">
        <v>0</v>
      </c>
      <c r="V127" s="68">
        <v>0</v>
      </c>
      <c r="W127" s="68">
        <v>0</v>
      </c>
      <c r="X127" s="68">
        <v>0</v>
      </c>
      <c r="Y127" s="68">
        <v>0</v>
      </c>
      <c r="Z127" s="68">
        <v>0</v>
      </c>
      <c r="AA127" s="68">
        <v>0</v>
      </c>
      <c r="AB127" s="69">
        <v>0</v>
      </c>
      <c r="AC127" s="69">
        <v>0</v>
      </c>
      <c r="AD127" s="70">
        <f>IFERROR(tblTarget[[#This Row],[Cluster Target]]/tblTarget[[#This Row],[Cluster PiN]],0)</f>
        <v>1.0160427807486631E-2</v>
      </c>
      <c r="AE127" s="79">
        <f>_xlfn.XLOOKUP(tblTarget[[#This Row],[ID]],tblResponse[ID],tblResponse[2024 Projected reached (Dec 2024)])</f>
        <v>0</v>
      </c>
      <c r="AF127" s="79">
        <f>_xlfn.XLOOKUP(tblTarget[[#This Row],[ID]],tblResponse[ID],tblResponse[2024 Intercluster reached -August RPM])</f>
        <v>106311.57060711585</v>
      </c>
      <c r="AG127" s="79">
        <v>1</v>
      </c>
      <c r="AH127" s="79"/>
      <c r="AI127" s="79"/>
      <c r="AJ127" s="70" t="str">
        <f>IF(tblTarget[[#This Row],[Target to PiN (%)]]&gt;Targ_vs_PiN,"Flagged","")</f>
        <v/>
      </c>
      <c r="AK127" s="69" t="str">
        <f>IF(AND(tblTarget[[#This Row],[Qualifies for exception]]="Flagged",tblTarget[[#This Row],[Target to PiN (%)]]&gt;Targ_severity5),"Flagged","")</f>
        <v/>
      </c>
      <c r="AL127" s="68" t="str">
        <f>IFERROR(IF(AND(tblTarget[[#This Row],[Intercluser Severity]]=4,tblTarget[[#This Row],[Qualifies for exception]]="Flagged",(tblTarget[[#This Row],[Cluster Target]]-tblTarget[[#This Row],[2024 Response capacity up to December]])/tblTarget[[#This Row],[Cluster Target]]&gt;Diff_severity4),"Flagged",""),"No target")</f>
        <v>Flagged</v>
      </c>
      <c r="AM127" s="68" t="str">
        <f>IFERROR(IF(AND(tblTarget[[#This Row],[Intercluser Severity]]=3,tblTarget[[#This Row],[Qualifies for exception]]="Flagged",(tblTarget[[#This Row],[Cluster Target]]-tblTarget[[#This Row],[2024 Response capacity up to December]])/tblTarget[[#This Row],[Cluster Target]]&gt;Diff_severity3),"Flagged",""),"No target")</f>
        <v/>
      </c>
      <c r="AN127" s="81" t="s">
        <v>1099</v>
      </c>
      <c r="AO127" s="81"/>
      <c r="AP127" s="81" t="s">
        <v>1099</v>
      </c>
      <c r="AQ127" s="81" t="s">
        <v>1107</v>
      </c>
    </row>
    <row r="128" spans="1:43" ht="15.95" hidden="1" customHeight="1" x14ac:dyDescent="0.2">
      <c r="A128" s="62" t="s">
        <v>565</v>
      </c>
      <c r="B128" s="63" t="s">
        <v>274</v>
      </c>
      <c r="C128" s="64" t="s">
        <v>275</v>
      </c>
      <c r="D128" s="63" t="s">
        <v>290</v>
      </c>
      <c r="E128" s="64" t="s">
        <v>291</v>
      </c>
      <c r="F128" s="65">
        <v>3585</v>
      </c>
      <c r="G128" s="66" t="s">
        <v>30</v>
      </c>
      <c r="H128" s="67">
        <v>2167</v>
      </c>
      <c r="I128" s="68">
        <v>3</v>
      </c>
      <c r="J128" s="68">
        <v>3</v>
      </c>
      <c r="K128" s="91">
        <v>0</v>
      </c>
      <c r="L128" s="91">
        <v>0</v>
      </c>
      <c r="M128" s="91">
        <v>0</v>
      </c>
      <c r="N128" s="91">
        <v>0</v>
      </c>
      <c r="O128" s="91">
        <v>0</v>
      </c>
      <c r="P128" s="91">
        <v>0</v>
      </c>
      <c r="Q128" s="85">
        <v>0</v>
      </c>
      <c r="R128" s="69" t="s">
        <v>1107</v>
      </c>
      <c r="S128" s="86">
        <v>0</v>
      </c>
      <c r="T128" s="69">
        <v>0</v>
      </c>
      <c r="U128" s="68">
        <v>0</v>
      </c>
      <c r="V128" s="68">
        <v>0</v>
      </c>
      <c r="W128" s="68">
        <v>0</v>
      </c>
      <c r="X128" s="68">
        <v>0</v>
      </c>
      <c r="Y128" s="68">
        <v>0</v>
      </c>
      <c r="Z128" s="68">
        <v>0</v>
      </c>
      <c r="AA128" s="68">
        <v>0</v>
      </c>
      <c r="AB128" s="69">
        <v>0</v>
      </c>
      <c r="AC128" s="69">
        <v>0</v>
      </c>
      <c r="AD128" s="70">
        <f>IFERROR(tblTarget[[#This Row],[Cluster Target]]/tblTarget[[#This Row],[Cluster PiN]],0)</f>
        <v>0</v>
      </c>
      <c r="AE128" s="79">
        <f>_xlfn.XLOOKUP(tblTarget[[#This Row],[ID]],tblResponse[ID],tblResponse[2024 Projected reached (Dec 2024)])</f>
        <v>0</v>
      </c>
      <c r="AF128" s="79">
        <f>_xlfn.XLOOKUP(tblTarget[[#This Row],[ID]],tblResponse[ID],tblResponse[2024 Intercluster reached -August RPM])</f>
        <v>50257.879876484418</v>
      </c>
      <c r="AG128" s="79">
        <v>1</v>
      </c>
      <c r="AH128" s="79"/>
      <c r="AI128" s="79"/>
      <c r="AJ128" s="70" t="str">
        <f>IF(tblTarget[[#This Row],[Target to PiN (%)]]&gt;Targ_vs_PiN,"Flagged","")</f>
        <v/>
      </c>
      <c r="AK128" s="69" t="str">
        <f>IF(AND(tblTarget[[#This Row],[Qualifies for exception]]="Flagged",tblTarget[[#This Row],[Target to PiN (%)]]&gt;Targ_severity5),"Flagged","")</f>
        <v/>
      </c>
      <c r="AL128" s="68" t="str">
        <f>IFERROR(IF(AND(tblTarget[[#This Row],[Intercluser Severity]]=4,tblTarget[[#This Row],[Qualifies for exception]]="Flagged",(tblTarget[[#This Row],[Cluster Target]]-tblTarget[[#This Row],[2024 Response capacity up to December]])/tblTarget[[#This Row],[Cluster Target]]&gt;Diff_severity4),"Flagged",""),"No target")</f>
        <v>No target</v>
      </c>
      <c r="AM128" s="68" t="str">
        <f>IFERROR(IF(AND(tblTarget[[#This Row],[Intercluser Severity]]=3,tblTarget[[#This Row],[Qualifies for exception]]="Flagged",(tblTarget[[#This Row],[Cluster Target]]-tblTarget[[#This Row],[2024 Response capacity up to December]])/tblTarget[[#This Row],[Cluster Target]]&gt;Diff_severity3),"Flagged",""),"No target")</f>
        <v>No target</v>
      </c>
      <c r="AN128" s="81" t="s">
        <v>1099</v>
      </c>
      <c r="AO128" s="81"/>
      <c r="AP128" s="81" t="s">
        <v>1099</v>
      </c>
      <c r="AQ128" s="81" t="s">
        <v>1107</v>
      </c>
    </row>
    <row r="129" spans="1:43" ht="15.95" hidden="1" customHeight="1" x14ac:dyDescent="0.2">
      <c r="A129" s="62" t="s">
        <v>566</v>
      </c>
      <c r="B129" s="63" t="s">
        <v>274</v>
      </c>
      <c r="C129" s="64" t="s">
        <v>275</v>
      </c>
      <c r="D129" s="63" t="s">
        <v>292</v>
      </c>
      <c r="E129" s="64" t="s">
        <v>293</v>
      </c>
      <c r="F129" s="65">
        <v>27095</v>
      </c>
      <c r="G129" s="66" t="s">
        <v>30</v>
      </c>
      <c r="H129" s="67">
        <v>3781</v>
      </c>
      <c r="I129" s="68">
        <v>2</v>
      </c>
      <c r="J129" s="68">
        <v>3</v>
      </c>
      <c r="K129" s="91">
        <v>0</v>
      </c>
      <c r="L129" s="91">
        <v>0</v>
      </c>
      <c r="M129" s="91">
        <v>0</v>
      </c>
      <c r="N129" s="91">
        <v>0</v>
      </c>
      <c r="O129" s="91">
        <v>0</v>
      </c>
      <c r="P129" s="91">
        <v>0</v>
      </c>
      <c r="Q129" s="85">
        <v>0</v>
      </c>
      <c r="R129" s="69" t="s">
        <v>1107</v>
      </c>
      <c r="S129" s="86">
        <v>0</v>
      </c>
      <c r="T129" s="69">
        <v>0</v>
      </c>
      <c r="U129" s="68">
        <v>0</v>
      </c>
      <c r="V129" s="68">
        <v>0</v>
      </c>
      <c r="W129" s="68">
        <v>0</v>
      </c>
      <c r="X129" s="68">
        <v>0</v>
      </c>
      <c r="Y129" s="68">
        <v>0</v>
      </c>
      <c r="Z129" s="68">
        <v>0</v>
      </c>
      <c r="AA129" s="68">
        <v>0</v>
      </c>
      <c r="AB129" s="69">
        <v>0</v>
      </c>
      <c r="AC129" s="69">
        <v>0</v>
      </c>
      <c r="AD129" s="70">
        <f>IFERROR(tblTarget[[#This Row],[Cluster Target]]/tblTarget[[#This Row],[Cluster PiN]],0)</f>
        <v>0</v>
      </c>
      <c r="AE129" s="79">
        <f>_xlfn.XLOOKUP(tblTarget[[#This Row],[ID]],tblResponse[ID],tblResponse[2024 Projected reached (Dec 2024)])</f>
        <v>0</v>
      </c>
      <c r="AF129" s="79">
        <f>_xlfn.XLOOKUP(tblTarget[[#This Row],[ID]],tblResponse[ID],tblResponse[2024 Intercluster reached -August RPM])</f>
        <v>17779.230495604061</v>
      </c>
      <c r="AG129" s="79">
        <v>5</v>
      </c>
      <c r="AH129" s="79"/>
      <c r="AI129" s="79"/>
      <c r="AJ129" s="70" t="str">
        <f>IF(tblTarget[[#This Row],[Target to PiN (%)]]&gt;Targ_vs_PiN,"Flagged","")</f>
        <v/>
      </c>
      <c r="AK129" s="69" t="str">
        <f>IF(AND(tblTarget[[#This Row],[Qualifies for exception]]="Flagged",tblTarget[[#This Row],[Target to PiN (%)]]&gt;Targ_severity5),"Flagged","")</f>
        <v/>
      </c>
      <c r="AL129" s="68" t="str">
        <f>IFERROR(IF(AND(tblTarget[[#This Row],[Intercluser Severity]]=4,tblTarget[[#This Row],[Qualifies for exception]]="Flagged",(tblTarget[[#This Row],[Cluster Target]]-tblTarget[[#This Row],[2024 Response capacity up to December]])/tblTarget[[#This Row],[Cluster Target]]&gt;Diff_severity4),"Flagged",""),"No target")</f>
        <v>No target</v>
      </c>
      <c r="AM129" s="68" t="str">
        <f>IFERROR(IF(AND(tblTarget[[#This Row],[Intercluser Severity]]=3,tblTarget[[#This Row],[Qualifies for exception]]="Flagged",(tblTarget[[#This Row],[Cluster Target]]-tblTarget[[#This Row],[2024 Response capacity up to December]])/tblTarget[[#This Row],[Cluster Target]]&gt;Diff_severity3),"Flagged",""),"No target")</f>
        <v>No target</v>
      </c>
      <c r="AN129" s="81" t="s">
        <v>1099</v>
      </c>
      <c r="AO129" s="81"/>
      <c r="AP129" s="81" t="s">
        <v>1099</v>
      </c>
      <c r="AQ129" s="81" t="s">
        <v>1107</v>
      </c>
    </row>
    <row r="130" spans="1:43" ht="15.95" hidden="1" customHeight="1" x14ac:dyDescent="0.2">
      <c r="A130" s="62" t="s">
        <v>567</v>
      </c>
      <c r="B130" s="63" t="s">
        <v>274</v>
      </c>
      <c r="C130" s="64" t="s">
        <v>275</v>
      </c>
      <c r="D130" s="63" t="s">
        <v>294</v>
      </c>
      <c r="E130" s="64" t="s">
        <v>295</v>
      </c>
      <c r="F130" s="65">
        <v>35641</v>
      </c>
      <c r="G130" s="66" t="s">
        <v>30</v>
      </c>
      <c r="H130" s="67">
        <v>8555</v>
      </c>
      <c r="I130" s="68">
        <v>3</v>
      </c>
      <c r="J130" s="68">
        <v>3</v>
      </c>
      <c r="K130" s="91">
        <v>0</v>
      </c>
      <c r="L130" s="91">
        <v>0</v>
      </c>
      <c r="M130" s="91">
        <v>0</v>
      </c>
      <c r="N130" s="91">
        <v>0</v>
      </c>
      <c r="O130" s="91">
        <v>0</v>
      </c>
      <c r="P130" s="91">
        <v>0</v>
      </c>
      <c r="Q130" s="85">
        <v>0</v>
      </c>
      <c r="R130" s="69" t="s">
        <v>1107</v>
      </c>
      <c r="S130" s="86">
        <v>0</v>
      </c>
      <c r="T130" s="69">
        <v>0</v>
      </c>
      <c r="U130" s="68">
        <v>0</v>
      </c>
      <c r="V130" s="68">
        <v>0</v>
      </c>
      <c r="W130" s="68">
        <v>0</v>
      </c>
      <c r="X130" s="68">
        <v>0</v>
      </c>
      <c r="Y130" s="68">
        <v>0</v>
      </c>
      <c r="Z130" s="68">
        <v>0</v>
      </c>
      <c r="AA130" s="68">
        <v>0</v>
      </c>
      <c r="AB130" s="69">
        <v>0</v>
      </c>
      <c r="AC130" s="69">
        <v>0</v>
      </c>
      <c r="AD130" s="70">
        <f>IFERROR(tblTarget[[#This Row],[Cluster Target]]/tblTarget[[#This Row],[Cluster PiN]],0)</f>
        <v>0</v>
      </c>
      <c r="AE130" s="79">
        <f>_xlfn.XLOOKUP(tblTarget[[#This Row],[ID]],tblResponse[ID],tblResponse[2024 Projected reached (Dec 2024)])</f>
        <v>0</v>
      </c>
      <c r="AF130" s="79">
        <f>_xlfn.XLOOKUP(tblTarget[[#This Row],[ID]],tblResponse[ID],tblResponse[2024 Intercluster reached -August RPM])</f>
        <v>57893.04209899847</v>
      </c>
      <c r="AG130" s="79">
        <v>4</v>
      </c>
      <c r="AH130" s="79"/>
      <c r="AI130" s="79"/>
      <c r="AJ130" s="70" t="str">
        <f>IF(tblTarget[[#This Row],[Target to PiN (%)]]&gt;Targ_vs_PiN,"Flagged","")</f>
        <v/>
      </c>
      <c r="AK130" s="69" t="str">
        <f>IF(AND(tblTarget[[#This Row],[Qualifies for exception]]="Flagged",tblTarget[[#This Row],[Target to PiN (%)]]&gt;Targ_severity5),"Flagged","")</f>
        <v/>
      </c>
      <c r="AL130" s="68" t="str">
        <f>IFERROR(IF(AND(tblTarget[[#This Row],[Intercluser Severity]]=4,tblTarget[[#This Row],[Qualifies for exception]]="Flagged",(tblTarget[[#This Row],[Cluster Target]]-tblTarget[[#This Row],[2024 Response capacity up to December]])/tblTarget[[#This Row],[Cluster Target]]&gt;Diff_severity4),"Flagged",""),"No target")</f>
        <v>No target</v>
      </c>
      <c r="AM130" s="68" t="str">
        <f>IFERROR(IF(AND(tblTarget[[#This Row],[Intercluser Severity]]=3,tblTarget[[#This Row],[Qualifies for exception]]="Flagged",(tblTarget[[#This Row],[Cluster Target]]-tblTarget[[#This Row],[2024 Response capacity up to December]])/tblTarget[[#This Row],[Cluster Target]]&gt;Diff_severity3),"Flagged",""),"No target")</f>
        <v>No target</v>
      </c>
      <c r="AN130" s="81" t="s">
        <v>1099</v>
      </c>
      <c r="AO130" s="81"/>
      <c r="AP130" s="81" t="s">
        <v>1099</v>
      </c>
      <c r="AQ130" s="81" t="s">
        <v>1107</v>
      </c>
    </row>
    <row r="131" spans="1:43" ht="15.95" hidden="1" customHeight="1" x14ac:dyDescent="0.2">
      <c r="A131" s="62" t="s">
        <v>568</v>
      </c>
      <c r="B131" s="63" t="s">
        <v>274</v>
      </c>
      <c r="C131" s="64" t="s">
        <v>275</v>
      </c>
      <c r="D131" s="63" t="s">
        <v>296</v>
      </c>
      <c r="E131" s="64" t="s">
        <v>297</v>
      </c>
      <c r="F131" s="65">
        <v>4067</v>
      </c>
      <c r="G131" s="66" t="s">
        <v>30</v>
      </c>
      <c r="H131" s="67">
        <v>3506</v>
      </c>
      <c r="I131" s="68">
        <v>4</v>
      </c>
      <c r="J131" s="68">
        <v>3</v>
      </c>
      <c r="K131" s="91">
        <v>280.40000000000003</v>
      </c>
      <c r="L131" s="91">
        <v>146.04913563926027</v>
      </c>
      <c r="M131" s="91">
        <v>134.35086436073976</v>
      </c>
      <c r="N131" s="91">
        <v>140.20000000000002</v>
      </c>
      <c r="O131" s="91">
        <v>123.37600000000002</v>
      </c>
      <c r="P131" s="91">
        <v>16.824000000000002</v>
      </c>
      <c r="Q131" s="85">
        <v>42.06</v>
      </c>
      <c r="R131" s="69" t="s">
        <v>1107</v>
      </c>
      <c r="S131" s="86">
        <v>40</v>
      </c>
      <c r="T131" s="69">
        <v>10</v>
      </c>
      <c r="U131" s="68">
        <v>0</v>
      </c>
      <c r="V131" s="68">
        <v>0</v>
      </c>
      <c r="W131" s="68">
        <v>3</v>
      </c>
      <c r="X131" s="68">
        <v>6</v>
      </c>
      <c r="Y131" s="68">
        <v>17</v>
      </c>
      <c r="Z131" s="68">
        <v>3</v>
      </c>
      <c r="AA131" s="68">
        <v>0</v>
      </c>
      <c r="AB131" s="69">
        <v>0</v>
      </c>
      <c r="AC131" s="69">
        <v>0</v>
      </c>
      <c r="AD131" s="70">
        <f>IFERROR(tblTarget[[#This Row],[Cluster Target]]/tblTarget[[#This Row],[Cluster PiN]],0)</f>
        <v>7.9977181973759276E-2</v>
      </c>
      <c r="AE131" s="79">
        <f>_xlfn.XLOOKUP(tblTarget[[#This Row],[ID]],tblResponse[ID],tblResponse[2024 Projected reached (Dec 2024)])</f>
        <v>0</v>
      </c>
      <c r="AF131" s="79">
        <f>_xlfn.XLOOKUP(tblTarget[[#This Row],[ID]],tblResponse[ID],tblResponse[2024 Intercluster reached -August RPM])</f>
        <v>46680.624818872908</v>
      </c>
      <c r="AG131" s="79">
        <v>1</v>
      </c>
      <c r="AH131" s="79"/>
      <c r="AI131" s="79"/>
      <c r="AJ131" s="70" t="str">
        <f>IF(tblTarget[[#This Row],[Target to PiN (%)]]&gt;Targ_vs_PiN,"Flagged","")</f>
        <v/>
      </c>
      <c r="AK131" s="69" t="str">
        <f>IF(AND(tblTarget[[#This Row],[Qualifies for exception]]="Flagged",tblTarget[[#This Row],[Target to PiN (%)]]&gt;Targ_severity5),"Flagged","")</f>
        <v/>
      </c>
      <c r="AL131" s="68" t="str">
        <f>IFERROR(IF(AND(tblTarget[[#This Row],[Intercluser Severity]]=4,tblTarget[[#This Row],[Qualifies for exception]]="Flagged",(tblTarget[[#This Row],[Cluster Target]]-tblTarget[[#This Row],[2024 Response capacity up to December]])/tblTarget[[#This Row],[Cluster Target]]&gt;Diff_severity4),"Flagged",""),"No target")</f>
        <v/>
      </c>
      <c r="AM131" s="68" t="str">
        <f>IFERROR(IF(AND(tblTarget[[#This Row],[Intercluser Severity]]=3,tblTarget[[#This Row],[Qualifies for exception]]="Flagged",(tblTarget[[#This Row],[Cluster Target]]-tblTarget[[#This Row],[2024 Response capacity up to December]])/tblTarget[[#This Row],[Cluster Target]]&gt;Diff_severity3),"Flagged",""),"No target")</f>
        <v>Flagged</v>
      </c>
      <c r="AN131" s="81" t="s">
        <v>1099</v>
      </c>
      <c r="AO131" s="81"/>
      <c r="AP131" s="81" t="s">
        <v>1099</v>
      </c>
      <c r="AQ131" s="81" t="s">
        <v>1107</v>
      </c>
    </row>
    <row r="132" spans="1:43" ht="15.95" hidden="1" customHeight="1" x14ac:dyDescent="0.2">
      <c r="A132" s="62" t="s">
        <v>569</v>
      </c>
      <c r="B132" s="63" t="s">
        <v>298</v>
      </c>
      <c r="C132" s="64" t="s">
        <v>299</v>
      </c>
      <c r="D132" s="63" t="s">
        <v>300</v>
      </c>
      <c r="E132" s="64" t="s">
        <v>301</v>
      </c>
      <c r="F132" s="65">
        <v>18466</v>
      </c>
      <c r="G132" s="66" t="s">
        <v>30</v>
      </c>
      <c r="H132" s="67">
        <v>5045</v>
      </c>
      <c r="I132" s="68">
        <v>3</v>
      </c>
      <c r="J132" s="68">
        <v>3</v>
      </c>
      <c r="K132" s="91">
        <v>55</v>
      </c>
      <c r="L132" s="91">
        <v>27.140221283599168</v>
      </c>
      <c r="M132" s="91">
        <v>27.859778716400829</v>
      </c>
      <c r="N132" s="91">
        <v>27.5</v>
      </c>
      <c r="O132" s="91">
        <v>24.2</v>
      </c>
      <c r="P132" s="91">
        <v>3.3</v>
      </c>
      <c r="Q132" s="85">
        <v>8.25</v>
      </c>
      <c r="R132" s="69" t="s">
        <v>1107</v>
      </c>
      <c r="S132" s="86">
        <v>8</v>
      </c>
      <c r="T132" s="69">
        <v>2</v>
      </c>
      <c r="U132" s="68">
        <v>0</v>
      </c>
      <c r="V132" s="68">
        <v>0</v>
      </c>
      <c r="W132" s="68">
        <v>1</v>
      </c>
      <c r="X132" s="68">
        <v>1</v>
      </c>
      <c r="Y132" s="68">
        <v>3</v>
      </c>
      <c r="Z132" s="68">
        <v>1</v>
      </c>
      <c r="AA132" s="68">
        <v>0</v>
      </c>
      <c r="AB132" s="69">
        <v>0</v>
      </c>
      <c r="AC132" s="69">
        <v>0</v>
      </c>
      <c r="AD132" s="70">
        <f>IFERROR(tblTarget[[#This Row],[Cluster Target]]/tblTarget[[#This Row],[Cluster PiN]],0)</f>
        <v>1.0901883052527254E-2</v>
      </c>
      <c r="AE132" s="79">
        <f>_xlfn.XLOOKUP(tblTarget[[#This Row],[ID]],tblResponse[ID],tblResponse[2024 Projected reached (Dec 2024)])</f>
        <v>0</v>
      </c>
      <c r="AF132" s="79">
        <f>_xlfn.XLOOKUP(tblTarget[[#This Row],[ID]],tblResponse[ID],tblResponse[2024 Intercluster reached -August RPM])</f>
        <v>38990.191102216224</v>
      </c>
      <c r="AG132" s="79">
        <v>2</v>
      </c>
      <c r="AH132" s="79"/>
      <c r="AI132" s="79"/>
      <c r="AJ132" s="70" t="str">
        <f>IF(tblTarget[[#This Row],[Target to PiN (%)]]&gt;Targ_vs_PiN,"Flagged","")</f>
        <v/>
      </c>
      <c r="AK132" s="69" t="str">
        <f>IF(AND(tblTarget[[#This Row],[Qualifies for exception]]="Flagged",tblTarget[[#This Row],[Target to PiN (%)]]&gt;Targ_severity5),"Flagged","")</f>
        <v/>
      </c>
      <c r="AL132" s="68" t="str">
        <f>IFERROR(IF(AND(tblTarget[[#This Row],[Intercluser Severity]]=4,tblTarget[[#This Row],[Qualifies for exception]]="Flagged",(tblTarget[[#This Row],[Cluster Target]]-tblTarget[[#This Row],[2024 Response capacity up to December]])/tblTarget[[#This Row],[Cluster Target]]&gt;Diff_severity4),"Flagged",""),"No target")</f>
        <v/>
      </c>
      <c r="AM132" s="68" t="str">
        <f>IFERROR(IF(AND(tblTarget[[#This Row],[Intercluser Severity]]=3,tblTarget[[#This Row],[Qualifies for exception]]="Flagged",(tblTarget[[#This Row],[Cluster Target]]-tblTarget[[#This Row],[2024 Response capacity up to December]])/tblTarget[[#This Row],[Cluster Target]]&gt;Diff_severity3),"Flagged",""),"No target")</f>
        <v>Flagged</v>
      </c>
      <c r="AN132" s="81" t="s">
        <v>1099</v>
      </c>
      <c r="AO132" s="81"/>
      <c r="AP132" s="81" t="s">
        <v>1099</v>
      </c>
      <c r="AQ132" s="81" t="s">
        <v>1107</v>
      </c>
    </row>
    <row r="133" spans="1:43" ht="15.95" hidden="1" customHeight="1" x14ac:dyDescent="0.2">
      <c r="A133" s="62" t="s">
        <v>570</v>
      </c>
      <c r="B133" s="63" t="s">
        <v>298</v>
      </c>
      <c r="C133" s="64" t="s">
        <v>299</v>
      </c>
      <c r="D133" s="63" t="s">
        <v>302</v>
      </c>
      <c r="E133" s="64" t="s">
        <v>303</v>
      </c>
      <c r="F133" s="65">
        <v>79708</v>
      </c>
      <c r="G133" s="66" t="s">
        <v>30</v>
      </c>
      <c r="H133" s="67">
        <v>18146</v>
      </c>
      <c r="I133" s="68">
        <v>3</v>
      </c>
      <c r="J133" s="68">
        <v>3</v>
      </c>
      <c r="K133" s="91">
        <v>1451.6000000000001</v>
      </c>
      <c r="L133" s="91">
        <v>751.12660532552627</v>
      </c>
      <c r="M133" s="91">
        <v>700.47339467447375</v>
      </c>
      <c r="N133" s="91">
        <v>725.80000000000007</v>
      </c>
      <c r="O133" s="91">
        <v>638.70400000000006</v>
      </c>
      <c r="P133" s="91">
        <v>87.096000000000004</v>
      </c>
      <c r="Q133" s="85">
        <v>217.74</v>
      </c>
      <c r="R133" s="69" t="s">
        <v>1107</v>
      </c>
      <c r="S133" s="86">
        <v>209</v>
      </c>
      <c r="T133" s="69">
        <v>52</v>
      </c>
      <c r="U133" s="68">
        <v>0</v>
      </c>
      <c r="V133" s="68">
        <v>0</v>
      </c>
      <c r="W133" s="68">
        <v>15</v>
      </c>
      <c r="X133" s="68">
        <v>29</v>
      </c>
      <c r="Y133" s="68">
        <v>87</v>
      </c>
      <c r="Z133" s="68">
        <v>15</v>
      </c>
      <c r="AA133" s="68">
        <v>0</v>
      </c>
      <c r="AB133" s="69">
        <v>0</v>
      </c>
      <c r="AC133" s="69">
        <v>0</v>
      </c>
      <c r="AD133" s="70">
        <f>IFERROR(tblTarget[[#This Row],[Cluster Target]]/tblTarget[[#This Row],[Cluster PiN]],0)</f>
        <v>7.9995591314890341E-2</v>
      </c>
      <c r="AE133" s="79">
        <f>_xlfn.XLOOKUP(tblTarget[[#This Row],[ID]],tblResponse[ID],tblResponse[2024 Projected reached (Dec 2024)])</f>
        <v>0</v>
      </c>
      <c r="AF133" s="79">
        <f>_xlfn.XLOOKUP(tblTarget[[#This Row],[ID]],tblResponse[ID],tblResponse[2024 Intercluster reached -August RPM])</f>
        <v>137097.79284456529</v>
      </c>
      <c r="AG133" s="79">
        <v>2</v>
      </c>
      <c r="AH133" s="79"/>
      <c r="AI133" s="79"/>
      <c r="AJ133" s="70" t="str">
        <f>IF(tblTarget[[#This Row],[Target to PiN (%)]]&gt;Targ_vs_PiN,"Flagged","")</f>
        <v/>
      </c>
      <c r="AK133" s="69" t="str">
        <f>IF(AND(tblTarget[[#This Row],[Qualifies for exception]]="Flagged",tblTarget[[#This Row],[Target to PiN (%)]]&gt;Targ_severity5),"Flagged","")</f>
        <v/>
      </c>
      <c r="AL133" s="68" t="str">
        <f>IFERROR(IF(AND(tblTarget[[#This Row],[Intercluser Severity]]=4,tblTarget[[#This Row],[Qualifies for exception]]="Flagged",(tblTarget[[#This Row],[Cluster Target]]-tblTarget[[#This Row],[2024 Response capacity up to December]])/tblTarget[[#This Row],[Cluster Target]]&gt;Diff_severity4),"Flagged",""),"No target")</f>
        <v/>
      </c>
      <c r="AM133" s="68" t="str">
        <f>IFERROR(IF(AND(tblTarget[[#This Row],[Intercluser Severity]]=3,tblTarget[[#This Row],[Qualifies for exception]]="Flagged",(tblTarget[[#This Row],[Cluster Target]]-tblTarget[[#This Row],[2024 Response capacity up to December]])/tblTarget[[#This Row],[Cluster Target]]&gt;Diff_severity3),"Flagged",""),"No target")</f>
        <v>Flagged</v>
      </c>
      <c r="AN133" s="81" t="s">
        <v>1099</v>
      </c>
      <c r="AO133" s="81"/>
      <c r="AP133" s="81" t="s">
        <v>1099</v>
      </c>
      <c r="AQ133" s="81" t="s">
        <v>1107</v>
      </c>
    </row>
    <row r="134" spans="1:43" ht="15.95" hidden="1" customHeight="1" x14ac:dyDescent="0.2">
      <c r="A134" s="62" t="s">
        <v>571</v>
      </c>
      <c r="B134" s="63" t="s">
        <v>298</v>
      </c>
      <c r="C134" s="64" t="s">
        <v>299</v>
      </c>
      <c r="D134" s="63" t="s">
        <v>304</v>
      </c>
      <c r="E134" s="64" t="s">
        <v>305</v>
      </c>
      <c r="F134" s="65">
        <v>10923</v>
      </c>
      <c r="G134" s="66" t="s">
        <v>30</v>
      </c>
      <c r="H134" s="67">
        <v>4397</v>
      </c>
      <c r="I134" s="68">
        <v>3</v>
      </c>
      <c r="J134" s="68">
        <v>4</v>
      </c>
      <c r="K134" s="91">
        <v>1407.2</v>
      </c>
      <c r="L134" s="91">
        <v>746.74511948755867</v>
      </c>
      <c r="M134" s="91">
        <v>660.45488051244149</v>
      </c>
      <c r="N134" s="91">
        <v>703.6</v>
      </c>
      <c r="O134" s="91">
        <v>619.16800000000001</v>
      </c>
      <c r="P134" s="91">
        <v>84.432000000000002</v>
      </c>
      <c r="Q134" s="85">
        <v>211.08</v>
      </c>
      <c r="R134" s="69" t="s">
        <v>1107</v>
      </c>
      <c r="S134" s="86">
        <v>203</v>
      </c>
      <c r="T134" s="69">
        <v>51</v>
      </c>
      <c r="U134" s="68">
        <v>0</v>
      </c>
      <c r="V134" s="68">
        <v>0</v>
      </c>
      <c r="W134" s="68">
        <v>14</v>
      </c>
      <c r="X134" s="68">
        <v>28</v>
      </c>
      <c r="Y134" s="68">
        <v>84</v>
      </c>
      <c r="Z134" s="68">
        <v>14</v>
      </c>
      <c r="AA134" s="68">
        <v>0</v>
      </c>
      <c r="AB134" s="69">
        <v>0</v>
      </c>
      <c r="AC134" s="69">
        <v>0</v>
      </c>
      <c r="AD134" s="70">
        <f>IFERROR(tblTarget[[#This Row],[Cluster Target]]/tblTarget[[#This Row],[Cluster PiN]],0)</f>
        <v>0.32003638844666821</v>
      </c>
      <c r="AE134" s="79">
        <f>_xlfn.XLOOKUP(tblTarget[[#This Row],[ID]],tblResponse[ID],tblResponse[2024 Projected reached (Dec 2024)])</f>
        <v>0</v>
      </c>
      <c r="AF134" s="79">
        <f>_xlfn.XLOOKUP(tblTarget[[#This Row],[ID]],tblResponse[ID],tblResponse[2024 Intercluster reached -August RPM])</f>
        <v>51528.42460259873</v>
      </c>
      <c r="AG134" s="79">
        <v>3</v>
      </c>
      <c r="AH134" s="79"/>
      <c r="AI134" s="79"/>
      <c r="AJ134" s="70" t="str">
        <f>IF(tblTarget[[#This Row],[Target to PiN (%)]]&gt;Targ_vs_PiN,"Flagged","")</f>
        <v/>
      </c>
      <c r="AK134" s="69" t="str">
        <f>IF(AND(tblTarget[[#This Row],[Qualifies for exception]]="Flagged",tblTarget[[#This Row],[Target to PiN (%)]]&gt;Targ_severity5),"Flagged","")</f>
        <v/>
      </c>
      <c r="AL134" s="68" t="str">
        <f>IFERROR(IF(AND(tblTarget[[#This Row],[Intercluser Severity]]=4,tblTarget[[#This Row],[Qualifies for exception]]="Flagged",(tblTarget[[#This Row],[Cluster Target]]-tblTarget[[#This Row],[2024 Response capacity up to December]])/tblTarget[[#This Row],[Cluster Target]]&gt;Diff_severity4),"Flagged",""),"No target")</f>
        <v>Flagged</v>
      </c>
      <c r="AM134" s="68" t="str">
        <f>IFERROR(IF(AND(tblTarget[[#This Row],[Intercluser Severity]]=3,tblTarget[[#This Row],[Qualifies for exception]]="Flagged",(tblTarget[[#This Row],[Cluster Target]]-tblTarget[[#This Row],[2024 Response capacity up to December]])/tblTarget[[#This Row],[Cluster Target]]&gt;Diff_severity3),"Flagged",""),"No target")</f>
        <v/>
      </c>
      <c r="AN134" s="81" t="s">
        <v>1099</v>
      </c>
      <c r="AO134" s="81"/>
      <c r="AP134" s="81" t="s">
        <v>1099</v>
      </c>
      <c r="AQ134" s="81" t="s">
        <v>1107</v>
      </c>
    </row>
    <row r="135" spans="1:43" ht="15.95" hidden="1" customHeight="1" x14ac:dyDescent="0.2">
      <c r="A135" s="62" t="s">
        <v>572</v>
      </c>
      <c r="B135" s="63" t="s">
        <v>298</v>
      </c>
      <c r="C135" s="64" t="s">
        <v>299</v>
      </c>
      <c r="D135" s="63" t="s">
        <v>306</v>
      </c>
      <c r="E135" s="64" t="s">
        <v>307</v>
      </c>
      <c r="F135" s="65">
        <v>57710</v>
      </c>
      <c r="G135" s="66" t="s">
        <v>30</v>
      </c>
      <c r="H135" s="67">
        <v>2069</v>
      </c>
      <c r="I135" s="68">
        <v>3</v>
      </c>
      <c r="J135" s="68">
        <v>3</v>
      </c>
      <c r="K135" s="91">
        <v>248.20000000000002</v>
      </c>
      <c r="L135" s="91">
        <v>130.16325293631695</v>
      </c>
      <c r="M135" s="91">
        <v>118.03674706368307</v>
      </c>
      <c r="N135" s="91">
        <v>124.10000000000001</v>
      </c>
      <c r="O135" s="91">
        <v>109.20800000000001</v>
      </c>
      <c r="P135" s="91">
        <v>14.892000000000001</v>
      </c>
      <c r="Q135" s="85">
        <v>37.230000000000004</v>
      </c>
      <c r="R135" s="69" t="s">
        <v>1107</v>
      </c>
      <c r="S135" s="86">
        <v>36</v>
      </c>
      <c r="T135" s="69">
        <v>9</v>
      </c>
      <c r="U135" s="68">
        <v>0</v>
      </c>
      <c r="V135" s="68">
        <v>0</v>
      </c>
      <c r="W135" s="68">
        <v>2</v>
      </c>
      <c r="X135" s="68">
        <v>5</v>
      </c>
      <c r="Y135" s="68">
        <v>15</v>
      </c>
      <c r="Z135" s="68">
        <v>2</v>
      </c>
      <c r="AA135" s="68">
        <v>0</v>
      </c>
      <c r="AB135" s="69">
        <v>0</v>
      </c>
      <c r="AC135" s="69">
        <v>0</v>
      </c>
      <c r="AD135" s="70">
        <f>IFERROR(tblTarget[[#This Row],[Cluster Target]]/tblTarget[[#This Row],[Cluster PiN]],0)</f>
        <v>0.11996133397776705</v>
      </c>
      <c r="AE135" s="79">
        <f>_xlfn.XLOOKUP(tblTarget[[#This Row],[ID]],tblResponse[ID],tblResponse[2024 Projected reached (Dec 2024)])</f>
        <v>0</v>
      </c>
      <c r="AF135" s="79">
        <f>_xlfn.XLOOKUP(tblTarget[[#This Row],[ID]],tblResponse[ID],tblResponse[2024 Intercluster reached -August RPM])</f>
        <v>32830.567881560695</v>
      </c>
      <c r="AG135" s="79">
        <v>2</v>
      </c>
      <c r="AH135" s="79"/>
      <c r="AI135" s="79"/>
      <c r="AJ135" s="70" t="str">
        <f>IF(tblTarget[[#This Row],[Target to PiN (%)]]&gt;Targ_vs_PiN,"Flagged","")</f>
        <v/>
      </c>
      <c r="AK135" s="69" t="str">
        <f>IF(AND(tblTarget[[#This Row],[Qualifies for exception]]="Flagged",tblTarget[[#This Row],[Target to PiN (%)]]&gt;Targ_severity5),"Flagged","")</f>
        <v/>
      </c>
      <c r="AL135" s="68" t="str">
        <f>IFERROR(IF(AND(tblTarget[[#This Row],[Intercluser Severity]]=4,tblTarget[[#This Row],[Qualifies for exception]]="Flagged",(tblTarget[[#This Row],[Cluster Target]]-tblTarget[[#This Row],[2024 Response capacity up to December]])/tblTarget[[#This Row],[Cluster Target]]&gt;Diff_severity4),"Flagged",""),"No target")</f>
        <v/>
      </c>
      <c r="AM135" s="68" t="str">
        <f>IFERROR(IF(AND(tblTarget[[#This Row],[Intercluser Severity]]=3,tblTarget[[#This Row],[Qualifies for exception]]="Flagged",(tblTarget[[#This Row],[Cluster Target]]-tblTarget[[#This Row],[2024 Response capacity up to December]])/tblTarget[[#This Row],[Cluster Target]]&gt;Diff_severity3),"Flagged",""),"No target")</f>
        <v>Flagged</v>
      </c>
      <c r="AN135" s="81" t="s">
        <v>1099</v>
      </c>
      <c r="AO135" s="81"/>
      <c r="AP135" s="81" t="s">
        <v>1099</v>
      </c>
      <c r="AQ135" s="81" t="s">
        <v>1107</v>
      </c>
    </row>
    <row r="136" spans="1:43" ht="15.95" hidden="1" customHeight="1" x14ac:dyDescent="0.2">
      <c r="A136" s="62" t="s">
        <v>573</v>
      </c>
      <c r="B136" s="63" t="s">
        <v>298</v>
      </c>
      <c r="C136" s="64" t="s">
        <v>299</v>
      </c>
      <c r="D136" s="63" t="s">
        <v>308</v>
      </c>
      <c r="E136" s="64" t="s">
        <v>309</v>
      </c>
      <c r="F136" s="65">
        <v>50846</v>
      </c>
      <c r="G136" s="66" t="s">
        <v>30</v>
      </c>
      <c r="H136" s="67">
        <v>35445</v>
      </c>
      <c r="I136" s="68">
        <v>3</v>
      </c>
      <c r="J136" s="68">
        <v>3</v>
      </c>
      <c r="K136" s="91">
        <v>4300.4000000000005</v>
      </c>
      <c r="L136" s="91">
        <v>2241.7375097287695</v>
      </c>
      <c r="M136" s="91">
        <v>2058.662490271231</v>
      </c>
      <c r="N136" s="91">
        <v>2150.2000000000003</v>
      </c>
      <c r="O136" s="91">
        <v>1892.1760000000002</v>
      </c>
      <c r="P136" s="91">
        <v>258.024</v>
      </c>
      <c r="Q136" s="85">
        <v>645.06000000000006</v>
      </c>
      <c r="R136" s="69" t="s">
        <v>1107</v>
      </c>
      <c r="S136" s="86">
        <v>619</v>
      </c>
      <c r="T136" s="69">
        <v>155</v>
      </c>
      <c r="U136" s="68">
        <v>0</v>
      </c>
      <c r="V136" s="68">
        <v>0</v>
      </c>
      <c r="W136" s="68">
        <v>43</v>
      </c>
      <c r="X136" s="68">
        <v>86</v>
      </c>
      <c r="Y136" s="68">
        <v>258</v>
      </c>
      <c r="Z136" s="68">
        <v>43</v>
      </c>
      <c r="AA136" s="68">
        <v>0</v>
      </c>
      <c r="AB136" s="69">
        <v>0</v>
      </c>
      <c r="AC136" s="69">
        <v>0</v>
      </c>
      <c r="AD136" s="70">
        <f>IFERROR(tblTarget[[#This Row],[Cluster Target]]/tblTarget[[#This Row],[Cluster PiN]],0)</f>
        <v>0.12132599802510934</v>
      </c>
      <c r="AE136" s="79">
        <f>_xlfn.XLOOKUP(tblTarget[[#This Row],[ID]],tblResponse[ID],tblResponse[2024 Projected reached (Dec 2024)])</f>
        <v>0</v>
      </c>
      <c r="AF136" s="79">
        <f>_xlfn.XLOOKUP(tblTarget[[#This Row],[ID]],tblResponse[ID],tblResponse[2024 Intercluster reached -August RPM])</f>
        <v>46805.8602296518</v>
      </c>
      <c r="AG136" s="79">
        <v>2</v>
      </c>
      <c r="AH136" s="79"/>
      <c r="AI136" s="79"/>
      <c r="AJ136" s="70" t="str">
        <f>IF(tblTarget[[#This Row],[Target to PiN (%)]]&gt;Targ_vs_PiN,"Flagged","")</f>
        <v/>
      </c>
      <c r="AK136" s="69" t="str">
        <f>IF(AND(tblTarget[[#This Row],[Qualifies for exception]]="Flagged",tblTarget[[#This Row],[Target to PiN (%)]]&gt;Targ_severity5),"Flagged","")</f>
        <v/>
      </c>
      <c r="AL136" s="68" t="str">
        <f>IFERROR(IF(AND(tblTarget[[#This Row],[Intercluser Severity]]=4,tblTarget[[#This Row],[Qualifies for exception]]="Flagged",(tblTarget[[#This Row],[Cluster Target]]-tblTarget[[#This Row],[2024 Response capacity up to December]])/tblTarget[[#This Row],[Cluster Target]]&gt;Diff_severity4),"Flagged",""),"No target")</f>
        <v/>
      </c>
      <c r="AM136" s="68" t="str">
        <f>IFERROR(IF(AND(tblTarget[[#This Row],[Intercluser Severity]]=3,tblTarget[[#This Row],[Qualifies for exception]]="Flagged",(tblTarget[[#This Row],[Cluster Target]]-tblTarget[[#This Row],[2024 Response capacity up to December]])/tblTarget[[#This Row],[Cluster Target]]&gt;Diff_severity3),"Flagged",""),"No target")</f>
        <v>Flagged</v>
      </c>
      <c r="AN136" s="81" t="s">
        <v>1099</v>
      </c>
      <c r="AO136" s="81"/>
      <c r="AP136" s="81" t="s">
        <v>1099</v>
      </c>
      <c r="AQ136" s="81" t="s">
        <v>1107</v>
      </c>
    </row>
    <row r="137" spans="1:43" ht="15.95" hidden="1" customHeight="1" x14ac:dyDescent="0.2">
      <c r="A137" s="62" t="s">
        <v>574</v>
      </c>
      <c r="B137" s="63" t="s">
        <v>298</v>
      </c>
      <c r="C137" s="64" t="s">
        <v>299</v>
      </c>
      <c r="D137" s="63" t="s">
        <v>310</v>
      </c>
      <c r="E137" s="64" t="s">
        <v>311</v>
      </c>
      <c r="F137" s="65">
        <v>18265</v>
      </c>
      <c r="G137" s="66" t="s">
        <v>30</v>
      </c>
      <c r="H137" s="67">
        <v>4088</v>
      </c>
      <c r="I137" s="68">
        <v>3</v>
      </c>
      <c r="J137" s="68">
        <v>4</v>
      </c>
      <c r="K137" s="91">
        <v>332.8</v>
      </c>
      <c r="L137" s="91">
        <v>172.34972932592433</v>
      </c>
      <c r="M137" s="91">
        <v>160.45027067407568</v>
      </c>
      <c r="N137" s="91">
        <v>166.4</v>
      </c>
      <c r="O137" s="91">
        <v>146.43200000000002</v>
      </c>
      <c r="P137" s="91">
        <v>19.968</v>
      </c>
      <c r="Q137" s="85">
        <v>49.92</v>
      </c>
      <c r="R137" s="69" t="s">
        <v>1107</v>
      </c>
      <c r="S137" s="86">
        <v>48</v>
      </c>
      <c r="T137" s="69">
        <v>12</v>
      </c>
      <c r="U137" s="68">
        <v>0</v>
      </c>
      <c r="V137" s="68">
        <v>0</v>
      </c>
      <c r="W137" s="68">
        <v>3</v>
      </c>
      <c r="X137" s="68">
        <v>7</v>
      </c>
      <c r="Y137" s="68">
        <v>20</v>
      </c>
      <c r="Z137" s="68">
        <v>3</v>
      </c>
      <c r="AA137" s="68">
        <v>0</v>
      </c>
      <c r="AB137" s="69">
        <v>0</v>
      </c>
      <c r="AC137" s="69">
        <v>0</v>
      </c>
      <c r="AD137" s="70">
        <f>IFERROR(tblTarget[[#This Row],[Cluster Target]]/tblTarget[[#This Row],[Cluster PiN]],0)</f>
        <v>8.1409001956947169E-2</v>
      </c>
      <c r="AE137" s="79">
        <f>_xlfn.XLOOKUP(tblTarget[[#This Row],[ID]],tblResponse[ID],tblResponse[2024 Projected reached (Dec 2024)])</f>
        <v>0</v>
      </c>
      <c r="AF137" s="79">
        <f>_xlfn.XLOOKUP(tblTarget[[#This Row],[ID]],tblResponse[ID],tblResponse[2024 Intercluster reached -August RPM])</f>
        <v>68630.404385163885</v>
      </c>
      <c r="AG137" s="79">
        <v>7</v>
      </c>
      <c r="AH137" s="79"/>
      <c r="AI137" s="79"/>
      <c r="AJ137" s="70" t="str">
        <f>IF(tblTarget[[#This Row],[Target to PiN (%)]]&gt;Targ_vs_PiN,"Flagged","")</f>
        <v/>
      </c>
      <c r="AK137" s="69" t="str">
        <f>IF(AND(tblTarget[[#This Row],[Qualifies for exception]]="Flagged",tblTarget[[#This Row],[Target to PiN (%)]]&gt;Targ_severity5),"Flagged","")</f>
        <v/>
      </c>
      <c r="AL137" s="68" t="str">
        <f>IFERROR(IF(AND(tblTarget[[#This Row],[Intercluser Severity]]=4,tblTarget[[#This Row],[Qualifies for exception]]="Flagged",(tblTarget[[#This Row],[Cluster Target]]-tblTarget[[#This Row],[2024 Response capacity up to December]])/tblTarget[[#This Row],[Cluster Target]]&gt;Diff_severity4),"Flagged",""),"No target")</f>
        <v>Flagged</v>
      </c>
      <c r="AM137" s="68" t="str">
        <f>IFERROR(IF(AND(tblTarget[[#This Row],[Intercluser Severity]]=3,tblTarget[[#This Row],[Qualifies for exception]]="Flagged",(tblTarget[[#This Row],[Cluster Target]]-tblTarget[[#This Row],[2024 Response capacity up to December]])/tblTarget[[#This Row],[Cluster Target]]&gt;Diff_severity3),"Flagged",""),"No target")</f>
        <v/>
      </c>
      <c r="AN137" s="81" t="s">
        <v>1099</v>
      </c>
      <c r="AO137" s="81"/>
      <c r="AP137" s="81" t="s">
        <v>1099</v>
      </c>
      <c r="AQ137" s="81" t="s">
        <v>1107</v>
      </c>
    </row>
    <row r="138" spans="1:43" ht="15.95" hidden="1" customHeight="1" x14ac:dyDescent="0.2">
      <c r="A138" s="62" t="s">
        <v>575</v>
      </c>
      <c r="B138" s="63" t="s">
        <v>298</v>
      </c>
      <c r="C138" s="64" t="s">
        <v>299</v>
      </c>
      <c r="D138" s="63" t="s">
        <v>312</v>
      </c>
      <c r="E138" s="64" t="s">
        <v>313</v>
      </c>
      <c r="F138" s="65">
        <v>12202</v>
      </c>
      <c r="G138" s="66" t="s">
        <v>30</v>
      </c>
      <c r="H138" s="67">
        <v>3815</v>
      </c>
      <c r="I138" s="68">
        <v>3</v>
      </c>
      <c r="J138" s="68">
        <v>3</v>
      </c>
      <c r="K138" s="91">
        <v>457.8</v>
      </c>
      <c r="L138" s="91">
        <v>239.77385070728434</v>
      </c>
      <c r="M138" s="91">
        <v>218.02614929271564</v>
      </c>
      <c r="N138" s="91">
        <v>228.9</v>
      </c>
      <c r="O138" s="91">
        <v>201.43200000000002</v>
      </c>
      <c r="P138" s="91">
        <v>27.468</v>
      </c>
      <c r="Q138" s="85">
        <v>68.67</v>
      </c>
      <c r="R138" s="69" t="s">
        <v>1107</v>
      </c>
      <c r="S138" s="86">
        <v>66</v>
      </c>
      <c r="T138" s="69">
        <v>16</v>
      </c>
      <c r="U138" s="68">
        <v>0</v>
      </c>
      <c r="V138" s="68">
        <v>0</v>
      </c>
      <c r="W138" s="68">
        <v>5</v>
      </c>
      <c r="X138" s="68">
        <v>9</v>
      </c>
      <c r="Y138" s="68">
        <v>27</v>
      </c>
      <c r="Z138" s="68">
        <v>5</v>
      </c>
      <c r="AA138" s="68">
        <v>0</v>
      </c>
      <c r="AB138" s="69">
        <v>0</v>
      </c>
      <c r="AC138" s="69">
        <v>0</v>
      </c>
      <c r="AD138" s="70">
        <f>IFERROR(tblTarget[[#This Row],[Cluster Target]]/tblTarget[[#This Row],[Cluster PiN]],0)</f>
        <v>0.12000000000000001</v>
      </c>
      <c r="AE138" s="79">
        <f>_xlfn.XLOOKUP(tblTarget[[#This Row],[ID]],tblResponse[ID],tblResponse[2024 Projected reached (Dec 2024)])</f>
        <v>0</v>
      </c>
      <c r="AF138" s="79">
        <f>_xlfn.XLOOKUP(tblTarget[[#This Row],[ID]],tblResponse[ID],tblResponse[2024 Intercluster reached -August RPM])</f>
        <v>36046.109490162788</v>
      </c>
      <c r="AG138" s="79">
        <v>2</v>
      </c>
      <c r="AH138" s="79"/>
      <c r="AI138" s="79"/>
      <c r="AJ138" s="70" t="str">
        <f>IF(tblTarget[[#This Row],[Target to PiN (%)]]&gt;Targ_vs_PiN,"Flagged","")</f>
        <v/>
      </c>
      <c r="AK138" s="69" t="str">
        <f>IF(AND(tblTarget[[#This Row],[Qualifies for exception]]="Flagged",tblTarget[[#This Row],[Target to PiN (%)]]&gt;Targ_severity5),"Flagged","")</f>
        <v/>
      </c>
      <c r="AL138" s="68" t="str">
        <f>IFERROR(IF(AND(tblTarget[[#This Row],[Intercluser Severity]]=4,tblTarget[[#This Row],[Qualifies for exception]]="Flagged",(tblTarget[[#This Row],[Cluster Target]]-tblTarget[[#This Row],[2024 Response capacity up to December]])/tblTarget[[#This Row],[Cluster Target]]&gt;Diff_severity4),"Flagged",""),"No target")</f>
        <v/>
      </c>
      <c r="AM138" s="68" t="str">
        <f>IFERROR(IF(AND(tblTarget[[#This Row],[Intercluser Severity]]=3,tblTarget[[#This Row],[Qualifies for exception]]="Flagged",(tblTarget[[#This Row],[Cluster Target]]-tblTarget[[#This Row],[2024 Response capacity up to December]])/tblTarget[[#This Row],[Cluster Target]]&gt;Diff_severity3),"Flagged",""),"No target")</f>
        <v>Flagged</v>
      </c>
      <c r="AN138" s="81" t="s">
        <v>1099</v>
      </c>
      <c r="AO138" s="81"/>
      <c r="AP138" s="81" t="s">
        <v>1099</v>
      </c>
      <c r="AQ138" s="81" t="s">
        <v>1107</v>
      </c>
    </row>
    <row r="139" spans="1:43" ht="15.95" hidden="1" customHeight="1" x14ac:dyDescent="0.2">
      <c r="A139" s="62" t="s">
        <v>576</v>
      </c>
      <c r="B139" s="63" t="s">
        <v>298</v>
      </c>
      <c r="C139" s="64" t="s">
        <v>299</v>
      </c>
      <c r="D139" s="63" t="s">
        <v>314</v>
      </c>
      <c r="E139" s="64" t="s">
        <v>315</v>
      </c>
      <c r="F139" s="65">
        <v>133966</v>
      </c>
      <c r="G139" s="66" t="s">
        <v>30</v>
      </c>
      <c r="H139" s="67">
        <v>31255</v>
      </c>
      <c r="I139" s="68">
        <v>3</v>
      </c>
      <c r="J139" s="68">
        <v>3</v>
      </c>
      <c r="K139" s="91">
        <v>3750.4</v>
      </c>
      <c r="L139" s="91">
        <v>1922.4682059577494</v>
      </c>
      <c r="M139" s="91">
        <v>1827.9317940422509</v>
      </c>
      <c r="N139" s="91">
        <v>1875.2</v>
      </c>
      <c r="O139" s="91">
        <v>1650.1760000000002</v>
      </c>
      <c r="P139" s="91">
        <v>225.024</v>
      </c>
      <c r="Q139" s="85">
        <v>562.55999999999995</v>
      </c>
      <c r="R139" s="69" t="s">
        <v>1107</v>
      </c>
      <c r="S139" s="86">
        <v>540</v>
      </c>
      <c r="T139" s="69">
        <v>135</v>
      </c>
      <c r="U139" s="68">
        <v>0</v>
      </c>
      <c r="V139" s="68">
        <v>0</v>
      </c>
      <c r="W139" s="68">
        <v>38</v>
      </c>
      <c r="X139" s="68">
        <v>75</v>
      </c>
      <c r="Y139" s="68">
        <v>225</v>
      </c>
      <c r="Z139" s="68">
        <v>38</v>
      </c>
      <c r="AA139" s="68">
        <v>0</v>
      </c>
      <c r="AB139" s="69">
        <v>0</v>
      </c>
      <c r="AC139" s="69">
        <v>0</v>
      </c>
      <c r="AD139" s="70">
        <f>IFERROR(tblTarget[[#This Row],[Cluster Target]]/tblTarget[[#This Row],[Cluster PiN]],0)</f>
        <v>0.11999360102383619</v>
      </c>
      <c r="AE139" s="79">
        <f>_xlfn.XLOOKUP(tblTarget[[#This Row],[ID]],tblResponse[ID],tblResponse[2024 Projected reached (Dec 2024)])</f>
        <v>5</v>
      </c>
      <c r="AF139" s="79">
        <f>_xlfn.XLOOKUP(tblTarget[[#This Row],[ID]],tblResponse[ID],tblResponse[2024 Intercluster reached -August RPM])</f>
        <v>77183.493193945542</v>
      </c>
      <c r="AG139" s="79">
        <v>10</v>
      </c>
      <c r="AH139" s="79"/>
      <c r="AI139" s="79"/>
      <c r="AJ139" s="70" t="str">
        <f>IF(tblTarget[[#This Row],[Target to PiN (%)]]&gt;Targ_vs_PiN,"Flagged","")</f>
        <v/>
      </c>
      <c r="AK139" s="69" t="str">
        <f>IF(AND(tblTarget[[#This Row],[Qualifies for exception]]="Flagged",tblTarget[[#This Row],[Target to PiN (%)]]&gt;Targ_severity5),"Flagged","")</f>
        <v/>
      </c>
      <c r="AL139" s="68" t="str">
        <f>IFERROR(IF(AND(tblTarget[[#This Row],[Intercluser Severity]]=4,tblTarget[[#This Row],[Qualifies for exception]]="Flagged",(tblTarget[[#This Row],[Cluster Target]]-tblTarget[[#This Row],[2024 Response capacity up to December]])/tblTarget[[#This Row],[Cluster Target]]&gt;Diff_severity4),"Flagged",""),"No target")</f>
        <v/>
      </c>
      <c r="AM139" s="68" t="str">
        <f>IFERROR(IF(AND(tblTarget[[#This Row],[Intercluser Severity]]=3,tblTarget[[#This Row],[Qualifies for exception]]="Flagged",(tblTarget[[#This Row],[Cluster Target]]-tblTarget[[#This Row],[2024 Response capacity up to December]])/tblTarget[[#This Row],[Cluster Target]]&gt;Diff_severity3),"Flagged",""),"No target")</f>
        <v>Flagged</v>
      </c>
      <c r="AN139" s="81" t="s">
        <v>1099</v>
      </c>
      <c r="AO139" s="81"/>
      <c r="AP139" s="81" t="s">
        <v>1099</v>
      </c>
      <c r="AQ139" s="81" t="s">
        <v>1107</v>
      </c>
    </row>
    <row r="140" spans="1:43" ht="15.95" hidden="1" customHeight="1" x14ac:dyDescent="0.2">
      <c r="A140" s="62" t="s">
        <v>577</v>
      </c>
      <c r="B140" s="63" t="s">
        <v>298</v>
      </c>
      <c r="C140" s="64" t="s">
        <v>299</v>
      </c>
      <c r="D140" s="63" t="s">
        <v>316</v>
      </c>
      <c r="E140" s="64" t="s">
        <v>317</v>
      </c>
      <c r="F140" s="65">
        <v>32365</v>
      </c>
      <c r="G140" s="66" t="s">
        <v>30</v>
      </c>
      <c r="H140" s="67">
        <v>6169</v>
      </c>
      <c r="I140" s="68">
        <v>3</v>
      </c>
      <c r="J140" s="68">
        <v>3</v>
      </c>
      <c r="K140" s="91">
        <v>391</v>
      </c>
      <c r="L140" s="91">
        <v>199.4841622420584</v>
      </c>
      <c r="M140" s="91">
        <v>191.5158377579416</v>
      </c>
      <c r="N140" s="91">
        <v>195.5</v>
      </c>
      <c r="O140" s="91">
        <v>172.04</v>
      </c>
      <c r="P140" s="91">
        <v>23.46</v>
      </c>
      <c r="Q140" s="85">
        <v>58.65</v>
      </c>
      <c r="R140" s="69" t="s">
        <v>1107</v>
      </c>
      <c r="S140" s="86">
        <v>56</v>
      </c>
      <c r="T140" s="69">
        <v>14</v>
      </c>
      <c r="U140" s="68">
        <v>0</v>
      </c>
      <c r="V140" s="68">
        <v>0</v>
      </c>
      <c r="W140" s="68">
        <v>4</v>
      </c>
      <c r="X140" s="68">
        <v>8</v>
      </c>
      <c r="Y140" s="68">
        <v>23</v>
      </c>
      <c r="Z140" s="68">
        <v>4</v>
      </c>
      <c r="AA140" s="68">
        <v>0</v>
      </c>
      <c r="AB140" s="69">
        <v>0</v>
      </c>
      <c r="AC140" s="69">
        <v>0</v>
      </c>
      <c r="AD140" s="70">
        <f>IFERROR(tblTarget[[#This Row],[Cluster Target]]/tblTarget[[#This Row],[Cluster PiN]],0)</f>
        <v>6.3381423245258556E-2</v>
      </c>
      <c r="AE140" s="79">
        <f>_xlfn.XLOOKUP(tblTarget[[#This Row],[ID]],tblResponse[ID],tblResponse[2024 Projected reached (Dec 2024)])</f>
        <v>0</v>
      </c>
      <c r="AF140" s="79">
        <f>_xlfn.XLOOKUP(tblTarget[[#This Row],[ID]],tblResponse[ID],tblResponse[2024 Intercluster reached -August RPM])</f>
        <v>82987.699718088916</v>
      </c>
      <c r="AG140" s="79">
        <v>5</v>
      </c>
      <c r="AH140" s="79"/>
      <c r="AI140" s="79"/>
      <c r="AJ140" s="70" t="str">
        <f>IF(tblTarget[[#This Row],[Target to PiN (%)]]&gt;Targ_vs_PiN,"Flagged","")</f>
        <v/>
      </c>
      <c r="AK140" s="69" t="str">
        <f>IF(AND(tblTarget[[#This Row],[Qualifies for exception]]="Flagged",tblTarget[[#This Row],[Target to PiN (%)]]&gt;Targ_severity5),"Flagged","")</f>
        <v/>
      </c>
      <c r="AL140" s="68" t="str">
        <f>IFERROR(IF(AND(tblTarget[[#This Row],[Intercluser Severity]]=4,tblTarget[[#This Row],[Qualifies for exception]]="Flagged",(tblTarget[[#This Row],[Cluster Target]]-tblTarget[[#This Row],[2024 Response capacity up to December]])/tblTarget[[#This Row],[Cluster Target]]&gt;Diff_severity4),"Flagged",""),"No target")</f>
        <v/>
      </c>
      <c r="AM140" s="68" t="str">
        <f>IFERROR(IF(AND(tblTarget[[#This Row],[Intercluser Severity]]=3,tblTarget[[#This Row],[Qualifies for exception]]="Flagged",(tblTarget[[#This Row],[Cluster Target]]-tblTarget[[#This Row],[2024 Response capacity up to December]])/tblTarget[[#This Row],[Cluster Target]]&gt;Diff_severity3),"Flagged",""),"No target")</f>
        <v>Flagged</v>
      </c>
      <c r="AN140" s="81" t="s">
        <v>1099</v>
      </c>
      <c r="AO140" s="81"/>
      <c r="AP140" s="81" t="s">
        <v>1099</v>
      </c>
      <c r="AQ140" s="81" t="s">
        <v>1107</v>
      </c>
    </row>
    <row r="141" spans="1:43" ht="15.95" hidden="1" customHeight="1" x14ac:dyDescent="0.2">
      <c r="A141" s="62" t="s">
        <v>578</v>
      </c>
      <c r="B141" s="63" t="s">
        <v>298</v>
      </c>
      <c r="C141" s="64" t="s">
        <v>299</v>
      </c>
      <c r="D141" s="63" t="s">
        <v>318</v>
      </c>
      <c r="E141" s="64" t="s">
        <v>319</v>
      </c>
      <c r="F141" s="65">
        <v>92865</v>
      </c>
      <c r="G141" s="66" t="s">
        <v>30</v>
      </c>
      <c r="H141" s="67">
        <v>39139</v>
      </c>
      <c r="I141" s="68">
        <v>3</v>
      </c>
      <c r="J141" s="68">
        <v>3</v>
      </c>
      <c r="K141" s="91">
        <v>4947.2000000000007</v>
      </c>
      <c r="L141" s="91">
        <v>2594.1176402409678</v>
      </c>
      <c r="M141" s="91">
        <v>2353.0823597590329</v>
      </c>
      <c r="N141" s="91">
        <v>2473.6000000000004</v>
      </c>
      <c r="O141" s="91">
        <v>2176.7680000000005</v>
      </c>
      <c r="P141" s="91">
        <v>296.83200000000005</v>
      </c>
      <c r="Q141" s="85">
        <v>742.08</v>
      </c>
      <c r="R141" s="69" t="s">
        <v>1107</v>
      </c>
      <c r="S141" s="86">
        <v>712</v>
      </c>
      <c r="T141" s="69">
        <v>178</v>
      </c>
      <c r="U141" s="68">
        <v>0</v>
      </c>
      <c r="V141" s="68">
        <v>0</v>
      </c>
      <c r="W141" s="68">
        <v>49</v>
      </c>
      <c r="X141" s="68">
        <v>99</v>
      </c>
      <c r="Y141" s="68">
        <v>297</v>
      </c>
      <c r="Z141" s="68">
        <v>49</v>
      </c>
      <c r="AA141" s="68">
        <v>0</v>
      </c>
      <c r="AB141" s="69">
        <v>0</v>
      </c>
      <c r="AC141" s="69">
        <v>0</v>
      </c>
      <c r="AD141" s="70">
        <f>IFERROR(tblTarget[[#This Row],[Cluster Target]]/tblTarget[[#This Row],[Cluster PiN]],0)</f>
        <v>0.12640077671887379</v>
      </c>
      <c r="AE141" s="79">
        <f>_xlfn.XLOOKUP(tblTarget[[#This Row],[ID]],tblResponse[ID],tblResponse[2024 Projected reached (Dec 2024)])</f>
        <v>2235</v>
      </c>
      <c r="AF141" s="79">
        <f>_xlfn.XLOOKUP(tblTarget[[#This Row],[ID]],tblResponse[ID],tblResponse[2024 Intercluster reached -August RPM])</f>
        <v>11510.463564995986</v>
      </c>
      <c r="AG141" s="79">
        <v>6</v>
      </c>
      <c r="AH141" s="79"/>
      <c r="AI141" s="79"/>
      <c r="AJ141" s="70" t="str">
        <f>IF(tblTarget[[#This Row],[Target to PiN (%)]]&gt;Targ_vs_PiN,"Flagged","")</f>
        <v/>
      </c>
      <c r="AK141" s="69" t="str">
        <f>IF(AND(tblTarget[[#This Row],[Qualifies for exception]]="Flagged",tblTarget[[#This Row],[Target to PiN (%)]]&gt;Targ_severity5),"Flagged","")</f>
        <v/>
      </c>
      <c r="AL141" s="68" t="str">
        <f>IFERROR(IF(AND(tblTarget[[#This Row],[Intercluser Severity]]=4,tblTarget[[#This Row],[Qualifies for exception]]="Flagged",(tblTarget[[#This Row],[Cluster Target]]-tblTarget[[#This Row],[2024 Response capacity up to December]])/tblTarget[[#This Row],[Cluster Target]]&gt;Diff_severity4),"Flagged",""),"No target")</f>
        <v/>
      </c>
      <c r="AM141" s="68" t="str">
        <f>IFERROR(IF(AND(tblTarget[[#This Row],[Intercluser Severity]]=3,tblTarget[[#This Row],[Qualifies for exception]]="Flagged",(tblTarget[[#This Row],[Cluster Target]]-tblTarget[[#This Row],[2024 Response capacity up to December]])/tblTarget[[#This Row],[Cluster Target]]&gt;Diff_severity3),"Flagged",""),"No target")</f>
        <v>Flagged</v>
      </c>
      <c r="AN141" s="81" t="s">
        <v>1099</v>
      </c>
      <c r="AO141" s="81"/>
      <c r="AP141" s="81" t="s">
        <v>1099</v>
      </c>
      <c r="AQ141" s="81" t="s">
        <v>1107</v>
      </c>
    </row>
    <row r="142" spans="1:43" ht="15.95" hidden="1" customHeight="1" x14ac:dyDescent="0.2">
      <c r="A142" s="62" t="s">
        <v>579</v>
      </c>
      <c r="B142" s="63" t="s">
        <v>298</v>
      </c>
      <c r="C142" s="64" t="s">
        <v>299</v>
      </c>
      <c r="D142" s="63" t="s">
        <v>320</v>
      </c>
      <c r="E142" s="64" t="s">
        <v>321</v>
      </c>
      <c r="F142" s="65">
        <v>70923</v>
      </c>
      <c r="G142" s="66" t="s">
        <v>30</v>
      </c>
      <c r="H142" s="67">
        <v>3340</v>
      </c>
      <c r="I142" s="68">
        <v>3</v>
      </c>
      <c r="J142" s="68">
        <v>3</v>
      </c>
      <c r="K142" s="91">
        <v>101</v>
      </c>
      <c r="L142" s="91">
        <v>52.354572765009031</v>
      </c>
      <c r="M142" s="91">
        <v>48.645427234990969</v>
      </c>
      <c r="N142" s="91">
        <v>50.5</v>
      </c>
      <c r="O142" s="91">
        <v>44.44</v>
      </c>
      <c r="P142" s="91">
        <v>6.06</v>
      </c>
      <c r="Q142" s="85">
        <v>15.149999999999999</v>
      </c>
      <c r="R142" s="69" t="s">
        <v>1107</v>
      </c>
      <c r="S142" s="86">
        <v>15</v>
      </c>
      <c r="T142" s="69">
        <v>4</v>
      </c>
      <c r="U142" s="68">
        <v>0</v>
      </c>
      <c r="V142" s="68">
        <v>0</v>
      </c>
      <c r="W142" s="68">
        <v>1</v>
      </c>
      <c r="X142" s="68">
        <v>2</v>
      </c>
      <c r="Y142" s="68">
        <v>6</v>
      </c>
      <c r="Z142" s="68">
        <v>1</v>
      </c>
      <c r="AA142" s="68">
        <v>0</v>
      </c>
      <c r="AB142" s="69">
        <v>0</v>
      </c>
      <c r="AC142" s="69">
        <v>0</v>
      </c>
      <c r="AD142" s="70">
        <f>IFERROR(tblTarget[[#This Row],[Cluster Target]]/tblTarget[[#This Row],[Cluster PiN]],0)</f>
        <v>3.0239520958083833E-2</v>
      </c>
      <c r="AE142" s="79">
        <f>_xlfn.XLOOKUP(tblTarget[[#This Row],[ID]],tblResponse[ID],tblResponse[2024 Projected reached (Dec 2024)])</f>
        <v>0</v>
      </c>
      <c r="AF142" s="79">
        <f>_xlfn.XLOOKUP(tblTarget[[#This Row],[ID]],tblResponse[ID],tblResponse[2024 Intercluster reached -August RPM])</f>
        <v>60012.948773076867</v>
      </c>
      <c r="AG142" s="79">
        <v>2</v>
      </c>
      <c r="AH142" s="79"/>
      <c r="AI142" s="79"/>
      <c r="AJ142" s="70" t="str">
        <f>IF(tblTarget[[#This Row],[Target to PiN (%)]]&gt;Targ_vs_PiN,"Flagged","")</f>
        <v/>
      </c>
      <c r="AK142" s="69" t="str">
        <f>IF(AND(tblTarget[[#This Row],[Qualifies for exception]]="Flagged",tblTarget[[#This Row],[Target to PiN (%)]]&gt;Targ_severity5),"Flagged","")</f>
        <v/>
      </c>
      <c r="AL142" s="68" t="str">
        <f>IFERROR(IF(AND(tblTarget[[#This Row],[Intercluser Severity]]=4,tblTarget[[#This Row],[Qualifies for exception]]="Flagged",(tblTarget[[#This Row],[Cluster Target]]-tblTarget[[#This Row],[2024 Response capacity up to December]])/tblTarget[[#This Row],[Cluster Target]]&gt;Diff_severity4),"Flagged",""),"No target")</f>
        <v/>
      </c>
      <c r="AM142" s="68" t="str">
        <f>IFERROR(IF(AND(tblTarget[[#This Row],[Intercluser Severity]]=3,tblTarget[[#This Row],[Qualifies for exception]]="Flagged",(tblTarget[[#This Row],[Cluster Target]]-tblTarget[[#This Row],[2024 Response capacity up to December]])/tblTarget[[#This Row],[Cluster Target]]&gt;Diff_severity3),"Flagged",""),"No target")</f>
        <v>Flagged</v>
      </c>
      <c r="AN142" s="81" t="s">
        <v>1099</v>
      </c>
      <c r="AO142" s="81"/>
      <c r="AP142" s="81" t="s">
        <v>1099</v>
      </c>
      <c r="AQ142" s="81" t="s">
        <v>1107</v>
      </c>
    </row>
    <row r="143" spans="1:43" ht="15.95" hidden="1" customHeight="1" x14ac:dyDescent="0.2">
      <c r="A143" s="62" t="s">
        <v>580</v>
      </c>
      <c r="B143" s="63" t="s">
        <v>298</v>
      </c>
      <c r="C143" s="64" t="s">
        <v>299</v>
      </c>
      <c r="D143" s="63" t="s">
        <v>322</v>
      </c>
      <c r="E143" s="64" t="s">
        <v>323</v>
      </c>
      <c r="F143" s="65">
        <v>64220</v>
      </c>
      <c r="G143" s="66" t="s">
        <v>30</v>
      </c>
      <c r="H143" s="67">
        <v>37841</v>
      </c>
      <c r="I143" s="68">
        <v>3</v>
      </c>
      <c r="J143" s="68">
        <v>3</v>
      </c>
      <c r="K143" s="91">
        <v>3027.2000000000003</v>
      </c>
      <c r="L143" s="91">
        <v>1568.2092337011095</v>
      </c>
      <c r="M143" s="91">
        <v>1458.9907662988908</v>
      </c>
      <c r="N143" s="91">
        <v>1513.6000000000001</v>
      </c>
      <c r="O143" s="91">
        <v>1331.9680000000001</v>
      </c>
      <c r="P143" s="91">
        <v>181.63200000000001</v>
      </c>
      <c r="Q143" s="85">
        <v>454.08000000000004</v>
      </c>
      <c r="R143" s="69" t="s">
        <v>1107</v>
      </c>
      <c r="S143" s="86">
        <v>436</v>
      </c>
      <c r="T143" s="69">
        <v>109</v>
      </c>
      <c r="U143" s="68">
        <v>0</v>
      </c>
      <c r="V143" s="68">
        <v>0</v>
      </c>
      <c r="W143" s="68">
        <v>30</v>
      </c>
      <c r="X143" s="68">
        <v>61</v>
      </c>
      <c r="Y143" s="68">
        <v>182</v>
      </c>
      <c r="Z143" s="68">
        <v>30</v>
      </c>
      <c r="AA143" s="68">
        <v>0</v>
      </c>
      <c r="AB143" s="69">
        <v>0</v>
      </c>
      <c r="AC143" s="69">
        <v>0</v>
      </c>
      <c r="AD143" s="70">
        <f>IFERROR(tblTarget[[#This Row],[Cluster Target]]/tblTarget[[#This Row],[Cluster PiN]],0)</f>
        <v>7.9997885890964834E-2</v>
      </c>
      <c r="AE143" s="79">
        <f>_xlfn.XLOOKUP(tblTarget[[#This Row],[ID]],tblResponse[ID],tblResponse[2024 Projected reached (Dec 2024)])</f>
        <v>0</v>
      </c>
      <c r="AF143" s="79">
        <f>_xlfn.XLOOKUP(tblTarget[[#This Row],[ID]],tblResponse[ID],tblResponse[2024 Intercluster reached -August RPM])</f>
        <v>19603.88944147748</v>
      </c>
      <c r="AG143" s="79">
        <v>2</v>
      </c>
      <c r="AH143" s="79"/>
      <c r="AI143" s="79"/>
      <c r="AJ143" s="70" t="str">
        <f>IF(tblTarget[[#This Row],[Target to PiN (%)]]&gt;Targ_vs_PiN,"Flagged","")</f>
        <v/>
      </c>
      <c r="AK143" s="69" t="str">
        <f>IF(AND(tblTarget[[#This Row],[Qualifies for exception]]="Flagged",tblTarget[[#This Row],[Target to PiN (%)]]&gt;Targ_severity5),"Flagged","")</f>
        <v/>
      </c>
      <c r="AL143" s="68" t="str">
        <f>IFERROR(IF(AND(tblTarget[[#This Row],[Intercluser Severity]]=4,tblTarget[[#This Row],[Qualifies for exception]]="Flagged",(tblTarget[[#This Row],[Cluster Target]]-tblTarget[[#This Row],[2024 Response capacity up to December]])/tblTarget[[#This Row],[Cluster Target]]&gt;Diff_severity4),"Flagged",""),"No target")</f>
        <v/>
      </c>
      <c r="AM143" s="68" t="str">
        <f>IFERROR(IF(AND(tblTarget[[#This Row],[Intercluser Severity]]=3,tblTarget[[#This Row],[Qualifies for exception]]="Flagged",(tblTarget[[#This Row],[Cluster Target]]-tblTarget[[#This Row],[2024 Response capacity up to December]])/tblTarget[[#This Row],[Cluster Target]]&gt;Diff_severity3),"Flagged",""),"No target")</f>
        <v>Flagged</v>
      </c>
      <c r="AN143" s="81" t="s">
        <v>1099</v>
      </c>
      <c r="AO143" s="81"/>
      <c r="AP143" s="81" t="s">
        <v>1099</v>
      </c>
      <c r="AQ143" s="81" t="s">
        <v>1107</v>
      </c>
    </row>
    <row r="144" spans="1:43" ht="15.95" customHeight="1" x14ac:dyDescent="0.2">
      <c r="A144" s="62" t="s">
        <v>581</v>
      </c>
      <c r="B144" s="63" t="s">
        <v>324</v>
      </c>
      <c r="C144" s="64" t="s">
        <v>325</v>
      </c>
      <c r="D144" s="63" t="s">
        <v>326</v>
      </c>
      <c r="E144" s="64" t="s">
        <v>327</v>
      </c>
      <c r="F144" s="65">
        <v>42517</v>
      </c>
      <c r="G144" s="66" t="s">
        <v>30</v>
      </c>
      <c r="H144" s="67">
        <v>22586</v>
      </c>
      <c r="I144" s="68">
        <v>3</v>
      </c>
      <c r="J144" s="68">
        <v>4</v>
      </c>
      <c r="K144" s="91">
        <v>220.8</v>
      </c>
      <c r="L144" s="91">
        <v>117.16210376350469</v>
      </c>
      <c r="M144" s="91">
        <v>103.63789623649531</v>
      </c>
      <c r="N144" s="91">
        <v>110.4</v>
      </c>
      <c r="O144" s="91">
        <v>97.152000000000001</v>
      </c>
      <c r="P144" s="91">
        <v>13.247999999999999</v>
      </c>
      <c r="Q144" s="85">
        <v>33.119999999999997</v>
      </c>
      <c r="R144" s="69" t="s">
        <v>15</v>
      </c>
      <c r="S144" s="86">
        <v>32</v>
      </c>
      <c r="T144" s="69">
        <v>8</v>
      </c>
      <c r="U144" s="68">
        <v>0</v>
      </c>
      <c r="V144" s="68">
        <v>0</v>
      </c>
      <c r="W144" s="68">
        <v>2</v>
      </c>
      <c r="X144" s="68">
        <v>4</v>
      </c>
      <c r="Y144" s="68">
        <v>13</v>
      </c>
      <c r="Z144" s="68">
        <v>2</v>
      </c>
      <c r="AA144" s="68">
        <v>0</v>
      </c>
      <c r="AB144" s="69">
        <v>0</v>
      </c>
      <c r="AC144" s="69">
        <v>0</v>
      </c>
      <c r="AD144" s="70">
        <f>IFERROR(tblTarget[[#This Row],[Cluster Target]]/tblTarget[[#This Row],[Cluster PiN]],0)</f>
        <v>9.775967413441956E-3</v>
      </c>
      <c r="AE144" s="79">
        <f>_xlfn.XLOOKUP(tblTarget[[#This Row],[ID]],tblResponse[ID],tblResponse[2024 Projected reached (Dec 2024)])</f>
        <v>0</v>
      </c>
      <c r="AF144" s="79">
        <f>_xlfn.XLOOKUP(tblTarget[[#This Row],[ID]],tblResponse[ID],tblResponse[2024 Intercluster reached -August RPM])</f>
        <v>787.79370132418421</v>
      </c>
      <c r="AG144" s="79">
        <v>1</v>
      </c>
      <c r="AH144" s="79"/>
      <c r="AI144" s="79"/>
      <c r="AJ144" s="70" t="str">
        <f>IF(tblTarget[[#This Row],[Target to PiN (%)]]&gt;Targ_vs_PiN,"Flagged","")</f>
        <v/>
      </c>
      <c r="AK144" s="69" t="str">
        <f>IF(AND(tblTarget[[#This Row],[Qualifies for exception]]="Flagged",tblTarget[[#This Row],[Target to PiN (%)]]&gt;Targ_severity5),"Flagged","")</f>
        <v/>
      </c>
      <c r="AL144" s="68" t="str">
        <f>IFERROR(IF(AND(tblTarget[[#This Row],[Intercluser Severity]]=4,tblTarget[[#This Row],[Qualifies for exception]]="Flagged",(tblTarget[[#This Row],[Cluster Target]]-tblTarget[[#This Row],[2024 Response capacity up to December]])/tblTarget[[#This Row],[Cluster Target]]&gt;Diff_severity4),"Flagged",""),"No target")</f>
        <v/>
      </c>
      <c r="AM144" s="68" t="str">
        <f>IFERROR(IF(AND(tblTarget[[#This Row],[Intercluser Severity]]=3,tblTarget[[#This Row],[Qualifies for exception]]="Flagged",(tblTarget[[#This Row],[Cluster Target]]-tblTarget[[#This Row],[2024 Response capacity up to December]])/tblTarget[[#This Row],[Cluster Target]]&gt;Diff_severity3),"Flagged",""),"No target")</f>
        <v/>
      </c>
      <c r="AN144" s="81" t="s">
        <v>1099</v>
      </c>
      <c r="AO144" s="81"/>
      <c r="AP144" s="81" t="s">
        <v>15</v>
      </c>
      <c r="AQ144" s="81" t="s">
        <v>1098</v>
      </c>
    </row>
    <row r="145" spans="1:43" ht="15.95" customHeight="1" x14ac:dyDescent="0.2">
      <c r="A145" s="62" t="s">
        <v>582</v>
      </c>
      <c r="B145" s="63" t="s">
        <v>324</v>
      </c>
      <c r="C145" s="64" t="s">
        <v>325</v>
      </c>
      <c r="D145" s="63" t="s">
        <v>328</v>
      </c>
      <c r="E145" s="64" t="s">
        <v>329</v>
      </c>
      <c r="F145" s="65">
        <v>56621</v>
      </c>
      <c r="G145" s="66" t="s">
        <v>30</v>
      </c>
      <c r="H145" s="66">
        <v>25947</v>
      </c>
      <c r="I145" s="68">
        <v>3</v>
      </c>
      <c r="J145" s="68">
        <v>4</v>
      </c>
      <c r="K145" s="91">
        <v>1670.4</v>
      </c>
      <c r="L145" s="91">
        <v>860.25351003641174</v>
      </c>
      <c r="M145" s="91">
        <v>810.14648996358824</v>
      </c>
      <c r="N145" s="91">
        <v>835.2</v>
      </c>
      <c r="O145" s="91">
        <v>734.976</v>
      </c>
      <c r="P145" s="91">
        <v>100.224</v>
      </c>
      <c r="Q145" s="85">
        <v>250.56</v>
      </c>
      <c r="R145" s="69" t="s">
        <v>15</v>
      </c>
      <c r="S145" s="86">
        <v>241</v>
      </c>
      <c r="T145" s="69">
        <v>60</v>
      </c>
      <c r="U145" s="68">
        <v>0</v>
      </c>
      <c r="V145" s="68">
        <v>0</v>
      </c>
      <c r="W145" s="68">
        <v>17</v>
      </c>
      <c r="X145" s="68">
        <v>33</v>
      </c>
      <c r="Y145" s="68">
        <v>100</v>
      </c>
      <c r="Z145" s="68">
        <v>17</v>
      </c>
      <c r="AA145" s="68">
        <v>0</v>
      </c>
      <c r="AB145" s="69">
        <v>0</v>
      </c>
      <c r="AC145" s="69">
        <v>0</v>
      </c>
      <c r="AD145" s="70">
        <f>IFERROR(tblTarget[[#This Row],[Cluster Target]]/tblTarget[[#This Row],[Cluster PiN]],0)</f>
        <v>6.4377384668747831E-2</v>
      </c>
      <c r="AE145" s="79">
        <f>_xlfn.XLOOKUP(tblTarget[[#This Row],[ID]],tblResponse[ID],tblResponse[2024 Projected reached (Dec 2024)])</f>
        <v>0</v>
      </c>
      <c r="AF145" s="79">
        <f>_xlfn.XLOOKUP(tblTarget[[#This Row],[ID]],tblResponse[ID],tblResponse[2024 Intercluster reached -August RPM])</f>
        <v>31668.467226232573</v>
      </c>
      <c r="AG145" s="79">
        <v>2</v>
      </c>
      <c r="AH145" s="79"/>
      <c r="AI145" s="79"/>
      <c r="AJ145" s="70" t="str">
        <f>IF(tblTarget[[#This Row],[Target to PiN (%)]]&gt;Targ_vs_PiN,"Flagged","")</f>
        <v/>
      </c>
      <c r="AK145" s="69" t="str">
        <f>IF(AND(tblTarget[[#This Row],[Qualifies for exception]]="Flagged",tblTarget[[#This Row],[Target to PiN (%)]]&gt;Targ_severity5),"Flagged","")</f>
        <v/>
      </c>
      <c r="AL145" s="68" t="str">
        <f>IFERROR(IF(AND(tblTarget[[#This Row],[Intercluser Severity]]=4,tblTarget[[#This Row],[Qualifies for exception]]="Flagged",(tblTarget[[#This Row],[Cluster Target]]-tblTarget[[#This Row],[2024 Response capacity up to December]])/tblTarget[[#This Row],[Cluster Target]]&gt;Diff_severity4),"Flagged",""),"No target")</f>
        <v/>
      </c>
      <c r="AM145" s="68" t="str">
        <f>IFERROR(IF(AND(tblTarget[[#This Row],[Intercluser Severity]]=3,tblTarget[[#This Row],[Qualifies for exception]]="Flagged",(tblTarget[[#This Row],[Cluster Target]]-tblTarget[[#This Row],[2024 Response capacity up to December]])/tblTarget[[#This Row],[Cluster Target]]&gt;Diff_severity3),"Flagged",""),"No target")</f>
        <v/>
      </c>
      <c r="AN145" s="81" t="s">
        <v>15</v>
      </c>
      <c r="AO145" s="81"/>
      <c r="AP145" s="81" t="s">
        <v>1099</v>
      </c>
      <c r="AQ145" s="81" t="s">
        <v>1098</v>
      </c>
    </row>
    <row r="146" spans="1:43" ht="15.95" hidden="1" customHeight="1" x14ac:dyDescent="0.2">
      <c r="A146" s="62" t="s">
        <v>583</v>
      </c>
      <c r="B146" s="63" t="s">
        <v>324</v>
      </c>
      <c r="C146" s="64" t="s">
        <v>325</v>
      </c>
      <c r="D146" s="63" t="s">
        <v>330</v>
      </c>
      <c r="E146" s="64" t="s">
        <v>331</v>
      </c>
      <c r="F146" s="65">
        <v>3968</v>
      </c>
      <c r="G146" s="66" t="s">
        <v>30</v>
      </c>
      <c r="H146" s="67">
        <v>1615</v>
      </c>
      <c r="I146" s="68">
        <v>3</v>
      </c>
      <c r="J146" s="68">
        <v>3</v>
      </c>
      <c r="K146" s="91">
        <v>0</v>
      </c>
      <c r="L146" s="91">
        <v>0</v>
      </c>
      <c r="M146" s="91">
        <v>0</v>
      </c>
      <c r="N146" s="91">
        <v>0</v>
      </c>
      <c r="O146" s="91">
        <v>0</v>
      </c>
      <c r="P146" s="91">
        <v>0</v>
      </c>
      <c r="Q146" s="85">
        <v>0</v>
      </c>
      <c r="R146" s="69" t="s">
        <v>1107</v>
      </c>
      <c r="S146" s="86">
        <v>0</v>
      </c>
      <c r="T146" s="69">
        <v>0</v>
      </c>
      <c r="U146" s="68">
        <v>0</v>
      </c>
      <c r="V146" s="68">
        <v>0</v>
      </c>
      <c r="W146" s="68">
        <v>0</v>
      </c>
      <c r="X146" s="68">
        <v>0</v>
      </c>
      <c r="Y146" s="68">
        <v>0</v>
      </c>
      <c r="Z146" s="68">
        <v>0</v>
      </c>
      <c r="AA146" s="68">
        <v>0</v>
      </c>
      <c r="AB146" s="69">
        <v>0</v>
      </c>
      <c r="AC146" s="69">
        <v>0</v>
      </c>
      <c r="AD146" s="70">
        <f>IFERROR(tblTarget[[#This Row],[Cluster Target]]/tblTarget[[#This Row],[Cluster PiN]],0)</f>
        <v>0</v>
      </c>
      <c r="AE146" s="79">
        <f>_xlfn.XLOOKUP(tblTarget[[#This Row],[ID]],tblResponse[ID],tblResponse[2024 Projected reached (Dec 2024)])</f>
        <v>0</v>
      </c>
      <c r="AF146" s="79">
        <f>_xlfn.XLOOKUP(tblTarget[[#This Row],[ID]],tblResponse[ID],tblResponse[2024 Intercluster reached -August RPM])</f>
        <v>962.00385374844882</v>
      </c>
      <c r="AG146" s="79">
        <v>1</v>
      </c>
      <c r="AH146" s="79"/>
      <c r="AI146" s="79"/>
      <c r="AJ146" s="70" t="str">
        <f>IF(tblTarget[[#This Row],[Target to PiN (%)]]&gt;Targ_vs_PiN,"Flagged","")</f>
        <v/>
      </c>
      <c r="AK146" s="69" t="str">
        <f>IF(AND(tblTarget[[#This Row],[Qualifies for exception]]="Flagged",tblTarget[[#This Row],[Target to PiN (%)]]&gt;Targ_severity5),"Flagged","")</f>
        <v/>
      </c>
      <c r="AL146" s="68" t="str">
        <f>IFERROR(IF(AND(tblTarget[[#This Row],[Intercluser Severity]]=4,tblTarget[[#This Row],[Qualifies for exception]]="Flagged",(tblTarget[[#This Row],[Cluster Target]]-tblTarget[[#This Row],[2024 Response capacity up to December]])/tblTarget[[#This Row],[Cluster Target]]&gt;Diff_severity4),"Flagged",""),"No target")</f>
        <v>No target</v>
      </c>
      <c r="AM146" s="68" t="str">
        <f>IFERROR(IF(AND(tblTarget[[#This Row],[Intercluser Severity]]=3,tblTarget[[#This Row],[Qualifies for exception]]="Flagged",(tblTarget[[#This Row],[Cluster Target]]-tblTarget[[#This Row],[2024 Response capacity up to December]])/tblTarget[[#This Row],[Cluster Target]]&gt;Diff_severity3),"Flagged",""),"No target")</f>
        <v>No target</v>
      </c>
      <c r="AN146" s="81" t="s">
        <v>1099</v>
      </c>
      <c r="AO146" s="81"/>
      <c r="AP146" s="81" t="s">
        <v>1099</v>
      </c>
      <c r="AQ146" s="81" t="s">
        <v>1107</v>
      </c>
    </row>
    <row r="147" spans="1:43" ht="15.95" hidden="1" customHeight="1" x14ac:dyDescent="0.2">
      <c r="A147" s="62" t="s">
        <v>584</v>
      </c>
      <c r="B147" s="63" t="s">
        <v>324</v>
      </c>
      <c r="C147" s="64" t="s">
        <v>325</v>
      </c>
      <c r="D147" s="63" t="s">
        <v>332</v>
      </c>
      <c r="E147" s="64" t="s">
        <v>333</v>
      </c>
      <c r="F147" s="65">
        <v>33815</v>
      </c>
      <c r="G147" s="66" t="s">
        <v>30</v>
      </c>
      <c r="H147" s="67">
        <v>15506</v>
      </c>
      <c r="I147" s="68">
        <v>3</v>
      </c>
      <c r="J147" s="68">
        <v>4</v>
      </c>
      <c r="K147" s="91">
        <v>151</v>
      </c>
      <c r="L147" s="91">
        <v>80.582980109891736</v>
      </c>
      <c r="M147" s="91">
        <v>70.417019890108264</v>
      </c>
      <c r="N147" s="91">
        <v>75.5</v>
      </c>
      <c r="O147" s="91">
        <v>66.44</v>
      </c>
      <c r="P147" s="91">
        <v>9.06</v>
      </c>
      <c r="Q147" s="85">
        <v>22.65</v>
      </c>
      <c r="R147" s="69" t="s">
        <v>1107</v>
      </c>
      <c r="S147" s="86">
        <v>22</v>
      </c>
      <c r="T147" s="69">
        <v>5</v>
      </c>
      <c r="U147" s="68">
        <v>0</v>
      </c>
      <c r="V147" s="68">
        <v>0</v>
      </c>
      <c r="W147" s="68">
        <v>2</v>
      </c>
      <c r="X147" s="68">
        <v>3</v>
      </c>
      <c r="Y147" s="68">
        <v>9</v>
      </c>
      <c r="Z147" s="68">
        <v>2</v>
      </c>
      <c r="AA147" s="68">
        <v>0</v>
      </c>
      <c r="AB147" s="69">
        <v>0</v>
      </c>
      <c r="AC147" s="69">
        <v>0</v>
      </c>
      <c r="AD147" s="70">
        <f>IFERROR(tblTarget[[#This Row],[Cluster Target]]/tblTarget[[#This Row],[Cluster PiN]],0)</f>
        <v>9.738165871275635E-3</v>
      </c>
      <c r="AE147" s="79">
        <f>_xlfn.XLOOKUP(tblTarget[[#This Row],[ID]],tblResponse[ID],tblResponse[2024 Projected reached (Dec 2024)])</f>
        <v>0</v>
      </c>
      <c r="AF147" s="79">
        <f>_xlfn.XLOOKUP(tblTarget[[#This Row],[ID]],tblResponse[ID],tblResponse[2024 Intercluster reached -August RPM])</f>
        <v>13992.783327250165</v>
      </c>
      <c r="AG147" s="79">
        <v>1</v>
      </c>
      <c r="AH147" s="79"/>
      <c r="AI147" s="79"/>
      <c r="AJ147" s="70" t="str">
        <f>IF(tblTarget[[#This Row],[Target to PiN (%)]]&gt;Targ_vs_PiN,"Flagged","")</f>
        <v/>
      </c>
      <c r="AK147" s="69" t="str">
        <f>IF(AND(tblTarget[[#This Row],[Qualifies for exception]]="Flagged",tblTarget[[#This Row],[Target to PiN (%)]]&gt;Targ_severity5),"Flagged","")</f>
        <v/>
      </c>
      <c r="AL147" s="68" t="str">
        <f>IFERROR(IF(AND(tblTarget[[#This Row],[Intercluser Severity]]=4,tblTarget[[#This Row],[Qualifies for exception]]="Flagged",(tblTarget[[#This Row],[Cluster Target]]-tblTarget[[#This Row],[2024 Response capacity up to December]])/tblTarget[[#This Row],[Cluster Target]]&gt;Diff_severity4),"Flagged",""),"No target")</f>
        <v>Flagged</v>
      </c>
      <c r="AM147" s="68" t="str">
        <f>IFERROR(IF(AND(tblTarget[[#This Row],[Intercluser Severity]]=3,tblTarget[[#This Row],[Qualifies for exception]]="Flagged",(tblTarget[[#This Row],[Cluster Target]]-tblTarget[[#This Row],[2024 Response capacity up to December]])/tblTarget[[#This Row],[Cluster Target]]&gt;Diff_severity3),"Flagged",""),"No target")</f>
        <v/>
      </c>
      <c r="AN147" s="81" t="s">
        <v>1099</v>
      </c>
      <c r="AO147" s="81"/>
      <c r="AP147" s="81" t="s">
        <v>1099</v>
      </c>
      <c r="AQ147" s="81" t="s">
        <v>1107</v>
      </c>
    </row>
    <row r="148" spans="1:43" ht="15.95" customHeight="1" x14ac:dyDescent="0.2">
      <c r="A148" s="62" t="s">
        <v>585</v>
      </c>
      <c r="B148" s="63" t="s">
        <v>324</v>
      </c>
      <c r="C148" s="64" t="s">
        <v>325</v>
      </c>
      <c r="D148" s="63" t="s">
        <v>334</v>
      </c>
      <c r="E148" s="64" t="s">
        <v>335</v>
      </c>
      <c r="F148" s="65">
        <v>7373</v>
      </c>
      <c r="G148" s="66" t="s">
        <v>30</v>
      </c>
      <c r="H148" s="67">
        <v>4540</v>
      </c>
      <c r="I148" s="68">
        <v>3</v>
      </c>
      <c r="J148" s="68">
        <v>3</v>
      </c>
      <c r="K148" s="91">
        <v>0</v>
      </c>
      <c r="L148" s="91">
        <v>0</v>
      </c>
      <c r="M148" s="91">
        <v>0</v>
      </c>
      <c r="N148" s="91">
        <v>0</v>
      </c>
      <c r="O148" s="91">
        <v>0</v>
      </c>
      <c r="P148" s="91">
        <v>0</v>
      </c>
      <c r="Q148" s="85">
        <v>0</v>
      </c>
      <c r="R148" s="69" t="s">
        <v>15</v>
      </c>
      <c r="S148" s="86">
        <v>0</v>
      </c>
      <c r="T148" s="69">
        <v>0</v>
      </c>
      <c r="U148" s="68">
        <v>0</v>
      </c>
      <c r="V148" s="68">
        <v>0</v>
      </c>
      <c r="W148" s="68">
        <v>0</v>
      </c>
      <c r="X148" s="68">
        <v>0</v>
      </c>
      <c r="Y148" s="68">
        <v>0</v>
      </c>
      <c r="Z148" s="68">
        <v>0</v>
      </c>
      <c r="AA148" s="68">
        <v>0</v>
      </c>
      <c r="AB148" s="69">
        <v>0</v>
      </c>
      <c r="AC148" s="69">
        <v>0</v>
      </c>
      <c r="AD148" s="70">
        <f>IFERROR(tblTarget[[#This Row],[Cluster Target]]/tblTarget[[#This Row],[Cluster PiN]],0)</f>
        <v>0</v>
      </c>
      <c r="AE148" s="79">
        <f>_xlfn.XLOOKUP(tblTarget[[#This Row],[ID]],tblResponse[ID],tblResponse[2024 Projected reached (Dec 2024)])</f>
        <v>0</v>
      </c>
      <c r="AF148" s="79">
        <f>_xlfn.XLOOKUP(tblTarget[[#This Row],[ID]],tblResponse[ID],tblResponse[2024 Intercluster reached -August RPM])</f>
        <v>0</v>
      </c>
      <c r="AG148" s="79">
        <v>1</v>
      </c>
      <c r="AH148" s="79"/>
      <c r="AI148" s="79"/>
      <c r="AJ148" s="70" t="str">
        <f>IF(tblTarget[[#This Row],[Target to PiN (%)]]&gt;Targ_vs_PiN,"Flagged","")</f>
        <v/>
      </c>
      <c r="AK148" s="69" t="str">
        <f>IF(AND(tblTarget[[#This Row],[Qualifies for exception]]="Flagged",tblTarget[[#This Row],[Target to PiN (%)]]&gt;Targ_severity5),"Flagged","")</f>
        <v/>
      </c>
      <c r="AL148" s="68" t="str">
        <f>IFERROR(IF(AND(tblTarget[[#This Row],[Intercluser Severity]]=4,tblTarget[[#This Row],[Qualifies for exception]]="Flagged",(tblTarget[[#This Row],[Cluster Target]]-tblTarget[[#This Row],[2024 Response capacity up to December]])/tblTarget[[#This Row],[Cluster Target]]&gt;Diff_severity4),"Flagged",""),"No target")</f>
        <v>No target</v>
      </c>
      <c r="AM148" s="68" t="str">
        <f>IFERROR(IF(AND(tblTarget[[#This Row],[Intercluser Severity]]=3,tblTarget[[#This Row],[Qualifies for exception]]="Flagged",(tblTarget[[#This Row],[Cluster Target]]-tblTarget[[#This Row],[2024 Response capacity up to December]])/tblTarget[[#This Row],[Cluster Target]]&gt;Diff_severity3),"Flagged",""),"No target")</f>
        <v>No target</v>
      </c>
      <c r="AN148" s="81" t="s">
        <v>1099</v>
      </c>
      <c r="AO148" s="81"/>
      <c r="AP148" s="81" t="s">
        <v>1099</v>
      </c>
      <c r="AQ148" s="81" t="s">
        <v>1107</v>
      </c>
    </row>
    <row r="149" spans="1:43" ht="15.95" hidden="1" customHeight="1" x14ac:dyDescent="0.2">
      <c r="A149" s="62" t="s">
        <v>586</v>
      </c>
      <c r="B149" s="63" t="s">
        <v>324</v>
      </c>
      <c r="C149" s="64" t="s">
        <v>325</v>
      </c>
      <c r="D149" s="63" t="s">
        <v>336</v>
      </c>
      <c r="E149" s="64" t="s">
        <v>337</v>
      </c>
      <c r="F149" s="65">
        <v>15156</v>
      </c>
      <c r="G149" s="66" t="s">
        <v>30</v>
      </c>
      <c r="H149" s="67">
        <v>4374</v>
      </c>
      <c r="I149" s="68">
        <v>3</v>
      </c>
      <c r="J149" s="68">
        <v>4</v>
      </c>
      <c r="K149" s="91">
        <v>43.800000000000004</v>
      </c>
      <c r="L149" s="91">
        <v>23.715845651340683</v>
      </c>
      <c r="M149" s="91">
        <v>20.084154348659325</v>
      </c>
      <c r="N149" s="91">
        <v>21.900000000000002</v>
      </c>
      <c r="O149" s="91">
        <v>19.272000000000002</v>
      </c>
      <c r="P149" s="91">
        <v>2.6280000000000001</v>
      </c>
      <c r="Q149" s="85">
        <v>6.57</v>
      </c>
      <c r="R149" s="69" t="s">
        <v>1107</v>
      </c>
      <c r="S149" s="86">
        <v>6</v>
      </c>
      <c r="T149" s="69">
        <v>2</v>
      </c>
      <c r="U149" s="68">
        <v>0</v>
      </c>
      <c r="V149" s="68">
        <v>0</v>
      </c>
      <c r="W149" s="68">
        <v>0</v>
      </c>
      <c r="X149" s="68">
        <v>1</v>
      </c>
      <c r="Y149" s="68">
        <v>3</v>
      </c>
      <c r="Z149" s="68">
        <v>0</v>
      </c>
      <c r="AA149" s="68">
        <v>0</v>
      </c>
      <c r="AB149" s="69">
        <v>0</v>
      </c>
      <c r="AC149" s="69">
        <v>0</v>
      </c>
      <c r="AD149" s="70">
        <f>IFERROR(tblTarget[[#This Row],[Cluster Target]]/tblTarget[[#This Row],[Cluster PiN]],0)</f>
        <v>1.001371742112483E-2</v>
      </c>
      <c r="AE149" s="79">
        <f>_xlfn.XLOOKUP(tblTarget[[#This Row],[ID]],tblResponse[ID],tblResponse[2024 Projected reached (Dec 2024)])</f>
        <v>0</v>
      </c>
      <c r="AF149" s="79">
        <f>_xlfn.XLOOKUP(tblTarget[[#This Row],[ID]],tblResponse[ID],tblResponse[2024 Intercluster reached -August RPM])</f>
        <v>16322.581751237316</v>
      </c>
      <c r="AG149" s="79">
        <v>1</v>
      </c>
      <c r="AH149" s="79"/>
      <c r="AI149" s="79"/>
      <c r="AJ149" s="70" t="str">
        <f>IF(tblTarget[[#This Row],[Target to PiN (%)]]&gt;Targ_vs_PiN,"Flagged","")</f>
        <v/>
      </c>
      <c r="AK149" s="69" t="str">
        <f>IF(AND(tblTarget[[#This Row],[Qualifies for exception]]="Flagged",tblTarget[[#This Row],[Target to PiN (%)]]&gt;Targ_severity5),"Flagged","")</f>
        <v/>
      </c>
      <c r="AL149" s="68" t="str">
        <f>IFERROR(IF(AND(tblTarget[[#This Row],[Intercluser Severity]]=4,tblTarget[[#This Row],[Qualifies for exception]]="Flagged",(tblTarget[[#This Row],[Cluster Target]]-tblTarget[[#This Row],[2024 Response capacity up to December]])/tblTarget[[#This Row],[Cluster Target]]&gt;Diff_severity4),"Flagged",""),"No target")</f>
        <v>Flagged</v>
      </c>
      <c r="AM149" s="68" t="str">
        <f>IFERROR(IF(AND(tblTarget[[#This Row],[Intercluser Severity]]=3,tblTarget[[#This Row],[Qualifies for exception]]="Flagged",(tblTarget[[#This Row],[Cluster Target]]-tblTarget[[#This Row],[2024 Response capacity up to December]])/tblTarget[[#This Row],[Cluster Target]]&gt;Diff_severity3),"Flagged",""),"No target")</f>
        <v/>
      </c>
      <c r="AN149" s="81" t="s">
        <v>1099</v>
      </c>
      <c r="AO149" s="81"/>
      <c r="AP149" s="81" t="s">
        <v>1099</v>
      </c>
      <c r="AQ149" s="81" t="s">
        <v>1107</v>
      </c>
    </row>
    <row r="150" spans="1:43" ht="15.95" hidden="1" customHeight="1" x14ac:dyDescent="0.2">
      <c r="A150" s="62" t="s">
        <v>587</v>
      </c>
      <c r="B150" s="63" t="s">
        <v>324</v>
      </c>
      <c r="C150" s="64" t="s">
        <v>325</v>
      </c>
      <c r="D150" s="63" t="s">
        <v>338</v>
      </c>
      <c r="E150" s="64" t="s">
        <v>339</v>
      </c>
      <c r="F150" s="65">
        <v>8036</v>
      </c>
      <c r="G150" s="66" t="s">
        <v>30</v>
      </c>
      <c r="H150" s="67">
        <v>2489</v>
      </c>
      <c r="I150" s="68">
        <v>3</v>
      </c>
      <c r="J150" s="68">
        <v>4</v>
      </c>
      <c r="K150" s="91">
        <v>25</v>
      </c>
      <c r="L150" s="91">
        <v>13.362327382957226</v>
      </c>
      <c r="M150" s="91">
        <v>11.637672617042776</v>
      </c>
      <c r="N150" s="91">
        <v>12.5</v>
      </c>
      <c r="O150" s="91">
        <v>11</v>
      </c>
      <c r="P150" s="91">
        <v>1.5</v>
      </c>
      <c r="Q150" s="85">
        <v>3.75</v>
      </c>
      <c r="R150" s="69" t="s">
        <v>1107</v>
      </c>
      <c r="S150" s="86">
        <v>4</v>
      </c>
      <c r="T150" s="69">
        <v>1</v>
      </c>
      <c r="U150" s="68">
        <v>0</v>
      </c>
      <c r="V150" s="68">
        <v>0</v>
      </c>
      <c r="W150" s="68">
        <v>0</v>
      </c>
      <c r="X150" s="68">
        <v>1</v>
      </c>
      <c r="Y150" s="68">
        <v>2</v>
      </c>
      <c r="Z150" s="68">
        <v>0</v>
      </c>
      <c r="AA150" s="68">
        <v>0</v>
      </c>
      <c r="AB150" s="69">
        <v>0</v>
      </c>
      <c r="AC150" s="69">
        <v>0</v>
      </c>
      <c r="AD150" s="70">
        <f>IFERROR(tblTarget[[#This Row],[Cluster Target]]/tblTarget[[#This Row],[Cluster PiN]],0)</f>
        <v>1.0044194455604661E-2</v>
      </c>
      <c r="AE150" s="79">
        <f>_xlfn.XLOOKUP(tblTarget[[#This Row],[ID]],tblResponse[ID],tblResponse[2024 Projected reached (Dec 2024)])</f>
        <v>0</v>
      </c>
      <c r="AF150" s="79">
        <f>_xlfn.XLOOKUP(tblTarget[[#This Row],[ID]],tblResponse[ID],tblResponse[2024 Intercluster reached -August RPM])</f>
        <v>860.55617462588509</v>
      </c>
      <c r="AG150" s="79">
        <v>1</v>
      </c>
      <c r="AH150" s="79"/>
      <c r="AI150" s="79"/>
      <c r="AJ150" s="70" t="str">
        <f>IF(tblTarget[[#This Row],[Target to PiN (%)]]&gt;Targ_vs_PiN,"Flagged","")</f>
        <v/>
      </c>
      <c r="AK150" s="69" t="str">
        <f>IF(AND(tblTarget[[#This Row],[Qualifies for exception]]="Flagged",tblTarget[[#This Row],[Target to PiN (%)]]&gt;Targ_severity5),"Flagged","")</f>
        <v/>
      </c>
      <c r="AL150" s="68" t="str">
        <f>IFERROR(IF(AND(tblTarget[[#This Row],[Intercluser Severity]]=4,tblTarget[[#This Row],[Qualifies for exception]]="Flagged",(tblTarget[[#This Row],[Cluster Target]]-tblTarget[[#This Row],[2024 Response capacity up to December]])/tblTarget[[#This Row],[Cluster Target]]&gt;Diff_severity4),"Flagged",""),"No target")</f>
        <v>Flagged</v>
      </c>
      <c r="AM150" s="68" t="str">
        <f>IFERROR(IF(AND(tblTarget[[#This Row],[Intercluser Severity]]=3,tblTarget[[#This Row],[Qualifies for exception]]="Flagged",(tblTarget[[#This Row],[Cluster Target]]-tblTarget[[#This Row],[2024 Response capacity up to December]])/tblTarget[[#This Row],[Cluster Target]]&gt;Diff_severity3),"Flagged",""),"No target")</f>
        <v/>
      </c>
      <c r="AN150" s="81" t="s">
        <v>1099</v>
      </c>
      <c r="AO150" s="81"/>
      <c r="AP150" s="81" t="s">
        <v>1099</v>
      </c>
      <c r="AQ150" s="81" t="s">
        <v>1107</v>
      </c>
    </row>
    <row r="151" spans="1:43" ht="15.95" customHeight="1" x14ac:dyDescent="0.2">
      <c r="A151" s="62" t="s">
        <v>588</v>
      </c>
      <c r="B151" s="63" t="s">
        <v>324</v>
      </c>
      <c r="C151" s="64" t="s">
        <v>325</v>
      </c>
      <c r="D151" s="63" t="s">
        <v>322</v>
      </c>
      <c r="E151" s="64" t="s">
        <v>340</v>
      </c>
      <c r="F151" s="65">
        <v>43198</v>
      </c>
      <c r="G151" s="66" t="s">
        <v>30</v>
      </c>
      <c r="H151" s="67">
        <v>18156</v>
      </c>
      <c r="I151" s="68">
        <v>3</v>
      </c>
      <c r="J151" s="68">
        <v>5</v>
      </c>
      <c r="K151" s="91">
        <v>211.92</v>
      </c>
      <c r="L151" s="91">
        <v>112.39341627764516</v>
      </c>
      <c r="M151" s="91">
        <v>99.526583722354829</v>
      </c>
      <c r="N151" s="91">
        <v>105.96</v>
      </c>
      <c r="O151" s="91">
        <v>93.244799999999998</v>
      </c>
      <c r="P151" s="91">
        <v>12.715199999999999</v>
      </c>
      <c r="Q151" s="85">
        <v>31.787999999999997</v>
      </c>
      <c r="R151" s="69" t="s">
        <v>15</v>
      </c>
      <c r="S151" s="86">
        <v>31</v>
      </c>
      <c r="T151" s="69">
        <v>8</v>
      </c>
      <c r="U151" s="68">
        <v>0</v>
      </c>
      <c r="V151" s="68">
        <v>0</v>
      </c>
      <c r="W151" s="68">
        <v>2</v>
      </c>
      <c r="X151" s="68">
        <v>4</v>
      </c>
      <c r="Y151" s="68">
        <v>13</v>
      </c>
      <c r="Z151" s="68">
        <v>2</v>
      </c>
      <c r="AA151" s="68">
        <v>0</v>
      </c>
      <c r="AB151" s="69">
        <v>0</v>
      </c>
      <c r="AC151" s="69">
        <v>0</v>
      </c>
      <c r="AD151" s="70">
        <f>IFERROR(tblTarget[[#This Row],[Cluster Target]]/tblTarget[[#This Row],[Cluster PiN]],0)</f>
        <v>1.1672174487772637E-2</v>
      </c>
      <c r="AE151" s="79">
        <f>_xlfn.XLOOKUP(tblTarget[[#This Row],[ID]],tblResponse[ID],tblResponse[2024 Projected reached (Dec 2024)])</f>
        <v>0</v>
      </c>
      <c r="AF151" s="79">
        <f>_xlfn.XLOOKUP(tblTarget[[#This Row],[ID]],tblResponse[ID],tblResponse[2024 Intercluster reached -August RPM])</f>
        <v>25816.685238776554</v>
      </c>
      <c r="AG151" s="79">
        <v>0</v>
      </c>
      <c r="AH151" s="79"/>
      <c r="AI151" s="79"/>
      <c r="AJ151" s="70" t="str">
        <f>IF(tblTarget[[#This Row],[Target to PiN (%)]]&gt;Targ_vs_PiN,"Flagged","")</f>
        <v/>
      </c>
      <c r="AK151" s="69" t="str">
        <f>IF(AND(tblTarget[[#This Row],[Qualifies for exception]]="Flagged",tblTarget[[#This Row],[Target to PiN (%)]]&gt;Targ_severity5),"Flagged","")</f>
        <v/>
      </c>
      <c r="AL151" s="68" t="str">
        <f>IFERROR(IF(AND(tblTarget[[#This Row],[Intercluser Severity]]=4,tblTarget[[#This Row],[Qualifies for exception]]="Flagged",(tblTarget[[#This Row],[Cluster Target]]-tblTarget[[#This Row],[2024 Response capacity up to December]])/tblTarget[[#This Row],[Cluster Target]]&gt;Diff_severity4),"Flagged",""),"No target")</f>
        <v/>
      </c>
      <c r="AM151" s="68" t="str">
        <f>IFERROR(IF(AND(tblTarget[[#This Row],[Intercluser Severity]]=3,tblTarget[[#This Row],[Qualifies for exception]]="Flagged",(tblTarget[[#This Row],[Cluster Target]]-tblTarget[[#This Row],[2024 Response capacity up to December]])/tblTarget[[#This Row],[Cluster Target]]&gt;Diff_severity3),"Flagged",""),"No target")</f>
        <v/>
      </c>
      <c r="AN151" s="81" t="s">
        <v>1099</v>
      </c>
      <c r="AO151" s="81"/>
      <c r="AP151" s="81" t="s">
        <v>1099</v>
      </c>
      <c r="AQ151" s="81" t="s">
        <v>1098</v>
      </c>
    </row>
    <row r="152" spans="1:43" ht="15.95" hidden="1" customHeight="1" x14ac:dyDescent="0.2">
      <c r="A152" s="62" t="s">
        <v>589</v>
      </c>
      <c r="B152" s="63" t="s">
        <v>341</v>
      </c>
      <c r="C152" s="64" t="s">
        <v>342</v>
      </c>
      <c r="D152" s="63" t="s">
        <v>343</v>
      </c>
      <c r="E152" s="64" t="s">
        <v>344</v>
      </c>
      <c r="F152" s="65">
        <v>55928</v>
      </c>
      <c r="G152" s="66" t="s">
        <v>30</v>
      </c>
      <c r="H152" s="67">
        <v>2546</v>
      </c>
      <c r="I152" s="68">
        <v>3</v>
      </c>
      <c r="J152" s="68">
        <v>3</v>
      </c>
      <c r="K152" s="91">
        <v>22.8</v>
      </c>
      <c r="L152" s="91">
        <v>11.686310639022654</v>
      </c>
      <c r="M152" s="91">
        <v>11.113689360977347</v>
      </c>
      <c r="N152" s="91">
        <v>11.4</v>
      </c>
      <c r="O152" s="91">
        <v>10.032</v>
      </c>
      <c r="P152" s="91">
        <v>1.3679999999999999</v>
      </c>
      <c r="Q152" s="85">
        <v>3.42</v>
      </c>
      <c r="R152" s="69" t="s">
        <v>1107</v>
      </c>
      <c r="S152" s="86">
        <v>3</v>
      </c>
      <c r="T152" s="69">
        <v>1</v>
      </c>
      <c r="U152" s="68">
        <v>0</v>
      </c>
      <c r="V152" s="68">
        <v>0</v>
      </c>
      <c r="W152" s="68">
        <v>0</v>
      </c>
      <c r="X152" s="68">
        <v>0</v>
      </c>
      <c r="Y152" s="68">
        <v>1</v>
      </c>
      <c r="Z152" s="68">
        <v>0</v>
      </c>
      <c r="AA152" s="68">
        <v>0</v>
      </c>
      <c r="AB152" s="69">
        <v>0</v>
      </c>
      <c r="AC152" s="69">
        <v>0</v>
      </c>
      <c r="AD152" s="70">
        <f>IFERROR(tblTarget[[#This Row],[Cluster Target]]/tblTarget[[#This Row],[Cluster PiN]],0)</f>
        <v>8.9552238805970154E-3</v>
      </c>
      <c r="AE152" s="79">
        <f>_xlfn.XLOOKUP(tblTarget[[#This Row],[ID]],tblResponse[ID],tblResponse[2024 Projected reached (Dec 2024)])</f>
        <v>0</v>
      </c>
      <c r="AF152" s="79">
        <f>_xlfn.XLOOKUP(tblTarget[[#This Row],[ID]],tblResponse[ID],tblResponse[2024 Intercluster reached -August RPM])</f>
        <v>69264.277469888315</v>
      </c>
      <c r="AG152" s="79">
        <v>3</v>
      </c>
      <c r="AH152" s="79"/>
      <c r="AI152" s="79"/>
      <c r="AJ152" s="70" t="str">
        <f>IF(tblTarget[[#This Row],[Target to PiN (%)]]&gt;Targ_vs_PiN,"Flagged","")</f>
        <v/>
      </c>
      <c r="AK152" s="69" t="str">
        <f>IF(AND(tblTarget[[#This Row],[Qualifies for exception]]="Flagged",tblTarget[[#This Row],[Target to PiN (%)]]&gt;Targ_severity5),"Flagged","")</f>
        <v/>
      </c>
      <c r="AL152" s="68" t="str">
        <f>IFERROR(IF(AND(tblTarget[[#This Row],[Intercluser Severity]]=4,tblTarget[[#This Row],[Qualifies for exception]]="Flagged",(tblTarget[[#This Row],[Cluster Target]]-tblTarget[[#This Row],[2024 Response capacity up to December]])/tblTarget[[#This Row],[Cluster Target]]&gt;Diff_severity4),"Flagged",""),"No target")</f>
        <v/>
      </c>
      <c r="AM152" s="68" t="str">
        <f>IFERROR(IF(AND(tblTarget[[#This Row],[Intercluser Severity]]=3,tblTarget[[#This Row],[Qualifies for exception]]="Flagged",(tblTarget[[#This Row],[Cluster Target]]-tblTarget[[#This Row],[2024 Response capacity up to December]])/tblTarget[[#This Row],[Cluster Target]]&gt;Diff_severity3),"Flagged",""),"No target")</f>
        <v>Flagged</v>
      </c>
      <c r="AN152" s="81" t="s">
        <v>1099</v>
      </c>
      <c r="AO152" s="81"/>
      <c r="AP152" s="81" t="s">
        <v>1099</v>
      </c>
      <c r="AQ152" s="81" t="s">
        <v>1107</v>
      </c>
    </row>
    <row r="153" spans="1:43" ht="15.95" hidden="1" customHeight="1" x14ac:dyDescent="0.2">
      <c r="A153" s="62" t="s">
        <v>590</v>
      </c>
      <c r="B153" s="63" t="s">
        <v>341</v>
      </c>
      <c r="C153" s="64" t="s">
        <v>342</v>
      </c>
      <c r="D153" s="63" t="s">
        <v>341</v>
      </c>
      <c r="E153" s="64" t="s">
        <v>345</v>
      </c>
      <c r="F153" s="65">
        <v>144677</v>
      </c>
      <c r="G153" s="66" t="s">
        <v>30</v>
      </c>
      <c r="H153" s="67">
        <v>26350</v>
      </c>
      <c r="I153" s="68">
        <v>4</v>
      </c>
      <c r="J153" s="68">
        <v>4</v>
      </c>
      <c r="K153" s="91">
        <v>534.20000000000005</v>
      </c>
      <c r="L153" s="91">
        <v>281.06830613668308</v>
      </c>
      <c r="M153" s="91">
        <v>253.13169386331694</v>
      </c>
      <c r="N153" s="91">
        <v>267.10000000000002</v>
      </c>
      <c r="O153" s="91">
        <v>235.04800000000003</v>
      </c>
      <c r="P153" s="91">
        <v>32.052</v>
      </c>
      <c r="Q153" s="85">
        <v>80.13000000000001</v>
      </c>
      <c r="R153" s="69" t="s">
        <v>1107</v>
      </c>
      <c r="S153" s="86">
        <v>77</v>
      </c>
      <c r="T153" s="69">
        <v>19</v>
      </c>
      <c r="U153" s="68">
        <v>0</v>
      </c>
      <c r="V153" s="68">
        <v>0</v>
      </c>
      <c r="W153" s="68">
        <v>5</v>
      </c>
      <c r="X153" s="68">
        <v>11</v>
      </c>
      <c r="Y153" s="68">
        <v>32</v>
      </c>
      <c r="Z153" s="68">
        <v>5</v>
      </c>
      <c r="AA153" s="68">
        <v>0</v>
      </c>
      <c r="AB153" s="69">
        <v>0</v>
      </c>
      <c r="AC153" s="69">
        <v>0</v>
      </c>
      <c r="AD153" s="70">
        <f>IFERROR(tblTarget[[#This Row],[Cluster Target]]/tblTarget[[#This Row],[Cluster PiN]],0)</f>
        <v>2.0273244781783682E-2</v>
      </c>
      <c r="AE153" s="79">
        <f>_xlfn.XLOOKUP(tblTarget[[#This Row],[ID]],tblResponse[ID],tblResponse[2024 Projected reached (Dec 2024)])</f>
        <v>0</v>
      </c>
      <c r="AF153" s="79">
        <f>_xlfn.XLOOKUP(tblTarget[[#This Row],[ID]],tblResponse[ID],tblResponse[2024 Intercluster reached -August RPM])</f>
        <v>135597.06683271771</v>
      </c>
      <c r="AG153" s="79">
        <v>4</v>
      </c>
      <c r="AH153" s="79"/>
      <c r="AI153" s="79"/>
      <c r="AJ153" s="70" t="str">
        <f>IF(tblTarget[[#This Row],[Target to PiN (%)]]&gt;Targ_vs_PiN,"Flagged","")</f>
        <v/>
      </c>
      <c r="AK153" s="69" t="str">
        <f>IF(AND(tblTarget[[#This Row],[Qualifies for exception]]="Flagged",tblTarget[[#This Row],[Target to PiN (%)]]&gt;Targ_severity5),"Flagged","")</f>
        <v/>
      </c>
      <c r="AL153" s="68" t="str">
        <f>IFERROR(IF(AND(tblTarget[[#This Row],[Intercluser Severity]]=4,tblTarget[[#This Row],[Qualifies for exception]]="Flagged",(tblTarget[[#This Row],[Cluster Target]]-tblTarget[[#This Row],[2024 Response capacity up to December]])/tblTarget[[#This Row],[Cluster Target]]&gt;Diff_severity4),"Flagged",""),"No target")</f>
        <v>Flagged</v>
      </c>
      <c r="AM153" s="68" t="str">
        <f>IFERROR(IF(AND(tblTarget[[#This Row],[Intercluser Severity]]=3,tblTarget[[#This Row],[Qualifies for exception]]="Flagged",(tblTarget[[#This Row],[Cluster Target]]-tblTarget[[#This Row],[2024 Response capacity up to December]])/tblTarget[[#This Row],[Cluster Target]]&gt;Diff_severity3),"Flagged",""),"No target")</f>
        <v/>
      </c>
      <c r="AN153" s="81" t="s">
        <v>1099</v>
      </c>
      <c r="AO153" s="81"/>
      <c r="AP153" s="81" t="s">
        <v>1099</v>
      </c>
      <c r="AQ153" s="81" t="s">
        <v>1107</v>
      </c>
    </row>
    <row r="154" spans="1:43" ht="15.95" hidden="1" customHeight="1" x14ac:dyDescent="0.2">
      <c r="A154" s="62" t="s">
        <v>591</v>
      </c>
      <c r="B154" s="63" t="s">
        <v>341</v>
      </c>
      <c r="C154" s="64" t="s">
        <v>342</v>
      </c>
      <c r="D154" s="63" t="s">
        <v>346</v>
      </c>
      <c r="E154" s="64" t="s">
        <v>347</v>
      </c>
      <c r="F154" s="65">
        <v>64062</v>
      </c>
      <c r="G154" s="66" t="s">
        <v>30</v>
      </c>
      <c r="H154" s="67">
        <v>5834</v>
      </c>
      <c r="I154" s="68">
        <v>3</v>
      </c>
      <c r="J154" s="68">
        <v>4</v>
      </c>
      <c r="K154" s="91">
        <v>58.400000000000006</v>
      </c>
      <c r="L154" s="91">
        <v>30.146505180876204</v>
      </c>
      <c r="M154" s="91">
        <v>28.253494819123798</v>
      </c>
      <c r="N154" s="91">
        <v>29.200000000000003</v>
      </c>
      <c r="O154" s="91">
        <v>25.696000000000002</v>
      </c>
      <c r="P154" s="91">
        <v>3.504</v>
      </c>
      <c r="Q154" s="85">
        <v>8.76</v>
      </c>
      <c r="R154" s="69" t="s">
        <v>1107</v>
      </c>
      <c r="S154" s="86">
        <v>8</v>
      </c>
      <c r="T154" s="69">
        <v>2</v>
      </c>
      <c r="U154" s="68">
        <v>0</v>
      </c>
      <c r="V154" s="68">
        <v>0</v>
      </c>
      <c r="W154" s="68">
        <v>1</v>
      </c>
      <c r="X154" s="68">
        <v>1</v>
      </c>
      <c r="Y154" s="68">
        <v>4</v>
      </c>
      <c r="Z154" s="68">
        <v>1</v>
      </c>
      <c r="AA154" s="68">
        <v>0</v>
      </c>
      <c r="AB154" s="69">
        <v>0</v>
      </c>
      <c r="AC154" s="69">
        <v>0</v>
      </c>
      <c r="AD154" s="70">
        <f>IFERROR(tblTarget[[#This Row],[Cluster Target]]/tblTarget[[#This Row],[Cluster PiN]],0)</f>
        <v>1.001028453890984E-2</v>
      </c>
      <c r="AE154" s="79">
        <f>_xlfn.XLOOKUP(tblTarget[[#This Row],[ID]],tblResponse[ID],tblResponse[2024 Projected reached (Dec 2024)])</f>
        <v>0</v>
      </c>
      <c r="AF154" s="79">
        <f>_xlfn.XLOOKUP(tblTarget[[#This Row],[ID]],tblResponse[ID],tblResponse[2024 Intercluster reached -August RPM])</f>
        <v>52472.937477188119</v>
      </c>
      <c r="AG154" s="79">
        <v>2</v>
      </c>
      <c r="AH154" s="79"/>
      <c r="AI154" s="79"/>
      <c r="AJ154" s="70" t="str">
        <f>IF(tblTarget[[#This Row],[Target to PiN (%)]]&gt;Targ_vs_PiN,"Flagged","")</f>
        <v/>
      </c>
      <c r="AK154" s="69" t="str">
        <f>IF(AND(tblTarget[[#This Row],[Qualifies for exception]]="Flagged",tblTarget[[#This Row],[Target to PiN (%)]]&gt;Targ_severity5),"Flagged","")</f>
        <v/>
      </c>
      <c r="AL154" s="68" t="str">
        <f>IFERROR(IF(AND(tblTarget[[#This Row],[Intercluser Severity]]=4,tblTarget[[#This Row],[Qualifies for exception]]="Flagged",(tblTarget[[#This Row],[Cluster Target]]-tblTarget[[#This Row],[2024 Response capacity up to December]])/tblTarget[[#This Row],[Cluster Target]]&gt;Diff_severity4),"Flagged",""),"No target")</f>
        <v>Flagged</v>
      </c>
      <c r="AM154" s="68" t="str">
        <f>IFERROR(IF(AND(tblTarget[[#This Row],[Intercluser Severity]]=3,tblTarget[[#This Row],[Qualifies for exception]]="Flagged",(tblTarget[[#This Row],[Cluster Target]]-tblTarget[[#This Row],[2024 Response capacity up to December]])/tblTarget[[#This Row],[Cluster Target]]&gt;Diff_severity3),"Flagged",""),"No target")</f>
        <v/>
      </c>
      <c r="AN154" s="81" t="s">
        <v>1099</v>
      </c>
      <c r="AO154" s="81"/>
      <c r="AP154" s="81" t="s">
        <v>1099</v>
      </c>
      <c r="AQ154" s="81" t="s">
        <v>1107</v>
      </c>
    </row>
    <row r="155" spans="1:43" ht="15.95" customHeight="1" x14ac:dyDescent="0.2">
      <c r="A155" s="62" t="s">
        <v>592</v>
      </c>
      <c r="B155" s="63" t="s">
        <v>341</v>
      </c>
      <c r="C155" s="64" t="s">
        <v>342</v>
      </c>
      <c r="D155" s="63" t="s">
        <v>348</v>
      </c>
      <c r="E155" s="64" t="s">
        <v>349</v>
      </c>
      <c r="F155" s="65">
        <v>68132</v>
      </c>
      <c r="G155" s="66" t="s">
        <v>30</v>
      </c>
      <c r="H155" s="67">
        <v>6204</v>
      </c>
      <c r="I155" s="68">
        <v>3</v>
      </c>
      <c r="J155" s="68">
        <v>3</v>
      </c>
      <c r="K155" s="91">
        <v>59.400000000000006</v>
      </c>
      <c r="L155" s="91">
        <v>30.943282298485393</v>
      </c>
      <c r="M155" s="91">
        <v>28.456717701514616</v>
      </c>
      <c r="N155" s="91">
        <v>29.700000000000003</v>
      </c>
      <c r="O155" s="91">
        <v>26.136000000000003</v>
      </c>
      <c r="P155" s="91">
        <v>3.5640000000000001</v>
      </c>
      <c r="Q155" s="85">
        <v>8.91</v>
      </c>
      <c r="R155" s="69" t="s">
        <v>15</v>
      </c>
      <c r="S155" s="86">
        <v>9</v>
      </c>
      <c r="T155" s="69">
        <v>2</v>
      </c>
      <c r="U155" s="68">
        <v>0</v>
      </c>
      <c r="V155" s="68">
        <v>0</v>
      </c>
      <c r="W155" s="68">
        <v>1</v>
      </c>
      <c r="X155" s="68">
        <v>1</v>
      </c>
      <c r="Y155" s="68">
        <v>4</v>
      </c>
      <c r="Z155" s="68">
        <v>1</v>
      </c>
      <c r="AA155" s="68">
        <v>0</v>
      </c>
      <c r="AB155" s="69">
        <v>0</v>
      </c>
      <c r="AC155" s="69">
        <v>0</v>
      </c>
      <c r="AD155" s="70">
        <f>IFERROR(tblTarget[[#This Row],[Cluster Target]]/tblTarget[[#This Row],[Cluster PiN]],0)</f>
        <v>9.5744680851063847E-3</v>
      </c>
      <c r="AE155" s="79">
        <f>_xlfn.XLOOKUP(tblTarget[[#This Row],[ID]],tblResponse[ID],tblResponse[2024 Projected reached (Dec 2024)])</f>
        <v>0</v>
      </c>
      <c r="AF155" s="79">
        <f>_xlfn.XLOOKUP(tblTarget[[#This Row],[ID]],tblResponse[ID],tblResponse[2024 Intercluster reached -August RPM])</f>
        <v>52472.937477188119</v>
      </c>
      <c r="AG155" s="79">
        <v>2</v>
      </c>
      <c r="AH155" s="79"/>
      <c r="AI155" s="79"/>
      <c r="AJ155" s="70" t="str">
        <f>IF(tblTarget[[#This Row],[Target to PiN (%)]]&gt;Targ_vs_PiN,"Flagged","")</f>
        <v/>
      </c>
      <c r="AK155" s="69" t="str">
        <f>IF(AND(tblTarget[[#This Row],[Qualifies for exception]]="Flagged",tblTarget[[#This Row],[Target to PiN (%)]]&gt;Targ_severity5),"Flagged","")</f>
        <v/>
      </c>
      <c r="AL155" s="68" t="str">
        <f>IFERROR(IF(AND(tblTarget[[#This Row],[Intercluser Severity]]=4,tblTarget[[#This Row],[Qualifies for exception]]="Flagged",(tblTarget[[#This Row],[Cluster Target]]-tblTarget[[#This Row],[2024 Response capacity up to December]])/tblTarget[[#This Row],[Cluster Target]]&gt;Diff_severity4),"Flagged",""),"No target")</f>
        <v/>
      </c>
      <c r="AM155" s="68" t="str">
        <f>IFERROR(IF(AND(tblTarget[[#This Row],[Intercluser Severity]]=3,tblTarget[[#This Row],[Qualifies for exception]]="Flagged",(tblTarget[[#This Row],[Cluster Target]]-tblTarget[[#This Row],[2024 Response capacity up to December]])/tblTarget[[#This Row],[Cluster Target]]&gt;Diff_severity3),"Flagged",""),"No target")</f>
        <v>Flagged</v>
      </c>
      <c r="AN155" s="81" t="s">
        <v>1099</v>
      </c>
      <c r="AO155" s="81"/>
      <c r="AP155" s="81" t="s">
        <v>1099</v>
      </c>
      <c r="AQ155" s="81" t="s">
        <v>1107</v>
      </c>
    </row>
    <row r="156" spans="1:43" ht="15.95" hidden="1" customHeight="1" x14ac:dyDescent="0.2">
      <c r="A156" s="62" t="s">
        <v>593</v>
      </c>
      <c r="B156" s="63" t="s">
        <v>341</v>
      </c>
      <c r="C156" s="64" t="s">
        <v>342</v>
      </c>
      <c r="D156" s="63" t="s">
        <v>350</v>
      </c>
      <c r="E156" s="64" t="s">
        <v>351</v>
      </c>
      <c r="F156" s="65">
        <v>102333</v>
      </c>
      <c r="G156" s="66" t="s">
        <v>30</v>
      </c>
      <c r="H156" s="67">
        <v>9319</v>
      </c>
      <c r="I156" s="68">
        <v>3</v>
      </c>
      <c r="J156" s="68">
        <v>3</v>
      </c>
      <c r="K156" s="91">
        <v>69.400000000000006</v>
      </c>
      <c r="L156" s="91">
        <v>36.650748377919925</v>
      </c>
      <c r="M156" s="91">
        <v>32.749251622080088</v>
      </c>
      <c r="N156" s="91">
        <v>34.700000000000003</v>
      </c>
      <c r="O156" s="91">
        <v>30.536000000000001</v>
      </c>
      <c r="P156" s="91">
        <v>4.1640000000000006</v>
      </c>
      <c r="Q156" s="85">
        <v>10.41</v>
      </c>
      <c r="R156" s="69" t="s">
        <v>1107</v>
      </c>
      <c r="S156" s="86">
        <v>10</v>
      </c>
      <c r="T156" s="69">
        <v>2</v>
      </c>
      <c r="U156" s="68">
        <v>0</v>
      </c>
      <c r="V156" s="68">
        <v>0</v>
      </c>
      <c r="W156" s="68">
        <v>1</v>
      </c>
      <c r="X156" s="68">
        <v>1</v>
      </c>
      <c r="Y156" s="68">
        <v>4</v>
      </c>
      <c r="Z156" s="68">
        <v>1</v>
      </c>
      <c r="AA156" s="68">
        <v>0</v>
      </c>
      <c r="AB156" s="69">
        <v>0</v>
      </c>
      <c r="AC156" s="69">
        <v>0</v>
      </c>
      <c r="AD156" s="70">
        <f>IFERROR(tblTarget[[#This Row],[Cluster Target]]/tblTarget[[#This Row],[Cluster PiN]],0)</f>
        <v>7.4471509818650073E-3</v>
      </c>
      <c r="AE156" s="79">
        <f>_xlfn.XLOOKUP(tblTarget[[#This Row],[ID]],tblResponse[ID],tblResponse[2024 Projected reached (Dec 2024)])</f>
        <v>0</v>
      </c>
      <c r="AF156" s="79">
        <f>_xlfn.XLOOKUP(tblTarget[[#This Row],[ID]],tblResponse[ID],tblResponse[2024 Intercluster reached -August RPM])</f>
        <v>22623.532083498067</v>
      </c>
      <c r="AG156" s="79">
        <v>3</v>
      </c>
      <c r="AH156" s="79"/>
      <c r="AI156" s="79"/>
      <c r="AJ156" s="70" t="str">
        <f>IF(tblTarget[[#This Row],[Target to PiN (%)]]&gt;Targ_vs_PiN,"Flagged","")</f>
        <v/>
      </c>
      <c r="AK156" s="69" t="str">
        <f>IF(AND(tblTarget[[#This Row],[Qualifies for exception]]="Flagged",tblTarget[[#This Row],[Target to PiN (%)]]&gt;Targ_severity5),"Flagged","")</f>
        <v/>
      </c>
      <c r="AL156" s="68" t="str">
        <f>IFERROR(IF(AND(tblTarget[[#This Row],[Intercluser Severity]]=4,tblTarget[[#This Row],[Qualifies for exception]]="Flagged",(tblTarget[[#This Row],[Cluster Target]]-tblTarget[[#This Row],[2024 Response capacity up to December]])/tblTarget[[#This Row],[Cluster Target]]&gt;Diff_severity4),"Flagged",""),"No target")</f>
        <v/>
      </c>
      <c r="AM156" s="68" t="str">
        <f>IFERROR(IF(AND(tblTarget[[#This Row],[Intercluser Severity]]=3,tblTarget[[#This Row],[Qualifies for exception]]="Flagged",(tblTarget[[#This Row],[Cluster Target]]-tblTarget[[#This Row],[2024 Response capacity up to December]])/tblTarget[[#This Row],[Cluster Target]]&gt;Diff_severity3),"Flagged",""),"No target")</f>
        <v>Flagged</v>
      </c>
      <c r="AN156" s="81" t="s">
        <v>1099</v>
      </c>
      <c r="AO156" s="81"/>
      <c r="AP156" s="81" t="s">
        <v>1099</v>
      </c>
      <c r="AQ156" s="81" t="s">
        <v>1107</v>
      </c>
    </row>
    <row r="157" spans="1:43" ht="15.95" customHeight="1" x14ac:dyDescent="0.2">
      <c r="A157" s="62" t="s">
        <v>594</v>
      </c>
      <c r="B157" s="63" t="s">
        <v>341</v>
      </c>
      <c r="C157" s="64" t="s">
        <v>342</v>
      </c>
      <c r="D157" s="63" t="s">
        <v>352</v>
      </c>
      <c r="E157" s="64" t="s">
        <v>353</v>
      </c>
      <c r="F157" s="65">
        <v>56261</v>
      </c>
      <c r="G157" s="66" t="s">
        <v>30</v>
      </c>
      <c r="H157" s="67">
        <v>5123</v>
      </c>
      <c r="I157" s="68">
        <v>3</v>
      </c>
      <c r="J157" s="68">
        <v>3</v>
      </c>
      <c r="K157" s="91">
        <v>0</v>
      </c>
      <c r="L157" s="91">
        <v>0</v>
      </c>
      <c r="M157" s="91">
        <v>0</v>
      </c>
      <c r="N157" s="91">
        <v>0</v>
      </c>
      <c r="O157" s="91">
        <v>0</v>
      </c>
      <c r="P157" s="91">
        <v>0</v>
      </c>
      <c r="Q157" s="85">
        <v>0</v>
      </c>
      <c r="R157" s="69" t="s">
        <v>15</v>
      </c>
      <c r="S157" s="86">
        <v>0</v>
      </c>
      <c r="T157" s="69">
        <v>0</v>
      </c>
      <c r="U157" s="68">
        <v>0</v>
      </c>
      <c r="V157" s="68">
        <v>0</v>
      </c>
      <c r="W157" s="68">
        <v>0</v>
      </c>
      <c r="X157" s="68">
        <v>0</v>
      </c>
      <c r="Y157" s="68">
        <v>0</v>
      </c>
      <c r="Z157" s="68">
        <v>0</v>
      </c>
      <c r="AA157" s="68">
        <v>0</v>
      </c>
      <c r="AB157" s="69">
        <v>0</v>
      </c>
      <c r="AC157" s="69">
        <v>0</v>
      </c>
      <c r="AD157" s="70">
        <f>IFERROR(tblTarget[[#This Row],[Cluster Target]]/tblTarget[[#This Row],[Cluster PiN]],0)</f>
        <v>0</v>
      </c>
      <c r="AE157" s="79">
        <f>_xlfn.XLOOKUP(tblTarget[[#This Row],[ID]],tblResponse[ID],tblResponse[2024 Projected reached (Dec 2024)])</f>
        <v>0</v>
      </c>
      <c r="AF157" s="79">
        <f>_xlfn.XLOOKUP(tblTarget[[#This Row],[ID]],tblResponse[ID],tblResponse[2024 Intercluster reached -August RPM])</f>
        <v>140051.66940494781</v>
      </c>
      <c r="AG157" s="79">
        <v>1</v>
      </c>
      <c r="AH157" s="79"/>
      <c r="AI157" s="79"/>
      <c r="AJ157" s="70" t="str">
        <f>IF(tblTarget[[#This Row],[Target to PiN (%)]]&gt;Targ_vs_PiN,"Flagged","")</f>
        <v/>
      </c>
      <c r="AK157" s="69" t="str">
        <f>IF(AND(tblTarget[[#This Row],[Qualifies for exception]]="Flagged",tblTarget[[#This Row],[Target to PiN (%)]]&gt;Targ_severity5),"Flagged","")</f>
        <v/>
      </c>
      <c r="AL157" s="68" t="str">
        <f>IFERROR(IF(AND(tblTarget[[#This Row],[Intercluser Severity]]=4,tblTarget[[#This Row],[Qualifies for exception]]="Flagged",(tblTarget[[#This Row],[Cluster Target]]-tblTarget[[#This Row],[2024 Response capacity up to December]])/tblTarget[[#This Row],[Cluster Target]]&gt;Diff_severity4),"Flagged",""),"No target")</f>
        <v>No target</v>
      </c>
      <c r="AM157" s="68" t="str">
        <f>IFERROR(IF(AND(tblTarget[[#This Row],[Intercluser Severity]]=3,tblTarget[[#This Row],[Qualifies for exception]]="Flagged",(tblTarget[[#This Row],[Cluster Target]]-tblTarget[[#This Row],[2024 Response capacity up to December]])/tblTarget[[#This Row],[Cluster Target]]&gt;Diff_severity3),"Flagged",""),"No target")</f>
        <v>No target</v>
      </c>
      <c r="AN157" s="81" t="s">
        <v>1099</v>
      </c>
      <c r="AO157" s="81"/>
      <c r="AP157" s="81" t="s">
        <v>1099</v>
      </c>
      <c r="AQ157" s="81" t="s">
        <v>1107</v>
      </c>
    </row>
    <row r="158" spans="1:43" ht="15.95" hidden="1" customHeight="1" x14ac:dyDescent="0.2">
      <c r="A158" s="62" t="s">
        <v>595</v>
      </c>
      <c r="B158" s="63" t="s">
        <v>341</v>
      </c>
      <c r="C158" s="64" t="s">
        <v>342</v>
      </c>
      <c r="D158" s="63" t="s">
        <v>354</v>
      </c>
      <c r="E158" s="64" t="s">
        <v>355</v>
      </c>
      <c r="F158" s="65">
        <v>76117</v>
      </c>
      <c r="G158" s="66" t="s">
        <v>30</v>
      </c>
      <c r="H158" s="67">
        <v>6932</v>
      </c>
      <c r="I158" s="68">
        <v>3</v>
      </c>
      <c r="J158" s="68">
        <v>3</v>
      </c>
      <c r="K158" s="91">
        <v>69.400000000000006</v>
      </c>
      <c r="L158" s="91">
        <v>35.795222734882209</v>
      </c>
      <c r="M158" s="91">
        <v>33.604777265117804</v>
      </c>
      <c r="N158" s="91">
        <v>34.700000000000003</v>
      </c>
      <c r="O158" s="91">
        <v>30.536000000000001</v>
      </c>
      <c r="P158" s="91">
        <v>4.1640000000000006</v>
      </c>
      <c r="Q158" s="85">
        <v>10.41</v>
      </c>
      <c r="R158" s="69" t="s">
        <v>1107</v>
      </c>
      <c r="S158" s="86">
        <v>10</v>
      </c>
      <c r="T158" s="69">
        <v>2</v>
      </c>
      <c r="U158" s="68">
        <v>0</v>
      </c>
      <c r="V158" s="68">
        <v>0</v>
      </c>
      <c r="W158" s="68">
        <v>1</v>
      </c>
      <c r="X158" s="68">
        <v>1</v>
      </c>
      <c r="Y158" s="68">
        <v>4</v>
      </c>
      <c r="Z158" s="68">
        <v>1</v>
      </c>
      <c r="AA158" s="68">
        <v>0</v>
      </c>
      <c r="AB158" s="69">
        <v>0</v>
      </c>
      <c r="AC158" s="69">
        <v>0</v>
      </c>
      <c r="AD158" s="70">
        <f>IFERROR(tblTarget[[#This Row],[Cluster Target]]/tblTarget[[#This Row],[Cluster PiN]],0)</f>
        <v>1.0011540680900174E-2</v>
      </c>
      <c r="AE158" s="79">
        <f>_xlfn.XLOOKUP(tblTarget[[#This Row],[ID]],tblResponse[ID],tblResponse[2024 Projected reached (Dec 2024)])</f>
        <v>0</v>
      </c>
      <c r="AF158" s="79">
        <f>_xlfn.XLOOKUP(tblTarget[[#This Row],[ID]],tblResponse[ID],tblResponse[2024 Intercluster reached -August RPM])</f>
        <v>23577.839906416528</v>
      </c>
      <c r="AG158" s="79">
        <v>3</v>
      </c>
      <c r="AH158" s="79"/>
      <c r="AI158" s="79"/>
      <c r="AJ158" s="70" t="str">
        <f>IF(tblTarget[[#This Row],[Target to PiN (%)]]&gt;Targ_vs_PiN,"Flagged","")</f>
        <v/>
      </c>
      <c r="AK158" s="69" t="str">
        <f>IF(AND(tblTarget[[#This Row],[Qualifies for exception]]="Flagged",tblTarget[[#This Row],[Target to PiN (%)]]&gt;Targ_severity5),"Flagged","")</f>
        <v/>
      </c>
      <c r="AL158" s="68" t="str">
        <f>IFERROR(IF(AND(tblTarget[[#This Row],[Intercluser Severity]]=4,tblTarget[[#This Row],[Qualifies for exception]]="Flagged",(tblTarget[[#This Row],[Cluster Target]]-tblTarget[[#This Row],[2024 Response capacity up to December]])/tblTarget[[#This Row],[Cluster Target]]&gt;Diff_severity4),"Flagged",""),"No target")</f>
        <v/>
      </c>
      <c r="AM158" s="68" t="str">
        <f>IFERROR(IF(AND(tblTarget[[#This Row],[Intercluser Severity]]=3,tblTarget[[#This Row],[Qualifies for exception]]="Flagged",(tblTarget[[#This Row],[Cluster Target]]-tblTarget[[#This Row],[2024 Response capacity up to December]])/tblTarget[[#This Row],[Cluster Target]]&gt;Diff_severity3),"Flagged",""),"No target")</f>
        <v>Flagged</v>
      </c>
      <c r="AN158" s="81" t="s">
        <v>1099</v>
      </c>
      <c r="AO158" s="81"/>
      <c r="AP158" s="81" t="s">
        <v>1099</v>
      </c>
      <c r="AQ158" s="81" t="s">
        <v>1107</v>
      </c>
    </row>
    <row r="159" spans="1:43" ht="15.95" customHeight="1" x14ac:dyDescent="0.2">
      <c r="A159" s="62" t="s">
        <v>596</v>
      </c>
      <c r="B159" s="63" t="s">
        <v>356</v>
      </c>
      <c r="C159" s="64" t="s">
        <v>357</v>
      </c>
      <c r="D159" s="63" t="s">
        <v>358</v>
      </c>
      <c r="E159" s="64" t="s">
        <v>359</v>
      </c>
      <c r="F159" s="65">
        <v>22270</v>
      </c>
      <c r="G159" s="66" t="s">
        <v>30</v>
      </c>
      <c r="H159" s="67">
        <v>6084</v>
      </c>
      <c r="I159" s="68">
        <v>4</v>
      </c>
      <c r="J159" s="68">
        <v>4</v>
      </c>
      <c r="K159" s="91">
        <v>109.4</v>
      </c>
      <c r="L159" s="91">
        <v>55.445755404633154</v>
      </c>
      <c r="M159" s="91">
        <v>53.954244595366845</v>
      </c>
      <c r="N159" s="91">
        <v>54.7</v>
      </c>
      <c r="O159" s="91">
        <v>48.136000000000003</v>
      </c>
      <c r="P159" s="91">
        <v>6.5640000000000001</v>
      </c>
      <c r="Q159" s="85">
        <v>16.41</v>
      </c>
      <c r="R159" s="69" t="s">
        <v>15</v>
      </c>
      <c r="S159" s="86">
        <v>16</v>
      </c>
      <c r="T159" s="69">
        <v>4</v>
      </c>
      <c r="U159" s="68">
        <v>0</v>
      </c>
      <c r="V159" s="68">
        <v>0</v>
      </c>
      <c r="W159" s="68">
        <v>1</v>
      </c>
      <c r="X159" s="68">
        <v>2</v>
      </c>
      <c r="Y159" s="68">
        <v>7</v>
      </c>
      <c r="Z159" s="68">
        <v>1</v>
      </c>
      <c r="AA159" s="68">
        <v>0</v>
      </c>
      <c r="AB159" s="69">
        <v>0</v>
      </c>
      <c r="AC159" s="69">
        <v>0</v>
      </c>
      <c r="AD159" s="70">
        <f>IFERROR(tblTarget[[#This Row],[Cluster Target]]/tblTarget[[#This Row],[Cluster PiN]],0)</f>
        <v>1.7981591058514136E-2</v>
      </c>
      <c r="AE159" s="79">
        <f>_xlfn.XLOOKUP(tblTarget[[#This Row],[ID]],tblResponse[ID],tblResponse[2024 Projected reached (Dec 2024)])</f>
        <v>0</v>
      </c>
      <c r="AF159" s="79">
        <f>_xlfn.XLOOKUP(tblTarget[[#This Row],[ID]],tblResponse[ID],tblResponse[2024 Intercluster reached -August RPM])</f>
        <v>1698.0242567618075</v>
      </c>
      <c r="AG159" s="79">
        <v>1</v>
      </c>
      <c r="AH159" s="79"/>
      <c r="AI159" s="79"/>
      <c r="AJ159" s="70" t="str">
        <f>IF(tblTarget[[#This Row],[Target to PiN (%)]]&gt;Targ_vs_PiN,"Flagged","")</f>
        <v/>
      </c>
      <c r="AK159" s="69" t="str">
        <f>IF(AND(tblTarget[[#This Row],[Qualifies for exception]]="Flagged",tblTarget[[#This Row],[Target to PiN (%)]]&gt;Targ_severity5),"Flagged","")</f>
        <v/>
      </c>
      <c r="AL159" s="68" t="str">
        <f>IFERROR(IF(AND(tblTarget[[#This Row],[Intercluser Severity]]=4,tblTarget[[#This Row],[Qualifies for exception]]="Flagged",(tblTarget[[#This Row],[Cluster Target]]-tblTarget[[#This Row],[2024 Response capacity up to December]])/tblTarget[[#This Row],[Cluster Target]]&gt;Diff_severity4),"Flagged",""),"No target")</f>
        <v/>
      </c>
      <c r="AM159" s="68" t="str">
        <f>IFERROR(IF(AND(tblTarget[[#This Row],[Intercluser Severity]]=3,tblTarget[[#This Row],[Qualifies for exception]]="Flagged",(tblTarget[[#This Row],[Cluster Target]]-tblTarget[[#This Row],[2024 Response capacity up to December]])/tblTarget[[#This Row],[Cluster Target]]&gt;Diff_severity3),"Flagged",""),"No target")</f>
        <v/>
      </c>
      <c r="AN159" s="81" t="s">
        <v>15</v>
      </c>
      <c r="AO159" s="81"/>
      <c r="AP159" s="81" t="s">
        <v>1099</v>
      </c>
      <c r="AQ159" s="81" t="s">
        <v>1098</v>
      </c>
    </row>
    <row r="160" spans="1:43" ht="15.95" hidden="1" customHeight="1" x14ac:dyDescent="0.2">
      <c r="A160" s="62" t="s">
        <v>597</v>
      </c>
      <c r="B160" s="63" t="s">
        <v>356</v>
      </c>
      <c r="C160" s="64" t="s">
        <v>357</v>
      </c>
      <c r="D160" s="63" t="s">
        <v>360</v>
      </c>
      <c r="E160" s="64" t="s">
        <v>361</v>
      </c>
      <c r="F160" s="65">
        <v>23698</v>
      </c>
      <c r="G160" s="66" t="s">
        <v>30</v>
      </c>
      <c r="H160" s="67">
        <v>5396</v>
      </c>
      <c r="I160" s="68">
        <v>4</v>
      </c>
      <c r="J160" s="68">
        <v>4</v>
      </c>
      <c r="K160" s="91">
        <v>116.2</v>
      </c>
      <c r="L160" s="91">
        <v>60.434136092288234</v>
      </c>
      <c r="M160" s="91">
        <v>55.765863907711768</v>
      </c>
      <c r="N160" s="91">
        <v>58.1</v>
      </c>
      <c r="O160" s="91">
        <v>51.128</v>
      </c>
      <c r="P160" s="91">
        <v>6.9719999999999995</v>
      </c>
      <c r="Q160" s="85">
        <v>17.43</v>
      </c>
      <c r="R160" s="69" t="s">
        <v>1107</v>
      </c>
      <c r="S160" s="86">
        <v>17</v>
      </c>
      <c r="T160" s="69">
        <v>4</v>
      </c>
      <c r="U160" s="68">
        <v>0</v>
      </c>
      <c r="V160" s="68">
        <v>0</v>
      </c>
      <c r="W160" s="68">
        <v>1</v>
      </c>
      <c r="X160" s="68">
        <v>2</v>
      </c>
      <c r="Y160" s="68">
        <v>7</v>
      </c>
      <c r="Z160" s="68">
        <v>1</v>
      </c>
      <c r="AA160" s="68">
        <v>0</v>
      </c>
      <c r="AB160" s="69">
        <v>0</v>
      </c>
      <c r="AC160" s="69">
        <v>0</v>
      </c>
      <c r="AD160" s="70">
        <f>IFERROR(tblTarget[[#This Row],[Cluster Target]]/tblTarget[[#This Row],[Cluster PiN]],0)</f>
        <v>2.1534469977761306E-2</v>
      </c>
      <c r="AE160" s="79">
        <f>_xlfn.XLOOKUP(tblTarget[[#This Row],[ID]],tblResponse[ID],tblResponse[2024 Projected reached (Dec 2024)])</f>
        <v>0</v>
      </c>
      <c r="AF160" s="79">
        <f>_xlfn.XLOOKUP(tblTarget[[#This Row],[ID]],tblResponse[ID],tblResponse[2024 Intercluster reached -August RPM])</f>
        <v>7734.5109841375288</v>
      </c>
      <c r="AG160" s="79">
        <v>1</v>
      </c>
      <c r="AH160" s="79"/>
      <c r="AI160" s="79"/>
      <c r="AJ160" s="70" t="str">
        <f>IF(tblTarget[[#This Row],[Target to PiN (%)]]&gt;Targ_vs_PiN,"Flagged","")</f>
        <v/>
      </c>
      <c r="AK160" s="69" t="str">
        <f>IF(AND(tblTarget[[#This Row],[Qualifies for exception]]="Flagged",tblTarget[[#This Row],[Target to PiN (%)]]&gt;Targ_severity5),"Flagged","")</f>
        <v/>
      </c>
      <c r="AL160" s="68" t="str">
        <f>IFERROR(IF(AND(tblTarget[[#This Row],[Intercluser Severity]]=4,tblTarget[[#This Row],[Qualifies for exception]]="Flagged",(tblTarget[[#This Row],[Cluster Target]]-tblTarget[[#This Row],[2024 Response capacity up to December]])/tblTarget[[#This Row],[Cluster Target]]&gt;Diff_severity4),"Flagged",""),"No target")</f>
        <v>Flagged</v>
      </c>
      <c r="AM160" s="68" t="str">
        <f>IFERROR(IF(AND(tblTarget[[#This Row],[Intercluser Severity]]=3,tblTarget[[#This Row],[Qualifies for exception]]="Flagged",(tblTarget[[#This Row],[Cluster Target]]-tblTarget[[#This Row],[2024 Response capacity up to December]])/tblTarget[[#This Row],[Cluster Target]]&gt;Diff_severity3),"Flagged",""),"No target")</f>
        <v/>
      </c>
      <c r="AN160" s="81" t="s">
        <v>1099</v>
      </c>
      <c r="AO160" s="81"/>
      <c r="AP160" s="81" t="s">
        <v>1099</v>
      </c>
      <c r="AQ160" s="81" t="s">
        <v>1107</v>
      </c>
    </row>
    <row r="161" spans="1:43" ht="15.95" hidden="1" customHeight="1" x14ac:dyDescent="0.2">
      <c r="A161" s="62" t="s">
        <v>598</v>
      </c>
      <c r="B161" s="63" t="s">
        <v>356</v>
      </c>
      <c r="C161" s="64" t="s">
        <v>357</v>
      </c>
      <c r="D161" s="63" t="s">
        <v>362</v>
      </c>
      <c r="E161" s="64" t="s">
        <v>363</v>
      </c>
      <c r="F161" s="65">
        <v>35143</v>
      </c>
      <c r="G161" s="66" t="s">
        <v>30</v>
      </c>
      <c r="H161" s="67">
        <v>8001</v>
      </c>
      <c r="I161" s="68">
        <v>4</v>
      </c>
      <c r="J161" s="68">
        <v>4</v>
      </c>
      <c r="K161" s="91">
        <v>154.60000000000002</v>
      </c>
      <c r="L161" s="91">
        <v>80.519305729567918</v>
      </c>
      <c r="M161" s="91">
        <v>74.080694270432105</v>
      </c>
      <c r="N161" s="91">
        <v>77.300000000000011</v>
      </c>
      <c r="O161" s="91">
        <v>68.024000000000015</v>
      </c>
      <c r="P161" s="91">
        <v>9.2760000000000016</v>
      </c>
      <c r="Q161" s="85">
        <v>23.19</v>
      </c>
      <c r="R161" s="69" t="s">
        <v>1107</v>
      </c>
      <c r="S161" s="86">
        <v>22</v>
      </c>
      <c r="T161" s="69">
        <v>6</v>
      </c>
      <c r="U161" s="68">
        <v>0</v>
      </c>
      <c r="V161" s="68">
        <v>0</v>
      </c>
      <c r="W161" s="68">
        <v>2</v>
      </c>
      <c r="X161" s="68">
        <v>3</v>
      </c>
      <c r="Y161" s="68">
        <v>9</v>
      </c>
      <c r="Z161" s="68">
        <v>2</v>
      </c>
      <c r="AA161" s="68">
        <v>0</v>
      </c>
      <c r="AB161" s="69">
        <v>0</v>
      </c>
      <c r="AC161" s="69">
        <v>0</v>
      </c>
      <c r="AD161" s="70">
        <f>IFERROR(tblTarget[[#This Row],[Cluster Target]]/tblTarget[[#This Row],[Cluster PiN]],0)</f>
        <v>1.9322584676915389E-2</v>
      </c>
      <c r="AE161" s="79">
        <f>_xlfn.XLOOKUP(tblTarget[[#This Row],[ID]],tblResponse[ID],tblResponse[2024 Projected reached (Dec 2024)])</f>
        <v>0</v>
      </c>
      <c r="AF161" s="79">
        <f>_xlfn.XLOOKUP(tblTarget[[#This Row],[ID]],tblResponse[ID],tblResponse[2024 Intercluster reached -August RPM])</f>
        <v>2704.8050171574569</v>
      </c>
      <c r="AG161" s="79">
        <v>1</v>
      </c>
      <c r="AH161" s="79"/>
      <c r="AI161" s="79"/>
      <c r="AJ161" s="70" t="str">
        <f>IF(tblTarget[[#This Row],[Target to PiN (%)]]&gt;Targ_vs_PiN,"Flagged","")</f>
        <v/>
      </c>
      <c r="AK161" s="69" t="str">
        <f>IF(AND(tblTarget[[#This Row],[Qualifies for exception]]="Flagged",tblTarget[[#This Row],[Target to PiN (%)]]&gt;Targ_severity5),"Flagged","")</f>
        <v/>
      </c>
      <c r="AL161" s="68" t="str">
        <f>IFERROR(IF(AND(tblTarget[[#This Row],[Intercluser Severity]]=4,tblTarget[[#This Row],[Qualifies for exception]]="Flagged",(tblTarget[[#This Row],[Cluster Target]]-tblTarget[[#This Row],[2024 Response capacity up to December]])/tblTarget[[#This Row],[Cluster Target]]&gt;Diff_severity4),"Flagged",""),"No target")</f>
        <v>Flagged</v>
      </c>
      <c r="AM161" s="68" t="str">
        <f>IFERROR(IF(AND(tblTarget[[#This Row],[Intercluser Severity]]=3,tblTarget[[#This Row],[Qualifies for exception]]="Flagged",(tblTarget[[#This Row],[Cluster Target]]-tblTarget[[#This Row],[2024 Response capacity up to December]])/tblTarget[[#This Row],[Cluster Target]]&gt;Diff_severity3),"Flagged",""),"No target")</f>
        <v/>
      </c>
      <c r="AN161" s="81" t="s">
        <v>1099</v>
      </c>
      <c r="AO161" s="81"/>
      <c r="AP161" s="81" t="s">
        <v>1099</v>
      </c>
      <c r="AQ161" s="81" t="s">
        <v>1107</v>
      </c>
    </row>
    <row r="162" spans="1:43" ht="15.95" hidden="1" customHeight="1" x14ac:dyDescent="0.2">
      <c r="A162" s="62" t="s">
        <v>599</v>
      </c>
      <c r="B162" s="63" t="s">
        <v>356</v>
      </c>
      <c r="C162" s="64" t="s">
        <v>357</v>
      </c>
      <c r="D162" s="63" t="s">
        <v>364</v>
      </c>
      <c r="E162" s="64" t="s">
        <v>365</v>
      </c>
      <c r="F162" s="65">
        <v>31901</v>
      </c>
      <c r="G162" s="66" t="s">
        <v>30</v>
      </c>
      <c r="H162" s="67">
        <v>7262</v>
      </c>
      <c r="I162" s="68">
        <v>4</v>
      </c>
      <c r="J162" s="68">
        <v>4</v>
      </c>
      <c r="K162" s="91">
        <v>149.20000000000002</v>
      </c>
      <c r="L162" s="91">
        <v>78.206652354699926</v>
      </c>
      <c r="M162" s="91">
        <v>70.993347645300091</v>
      </c>
      <c r="N162" s="91">
        <v>74.600000000000009</v>
      </c>
      <c r="O162" s="91">
        <v>65.64800000000001</v>
      </c>
      <c r="P162" s="91">
        <v>8.952</v>
      </c>
      <c r="Q162" s="85">
        <v>22.380000000000003</v>
      </c>
      <c r="R162" s="69" t="s">
        <v>1107</v>
      </c>
      <c r="S162" s="86">
        <v>21</v>
      </c>
      <c r="T162" s="69">
        <v>5</v>
      </c>
      <c r="U162" s="68">
        <v>0</v>
      </c>
      <c r="V162" s="68">
        <v>0</v>
      </c>
      <c r="W162" s="68">
        <v>1</v>
      </c>
      <c r="X162" s="68">
        <v>3</v>
      </c>
      <c r="Y162" s="68">
        <v>9</v>
      </c>
      <c r="Z162" s="68">
        <v>1</v>
      </c>
      <c r="AA162" s="68">
        <v>0</v>
      </c>
      <c r="AB162" s="69">
        <v>0</v>
      </c>
      <c r="AC162" s="69">
        <v>0</v>
      </c>
      <c r="AD162" s="70">
        <f>IFERROR(tblTarget[[#This Row],[Cluster Target]]/tblTarget[[#This Row],[Cluster PiN]],0)</f>
        <v>2.0545304323877724E-2</v>
      </c>
      <c r="AE162" s="79">
        <f>_xlfn.XLOOKUP(tblTarget[[#This Row],[ID]],tblResponse[ID],tblResponse[2024 Projected reached (Dec 2024)])</f>
        <v>0</v>
      </c>
      <c r="AF162" s="79">
        <f>_xlfn.XLOOKUP(tblTarget[[#This Row],[ID]],tblResponse[ID],tblResponse[2024 Intercluster reached -August RPM])</f>
        <v>11411.114803372509</v>
      </c>
      <c r="AG162" s="79">
        <v>1</v>
      </c>
      <c r="AH162" s="79"/>
      <c r="AI162" s="79"/>
      <c r="AJ162" s="70" t="str">
        <f>IF(tblTarget[[#This Row],[Target to PiN (%)]]&gt;Targ_vs_PiN,"Flagged","")</f>
        <v/>
      </c>
      <c r="AK162" s="69" t="str">
        <f>IF(AND(tblTarget[[#This Row],[Qualifies for exception]]="Flagged",tblTarget[[#This Row],[Target to PiN (%)]]&gt;Targ_severity5),"Flagged","")</f>
        <v/>
      </c>
      <c r="AL162" s="68" t="str">
        <f>IFERROR(IF(AND(tblTarget[[#This Row],[Intercluser Severity]]=4,tblTarget[[#This Row],[Qualifies for exception]]="Flagged",(tblTarget[[#This Row],[Cluster Target]]-tblTarget[[#This Row],[2024 Response capacity up to December]])/tblTarget[[#This Row],[Cluster Target]]&gt;Diff_severity4),"Flagged",""),"No target")</f>
        <v>Flagged</v>
      </c>
      <c r="AM162" s="68" t="str">
        <f>IFERROR(IF(AND(tblTarget[[#This Row],[Intercluser Severity]]=3,tblTarget[[#This Row],[Qualifies for exception]]="Flagged",(tblTarget[[#This Row],[Cluster Target]]-tblTarget[[#This Row],[2024 Response capacity up to December]])/tblTarget[[#This Row],[Cluster Target]]&gt;Diff_severity3),"Flagged",""),"No target")</f>
        <v/>
      </c>
      <c r="AN162" s="81" t="s">
        <v>1099</v>
      </c>
      <c r="AO162" s="81"/>
      <c r="AP162" s="81" t="s">
        <v>1099</v>
      </c>
      <c r="AQ162" s="81" t="s">
        <v>1107</v>
      </c>
    </row>
    <row r="163" spans="1:43" ht="15.95" hidden="1" customHeight="1" x14ac:dyDescent="0.2">
      <c r="A163" s="62" t="s">
        <v>600</v>
      </c>
      <c r="B163" s="63" t="s">
        <v>356</v>
      </c>
      <c r="C163" s="64" t="s">
        <v>357</v>
      </c>
      <c r="D163" s="63" t="s">
        <v>366</v>
      </c>
      <c r="E163" s="64" t="s">
        <v>367</v>
      </c>
      <c r="F163" s="65">
        <v>62155</v>
      </c>
      <c r="G163" s="66" t="s">
        <v>30</v>
      </c>
      <c r="H163" s="67">
        <v>14151</v>
      </c>
      <c r="I163" s="68">
        <v>4</v>
      </c>
      <c r="J163" s="68">
        <v>4</v>
      </c>
      <c r="K163" s="91">
        <v>180.20000000000002</v>
      </c>
      <c r="L163" s="91">
        <v>93.444814483384988</v>
      </c>
      <c r="M163" s="91">
        <v>86.755185516615029</v>
      </c>
      <c r="N163" s="91">
        <v>90.100000000000009</v>
      </c>
      <c r="O163" s="91">
        <v>79.288000000000011</v>
      </c>
      <c r="P163" s="91">
        <v>10.812000000000001</v>
      </c>
      <c r="Q163" s="85">
        <v>27.03</v>
      </c>
      <c r="R163" s="69" t="s">
        <v>1107</v>
      </c>
      <c r="S163" s="86">
        <v>26</v>
      </c>
      <c r="T163" s="69">
        <v>6</v>
      </c>
      <c r="U163" s="68">
        <v>0</v>
      </c>
      <c r="V163" s="68">
        <v>0</v>
      </c>
      <c r="W163" s="68">
        <v>2</v>
      </c>
      <c r="X163" s="68">
        <v>4</v>
      </c>
      <c r="Y163" s="68">
        <v>11</v>
      </c>
      <c r="Z163" s="68">
        <v>2</v>
      </c>
      <c r="AA163" s="68">
        <v>0</v>
      </c>
      <c r="AB163" s="69">
        <v>0</v>
      </c>
      <c r="AC163" s="69">
        <v>0</v>
      </c>
      <c r="AD163" s="70">
        <f>IFERROR(tblTarget[[#This Row],[Cluster Target]]/tblTarget[[#This Row],[Cluster PiN]],0)</f>
        <v>1.2734082397003747E-2</v>
      </c>
      <c r="AE163" s="79">
        <f>_xlfn.XLOOKUP(tblTarget[[#This Row],[ID]],tblResponse[ID],tblResponse[2024 Projected reached (Dec 2024)])</f>
        <v>0</v>
      </c>
      <c r="AF163" s="79">
        <f>_xlfn.XLOOKUP(tblTarget[[#This Row],[ID]],tblResponse[ID],tblResponse[2024 Intercluster reached -August RPM])</f>
        <v>132.23180244251407</v>
      </c>
      <c r="AG163" s="79">
        <v>1</v>
      </c>
      <c r="AH163" s="79"/>
      <c r="AI163" s="79"/>
      <c r="AJ163" s="70" t="str">
        <f>IF(tblTarget[[#This Row],[Target to PiN (%)]]&gt;Targ_vs_PiN,"Flagged","")</f>
        <v/>
      </c>
      <c r="AK163" s="69" t="str">
        <f>IF(AND(tblTarget[[#This Row],[Qualifies for exception]]="Flagged",tblTarget[[#This Row],[Target to PiN (%)]]&gt;Targ_severity5),"Flagged","")</f>
        <v/>
      </c>
      <c r="AL163" s="68" t="str">
        <f>IFERROR(IF(AND(tblTarget[[#This Row],[Intercluser Severity]]=4,tblTarget[[#This Row],[Qualifies for exception]]="Flagged",(tblTarget[[#This Row],[Cluster Target]]-tblTarget[[#This Row],[2024 Response capacity up to December]])/tblTarget[[#This Row],[Cluster Target]]&gt;Diff_severity4),"Flagged",""),"No target")</f>
        <v>Flagged</v>
      </c>
      <c r="AM163" s="68" t="str">
        <f>IFERROR(IF(AND(tblTarget[[#This Row],[Intercluser Severity]]=3,tblTarget[[#This Row],[Qualifies for exception]]="Flagged",(tblTarget[[#This Row],[Cluster Target]]-tblTarget[[#This Row],[2024 Response capacity up to December]])/tblTarget[[#This Row],[Cluster Target]]&gt;Diff_severity3),"Flagged",""),"No target")</f>
        <v/>
      </c>
      <c r="AN163" s="81" t="s">
        <v>1099</v>
      </c>
      <c r="AO163" s="81"/>
      <c r="AP163" s="81" t="s">
        <v>1099</v>
      </c>
      <c r="AQ163" s="81" t="s">
        <v>1107</v>
      </c>
    </row>
    <row r="164" spans="1:43" ht="15.95" customHeight="1" x14ac:dyDescent="0.2">
      <c r="A164" s="62" t="s">
        <v>601</v>
      </c>
      <c r="B164" s="63" t="s">
        <v>356</v>
      </c>
      <c r="C164" s="64" t="s">
        <v>357</v>
      </c>
      <c r="D164" s="63" t="s">
        <v>368</v>
      </c>
      <c r="E164" s="64" t="s">
        <v>369</v>
      </c>
      <c r="F164" s="65">
        <v>67437</v>
      </c>
      <c r="G164" s="66" t="s">
        <v>30</v>
      </c>
      <c r="H164" s="67">
        <v>15353</v>
      </c>
      <c r="I164" s="68">
        <v>4</v>
      </c>
      <c r="J164" s="68">
        <v>4</v>
      </c>
      <c r="K164" s="91">
        <v>307</v>
      </c>
      <c r="L164" s="91">
        <v>156.38126471297107</v>
      </c>
      <c r="M164" s="91">
        <v>150.61873528702893</v>
      </c>
      <c r="N164" s="91">
        <v>153.5</v>
      </c>
      <c r="O164" s="91">
        <v>135.08000000000001</v>
      </c>
      <c r="P164" s="91">
        <v>18.419999999999998</v>
      </c>
      <c r="Q164" s="85">
        <v>46.05</v>
      </c>
      <c r="R164" s="69" t="s">
        <v>15</v>
      </c>
      <c r="S164" s="86">
        <v>44</v>
      </c>
      <c r="T164" s="69">
        <v>11</v>
      </c>
      <c r="U164" s="68">
        <v>0</v>
      </c>
      <c r="V164" s="68">
        <v>0</v>
      </c>
      <c r="W164" s="68">
        <v>3</v>
      </c>
      <c r="X164" s="68">
        <v>6</v>
      </c>
      <c r="Y164" s="68">
        <v>18</v>
      </c>
      <c r="Z164" s="68">
        <v>3</v>
      </c>
      <c r="AA164" s="68">
        <v>0</v>
      </c>
      <c r="AB164" s="69">
        <v>0</v>
      </c>
      <c r="AC164" s="69">
        <v>0</v>
      </c>
      <c r="AD164" s="70">
        <f>IFERROR(tblTarget[[#This Row],[Cluster Target]]/tblTarget[[#This Row],[Cluster PiN]],0)</f>
        <v>1.9996091968996287E-2</v>
      </c>
      <c r="AE164" s="79">
        <f>_xlfn.XLOOKUP(tblTarget[[#This Row],[ID]],tblResponse[ID],tblResponse[2024 Projected reached (Dec 2024)])</f>
        <v>0</v>
      </c>
      <c r="AF164" s="79">
        <f>_xlfn.XLOOKUP(tblTarget[[#This Row],[ID]],tblResponse[ID],tblResponse[2024 Intercluster reached -August RPM])</f>
        <v>2039.4481699467115</v>
      </c>
      <c r="AG164" s="79">
        <v>1</v>
      </c>
      <c r="AH164" s="79"/>
      <c r="AI164" s="79"/>
      <c r="AJ164" s="70" t="str">
        <f>IF(tblTarget[[#This Row],[Target to PiN (%)]]&gt;Targ_vs_PiN,"Flagged","")</f>
        <v/>
      </c>
      <c r="AK164" s="69" t="str">
        <f>IF(AND(tblTarget[[#This Row],[Qualifies for exception]]="Flagged",tblTarget[[#This Row],[Target to PiN (%)]]&gt;Targ_severity5),"Flagged","")</f>
        <v/>
      </c>
      <c r="AL164" s="68" t="str">
        <f>IFERROR(IF(AND(tblTarget[[#This Row],[Intercluser Severity]]=4,tblTarget[[#This Row],[Qualifies for exception]]="Flagged",(tblTarget[[#This Row],[Cluster Target]]-tblTarget[[#This Row],[2024 Response capacity up to December]])/tblTarget[[#This Row],[Cluster Target]]&gt;Diff_severity4),"Flagged",""),"No target")</f>
        <v/>
      </c>
      <c r="AM164" s="68" t="str">
        <f>IFERROR(IF(AND(tblTarget[[#This Row],[Intercluser Severity]]=3,tblTarget[[#This Row],[Qualifies for exception]]="Flagged",(tblTarget[[#This Row],[Cluster Target]]-tblTarget[[#This Row],[2024 Response capacity up to December]])/tblTarget[[#This Row],[Cluster Target]]&gt;Diff_severity3),"Flagged",""),"No target")</f>
        <v/>
      </c>
      <c r="AN164" s="81" t="s">
        <v>1099</v>
      </c>
      <c r="AO164" s="81"/>
      <c r="AP164" s="81" t="s">
        <v>15</v>
      </c>
      <c r="AQ164" s="81" t="s">
        <v>1098</v>
      </c>
    </row>
    <row r="165" spans="1:43" ht="15.95" hidden="1" customHeight="1" x14ac:dyDescent="0.2">
      <c r="A165" s="62" t="s">
        <v>602</v>
      </c>
      <c r="B165" s="63" t="s">
        <v>356</v>
      </c>
      <c r="C165" s="64" t="s">
        <v>357</v>
      </c>
      <c r="D165" s="63" t="s">
        <v>370</v>
      </c>
      <c r="E165" s="64" t="s">
        <v>371</v>
      </c>
      <c r="F165" s="65">
        <v>81831</v>
      </c>
      <c r="G165" s="66" t="s">
        <v>30</v>
      </c>
      <c r="H165" s="67">
        <v>36662</v>
      </c>
      <c r="I165" s="68">
        <v>3</v>
      </c>
      <c r="J165" s="68">
        <v>4</v>
      </c>
      <c r="K165" s="91">
        <v>700</v>
      </c>
      <c r="L165" s="91">
        <v>365.2952979071818</v>
      </c>
      <c r="M165" s="91">
        <v>334.7047020928182</v>
      </c>
      <c r="N165" s="91">
        <v>350</v>
      </c>
      <c r="O165" s="91">
        <v>308</v>
      </c>
      <c r="P165" s="91">
        <v>42</v>
      </c>
      <c r="Q165" s="85">
        <v>105</v>
      </c>
      <c r="R165" s="69" t="s">
        <v>1107</v>
      </c>
      <c r="S165" s="86">
        <v>101</v>
      </c>
      <c r="T165" s="69">
        <v>25</v>
      </c>
      <c r="U165" s="68">
        <v>0</v>
      </c>
      <c r="V165" s="68">
        <v>0</v>
      </c>
      <c r="W165" s="68">
        <v>7</v>
      </c>
      <c r="X165" s="68">
        <v>14</v>
      </c>
      <c r="Y165" s="68">
        <v>42</v>
      </c>
      <c r="Z165" s="68">
        <v>7</v>
      </c>
      <c r="AA165" s="68">
        <v>0</v>
      </c>
      <c r="AB165" s="69">
        <v>0</v>
      </c>
      <c r="AC165" s="69">
        <v>0</v>
      </c>
      <c r="AD165" s="70">
        <f>IFERROR(tblTarget[[#This Row],[Cluster Target]]/tblTarget[[#This Row],[Cluster PiN]],0)</f>
        <v>1.909333915225574E-2</v>
      </c>
      <c r="AE165" s="79">
        <f>_xlfn.XLOOKUP(tblTarget[[#This Row],[ID]],tblResponse[ID],tblResponse[2024 Projected reached (Dec 2024)])</f>
        <v>0</v>
      </c>
      <c r="AF165" s="79">
        <f>_xlfn.XLOOKUP(tblTarget[[#This Row],[ID]],tblResponse[ID],tblResponse[2024 Intercluster reached -August RPM])</f>
        <v>116342.99697442149</v>
      </c>
      <c r="AG165" s="79">
        <v>5</v>
      </c>
      <c r="AH165" s="79"/>
      <c r="AI165" s="79"/>
      <c r="AJ165" s="70" t="str">
        <f>IF(tblTarget[[#This Row],[Target to PiN (%)]]&gt;Targ_vs_PiN,"Flagged","")</f>
        <v/>
      </c>
      <c r="AK165" s="69" t="str">
        <f>IF(AND(tblTarget[[#This Row],[Qualifies for exception]]="Flagged",tblTarget[[#This Row],[Target to PiN (%)]]&gt;Targ_severity5),"Flagged","")</f>
        <v/>
      </c>
      <c r="AL165" s="68" t="str">
        <f>IFERROR(IF(AND(tblTarget[[#This Row],[Intercluser Severity]]=4,tblTarget[[#This Row],[Qualifies for exception]]="Flagged",(tblTarget[[#This Row],[Cluster Target]]-tblTarget[[#This Row],[2024 Response capacity up to December]])/tblTarget[[#This Row],[Cluster Target]]&gt;Diff_severity4),"Flagged",""),"No target")</f>
        <v>Flagged</v>
      </c>
      <c r="AM165" s="68" t="str">
        <f>IFERROR(IF(AND(tblTarget[[#This Row],[Intercluser Severity]]=3,tblTarget[[#This Row],[Qualifies for exception]]="Flagged",(tblTarget[[#This Row],[Cluster Target]]-tblTarget[[#This Row],[2024 Response capacity up to December]])/tblTarget[[#This Row],[Cluster Target]]&gt;Diff_severity3),"Flagged",""),"No target")</f>
        <v/>
      </c>
      <c r="AN165" s="81" t="s">
        <v>1099</v>
      </c>
      <c r="AO165" s="81"/>
      <c r="AP165" s="81" t="s">
        <v>1099</v>
      </c>
      <c r="AQ165" s="81" t="s">
        <v>1107</v>
      </c>
    </row>
    <row r="166" spans="1:43" ht="15.95" hidden="1" customHeight="1" x14ac:dyDescent="0.2">
      <c r="A166" s="62" t="s">
        <v>603</v>
      </c>
      <c r="B166" s="63" t="s">
        <v>356</v>
      </c>
      <c r="C166" s="64" t="s">
        <v>357</v>
      </c>
      <c r="D166" s="63" t="s">
        <v>372</v>
      </c>
      <c r="E166" s="64" t="s">
        <v>373</v>
      </c>
      <c r="F166" s="65">
        <v>84484</v>
      </c>
      <c r="G166" s="66" t="s">
        <v>30</v>
      </c>
      <c r="H166" s="67">
        <v>34680</v>
      </c>
      <c r="I166" s="68">
        <v>3</v>
      </c>
      <c r="J166" s="68">
        <v>4</v>
      </c>
      <c r="K166" s="91">
        <v>345.40000000000003</v>
      </c>
      <c r="L166" s="91">
        <v>180.49281536550927</v>
      </c>
      <c r="M166" s="91">
        <v>164.90718463449073</v>
      </c>
      <c r="N166" s="91">
        <v>172.70000000000002</v>
      </c>
      <c r="O166" s="91">
        <v>151.97600000000003</v>
      </c>
      <c r="P166" s="91">
        <v>20.724</v>
      </c>
      <c r="Q166" s="85">
        <v>51.81</v>
      </c>
      <c r="R166" s="69" t="s">
        <v>1107</v>
      </c>
      <c r="S166" s="86">
        <v>50</v>
      </c>
      <c r="T166" s="69">
        <v>12</v>
      </c>
      <c r="U166" s="68">
        <v>0</v>
      </c>
      <c r="V166" s="68">
        <v>0</v>
      </c>
      <c r="W166" s="68">
        <v>3</v>
      </c>
      <c r="X166" s="68">
        <v>7</v>
      </c>
      <c r="Y166" s="68">
        <v>21</v>
      </c>
      <c r="Z166" s="68">
        <v>3</v>
      </c>
      <c r="AA166" s="68">
        <v>0</v>
      </c>
      <c r="AB166" s="69">
        <v>0</v>
      </c>
      <c r="AC166" s="69">
        <v>0</v>
      </c>
      <c r="AD166" s="70">
        <f>IFERROR(tblTarget[[#This Row],[Cluster Target]]/tblTarget[[#This Row],[Cluster PiN]],0)</f>
        <v>9.9596309111880058E-3</v>
      </c>
      <c r="AE166" s="79">
        <f>_xlfn.XLOOKUP(tblTarget[[#This Row],[ID]],tblResponse[ID],tblResponse[2024 Projected reached (Dec 2024)])</f>
        <v>0</v>
      </c>
      <c r="AF166" s="79">
        <f>_xlfn.XLOOKUP(tblTarget[[#This Row],[ID]],tblResponse[ID],tblResponse[2024 Intercluster reached -August RPM])</f>
        <v>105998.83189975181</v>
      </c>
      <c r="AG166" s="79">
        <v>2</v>
      </c>
      <c r="AH166" s="79"/>
      <c r="AI166" s="79"/>
      <c r="AJ166" s="70" t="str">
        <f>IF(tblTarget[[#This Row],[Target to PiN (%)]]&gt;Targ_vs_PiN,"Flagged","")</f>
        <v/>
      </c>
      <c r="AK166" s="69" t="str">
        <f>IF(AND(tblTarget[[#This Row],[Qualifies for exception]]="Flagged",tblTarget[[#This Row],[Target to PiN (%)]]&gt;Targ_severity5),"Flagged","")</f>
        <v/>
      </c>
      <c r="AL166" s="68" t="str">
        <f>IFERROR(IF(AND(tblTarget[[#This Row],[Intercluser Severity]]=4,tblTarget[[#This Row],[Qualifies for exception]]="Flagged",(tblTarget[[#This Row],[Cluster Target]]-tblTarget[[#This Row],[2024 Response capacity up to December]])/tblTarget[[#This Row],[Cluster Target]]&gt;Diff_severity4),"Flagged",""),"No target")</f>
        <v>Flagged</v>
      </c>
      <c r="AM166" s="68" t="str">
        <f>IFERROR(IF(AND(tblTarget[[#This Row],[Intercluser Severity]]=3,tblTarget[[#This Row],[Qualifies for exception]]="Flagged",(tblTarget[[#This Row],[Cluster Target]]-tblTarget[[#This Row],[2024 Response capacity up to December]])/tblTarget[[#This Row],[Cluster Target]]&gt;Diff_severity3),"Flagged",""),"No target")</f>
        <v/>
      </c>
      <c r="AN166" s="81" t="s">
        <v>1099</v>
      </c>
      <c r="AO166" s="81"/>
      <c r="AP166" s="81" t="s">
        <v>1099</v>
      </c>
      <c r="AQ166" s="81" t="s">
        <v>1107</v>
      </c>
    </row>
    <row r="167" spans="1:43" ht="15.95" hidden="1" customHeight="1" x14ac:dyDescent="0.2">
      <c r="A167" s="62" t="s">
        <v>604</v>
      </c>
      <c r="B167" s="63" t="s">
        <v>374</v>
      </c>
      <c r="C167" s="64" t="s">
        <v>375</v>
      </c>
      <c r="D167" s="63" t="s">
        <v>376</v>
      </c>
      <c r="E167" s="64" t="s">
        <v>377</v>
      </c>
      <c r="F167" s="65">
        <v>48025</v>
      </c>
      <c r="G167" s="66" t="s">
        <v>30</v>
      </c>
      <c r="H167" s="67">
        <v>5719</v>
      </c>
      <c r="I167" s="68">
        <v>2</v>
      </c>
      <c r="J167" s="68">
        <v>3</v>
      </c>
      <c r="K167" s="91">
        <v>0</v>
      </c>
      <c r="L167" s="91">
        <v>0</v>
      </c>
      <c r="M167" s="91">
        <v>0</v>
      </c>
      <c r="N167" s="91">
        <v>0</v>
      </c>
      <c r="O167" s="91">
        <v>0</v>
      </c>
      <c r="P167" s="91">
        <v>0</v>
      </c>
      <c r="Q167" s="85">
        <v>0</v>
      </c>
      <c r="R167" s="69" t="s">
        <v>1107</v>
      </c>
      <c r="S167" s="86">
        <v>0</v>
      </c>
      <c r="T167" s="69">
        <v>0</v>
      </c>
      <c r="U167" s="68">
        <v>0</v>
      </c>
      <c r="V167" s="68">
        <v>0</v>
      </c>
      <c r="W167" s="68">
        <v>0</v>
      </c>
      <c r="X167" s="68">
        <v>0</v>
      </c>
      <c r="Y167" s="68">
        <v>0</v>
      </c>
      <c r="Z167" s="68">
        <v>0</v>
      </c>
      <c r="AA167" s="68">
        <v>0</v>
      </c>
      <c r="AB167" s="69">
        <v>0</v>
      </c>
      <c r="AC167" s="69">
        <v>0</v>
      </c>
      <c r="AD167" s="70">
        <f>IFERROR(tblTarget[[#This Row],[Cluster Target]]/tblTarget[[#This Row],[Cluster PiN]],0)</f>
        <v>0</v>
      </c>
      <c r="AE167" s="79">
        <f>_xlfn.XLOOKUP(tblTarget[[#This Row],[ID]],tblResponse[ID],tblResponse[2024 Projected reached (Dec 2024)])</f>
        <v>0</v>
      </c>
      <c r="AF167" s="79">
        <f>_xlfn.XLOOKUP(tblTarget[[#This Row],[ID]],tblResponse[ID],tblResponse[2024 Intercluster reached -August RPM])</f>
        <v>43651.187228523253</v>
      </c>
      <c r="AG167" s="79">
        <v>3</v>
      </c>
      <c r="AH167" s="79"/>
      <c r="AI167" s="79"/>
      <c r="AJ167" s="70" t="str">
        <f>IF(tblTarget[[#This Row],[Target to PiN (%)]]&gt;Targ_vs_PiN,"Flagged","")</f>
        <v/>
      </c>
      <c r="AK167" s="69" t="str">
        <f>IF(AND(tblTarget[[#This Row],[Qualifies for exception]]="Flagged",tblTarget[[#This Row],[Target to PiN (%)]]&gt;Targ_severity5),"Flagged","")</f>
        <v/>
      </c>
      <c r="AL167" s="68" t="str">
        <f>IFERROR(IF(AND(tblTarget[[#This Row],[Intercluser Severity]]=4,tblTarget[[#This Row],[Qualifies for exception]]="Flagged",(tblTarget[[#This Row],[Cluster Target]]-tblTarget[[#This Row],[2024 Response capacity up to December]])/tblTarget[[#This Row],[Cluster Target]]&gt;Diff_severity4),"Flagged",""),"No target")</f>
        <v>No target</v>
      </c>
      <c r="AM167" s="68" t="str">
        <f>IFERROR(IF(AND(tblTarget[[#This Row],[Intercluser Severity]]=3,tblTarget[[#This Row],[Qualifies for exception]]="Flagged",(tblTarget[[#This Row],[Cluster Target]]-tblTarget[[#This Row],[2024 Response capacity up to December]])/tblTarget[[#This Row],[Cluster Target]]&gt;Diff_severity3),"Flagged",""),"No target")</f>
        <v>No target</v>
      </c>
      <c r="AN167" s="81" t="s">
        <v>1099</v>
      </c>
      <c r="AO167" s="81"/>
      <c r="AP167" s="81" t="s">
        <v>1099</v>
      </c>
      <c r="AQ167" s="81" t="s">
        <v>1107</v>
      </c>
    </row>
    <row r="168" spans="1:43" ht="15.95" hidden="1" customHeight="1" x14ac:dyDescent="0.2">
      <c r="A168" s="62" t="s">
        <v>605</v>
      </c>
      <c r="B168" s="63" t="s">
        <v>374</v>
      </c>
      <c r="C168" s="64" t="s">
        <v>375</v>
      </c>
      <c r="D168" s="63" t="s">
        <v>378</v>
      </c>
      <c r="E168" s="64" t="s">
        <v>379</v>
      </c>
      <c r="F168" s="65">
        <v>107824</v>
      </c>
      <c r="G168" s="66" t="s">
        <v>30</v>
      </c>
      <c r="H168" s="67">
        <v>32508</v>
      </c>
      <c r="I168" s="68">
        <v>3</v>
      </c>
      <c r="J168" s="68">
        <v>3</v>
      </c>
      <c r="K168" s="91">
        <v>0</v>
      </c>
      <c r="L168" s="91">
        <v>0</v>
      </c>
      <c r="M168" s="91">
        <v>0</v>
      </c>
      <c r="N168" s="91">
        <v>0</v>
      </c>
      <c r="O168" s="91">
        <v>0</v>
      </c>
      <c r="P168" s="91">
        <v>0</v>
      </c>
      <c r="Q168" s="85">
        <v>0</v>
      </c>
      <c r="R168" s="69" t="s">
        <v>1107</v>
      </c>
      <c r="S168" s="86">
        <v>0</v>
      </c>
      <c r="T168" s="69">
        <v>0</v>
      </c>
      <c r="U168" s="68">
        <v>0</v>
      </c>
      <c r="V168" s="68">
        <v>0</v>
      </c>
      <c r="W168" s="68">
        <v>0</v>
      </c>
      <c r="X168" s="68">
        <v>0</v>
      </c>
      <c r="Y168" s="68">
        <v>0</v>
      </c>
      <c r="Z168" s="68">
        <v>0</v>
      </c>
      <c r="AA168" s="68">
        <v>0</v>
      </c>
      <c r="AB168" s="69">
        <v>0</v>
      </c>
      <c r="AC168" s="69">
        <v>0</v>
      </c>
      <c r="AD168" s="70">
        <f>IFERROR(tblTarget[[#This Row],[Cluster Target]]/tblTarget[[#This Row],[Cluster PiN]],0)</f>
        <v>0</v>
      </c>
      <c r="AE168" s="79">
        <f>_xlfn.XLOOKUP(tblTarget[[#This Row],[ID]],tblResponse[ID],tblResponse[2024 Projected reached (Dec 2024)])</f>
        <v>0</v>
      </c>
      <c r="AF168" s="79">
        <f>_xlfn.XLOOKUP(tblTarget[[#This Row],[ID]],tblResponse[ID],tblResponse[2024 Intercluster reached -August RPM])</f>
        <v>65803.862153059352</v>
      </c>
      <c r="AG168" s="79">
        <v>1</v>
      </c>
      <c r="AH168" s="79"/>
      <c r="AI168" s="79"/>
      <c r="AJ168" s="70" t="str">
        <f>IF(tblTarget[[#This Row],[Target to PiN (%)]]&gt;Targ_vs_PiN,"Flagged","")</f>
        <v/>
      </c>
      <c r="AK168" s="69" t="str">
        <f>IF(AND(tblTarget[[#This Row],[Qualifies for exception]]="Flagged",tblTarget[[#This Row],[Target to PiN (%)]]&gt;Targ_severity5),"Flagged","")</f>
        <v/>
      </c>
      <c r="AL168" s="68" t="str">
        <f>IFERROR(IF(AND(tblTarget[[#This Row],[Intercluser Severity]]=4,tblTarget[[#This Row],[Qualifies for exception]]="Flagged",(tblTarget[[#This Row],[Cluster Target]]-tblTarget[[#This Row],[2024 Response capacity up to December]])/tblTarget[[#This Row],[Cluster Target]]&gt;Diff_severity4),"Flagged",""),"No target")</f>
        <v>No target</v>
      </c>
      <c r="AM168" s="68" t="str">
        <f>IFERROR(IF(AND(tblTarget[[#This Row],[Intercluser Severity]]=3,tblTarget[[#This Row],[Qualifies for exception]]="Flagged",(tblTarget[[#This Row],[Cluster Target]]-tblTarget[[#This Row],[2024 Response capacity up to December]])/tblTarget[[#This Row],[Cluster Target]]&gt;Diff_severity3),"Flagged",""),"No target")</f>
        <v>No target</v>
      </c>
      <c r="AN168" s="81" t="s">
        <v>1099</v>
      </c>
      <c r="AO168" s="81"/>
      <c r="AP168" s="81" t="s">
        <v>1099</v>
      </c>
      <c r="AQ168" s="81" t="s">
        <v>1107</v>
      </c>
    </row>
    <row r="169" spans="1:43" ht="15.95" hidden="1" customHeight="1" x14ac:dyDescent="0.2">
      <c r="A169" s="62" t="s">
        <v>606</v>
      </c>
      <c r="B169" s="63" t="s">
        <v>374</v>
      </c>
      <c r="C169" s="64" t="s">
        <v>375</v>
      </c>
      <c r="D169" s="63" t="s">
        <v>380</v>
      </c>
      <c r="E169" s="64" t="s">
        <v>381</v>
      </c>
      <c r="F169" s="65">
        <v>223515</v>
      </c>
      <c r="G169" s="66" t="s">
        <v>30</v>
      </c>
      <c r="H169" s="67">
        <v>101197</v>
      </c>
      <c r="I169" s="68">
        <v>3</v>
      </c>
      <c r="J169" s="68">
        <v>3</v>
      </c>
      <c r="K169" s="91">
        <v>9654.4</v>
      </c>
      <c r="L169" s="91">
        <v>4896.4395751236516</v>
      </c>
      <c r="M169" s="91">
        <v>4757.960424876348</v>
      </c>
      <c r="N169" s="91">
        <v>4827.2</v>
      </c>
      <c r="O169" s="91">
        <v>4247.9359999999997</v>
      </c>
      <c r="P169" s="91">
        <v>579.26400000000001</v>
      </c>
      <c r="Q169" s="85">
        <v>1448.1599999999999</v>
      </c>
      <c r="R169" s="69" t="s">
        <v>1107</v>
      </c>
      <c r="S169" s="86">
        <v>1390</v>
      </c>
      <c r="T169" s="69">
        <v>348</v>
      </c>
      <c r="U169" s="68">
        <v>0</v>
      </c>
      <c r="V169" s="68">
        <v>0</v>
      </c>
      <c r="W169" s="68">
        <v>97</v>
      </c>
      <c r="X169" s="68">
        <v>193</v>
      </c>
      <c r="Y169" s="68">
        <v>579</v>
      </c>
      <c r="Z169" s="68">
        <v>97</v>
      </c>
      <c r="AA169" s="68">
        <v>0</v>
      </c>
      <c r="AB169" s="69">
        <v>0</v>
      </c>
      <c r="AC169" s="69">
        <v>0</v>
      </c>
      <c r="AD169" s="70">
        <f>IFERROR(tblTarget[[#This Row],[Cluster Target]]/tblTarget[[#This Row],[Cluster PiN]],0)</f>
        <v>9.5402037609810558E-2</v>
      </c>
      <c r="AE169" s="79">
        <f>_xlfn.XLOOKUP(tblTarget[[#This Row],[ID]],tblResponse[ID],tblResponse[2024 Projected reached (Dec 2024)])</f>
        <v>0</v>
      </c>
      <c r="AF169" s="79">
        <f>_xlfn.XLOOKUP(tblTarget[[#This Row],[ID]],tblResponse[ID],tblResponse[2024 Intercluster reached -August RPM])</f>
        <v>76419.487224277691</v>
      </c>
      <c r="AG169" s="79">
        <v>4</v>
      </c>
      <c r="AH169" s="79"/>
      <c r="AI169" s="79"/>
      <c r="AJ169" s="70" t="str">
        <f>IF(tblTarget[[#This Row],[Target to PiN (%)]]&gt;Targ_vs_PiN,"Flagged","")</f>
        <v/>
      </c>
      <c r="AK169" s="69" t="str">
        <f>IF(AND(tblTarget[[#This Row],[Qualifies for exception]]="Flagged",tblTarget[[#This Row],[Target to PiN (%)]]&gt;Targ_severity5),"Flagged","")</f>
        <v/>
      </c>
      <c r="AL169" s="68" t="str">
        <f>IFERROR(IF(AND(tblTarget[[#This Row],[Intercluser Severity]]=4,tblTarget[[#This Row],[Qualifies for exception]]="Flagged",(tblTarget[[#This Row],[Cluster Target]]-tblTarget[[#This Row],[2024 Response capacity up to December]])/tblTarget[[#This Row],[Cluster Target]]&gt;Diff_severity4),"Flagged",""),"No target")</f>
        <v/>
      </c>
      <c r="AM169" s="68" t="str">
        <f>IFERROR(IF(AND(tblTarget[[#This Row],[Intercluser Severity]]=3,tblTarget[[#This Row],[Qualifies for exception]]="Flagged",(tblTarget[[#This Row],[Cluster Target]]-tblTarget[[#This Row],[2024 Response capacity up to December]])/tblTarget[[#This Row],[Cluster Target]]&gt;Diff_severity3),"Flagged",""),"No target")</f>
        <v>Flagged</v>
      </c>
      <c r="AN169" s="81" t="s">
        <v>1099</v>
      </c>
      <c r="AO169" s="81"/>
      <c r="AP169" s="81" t="s">
        <v>1099</v>
      </c>
      <c r="AQ169" s="81" t="s">
        <v>1107</v>
      </c>
    </row>
    <row r="170" spans="1:43" ht="15.95" hidden="1" customHeight="1" x14ac:dyDescent="0.2">
      <c r="A170" s="62" t="s">
        <v>607</v>
      </c>
      <c r="B170" s="63" t="s">
        <v>374</v>
      </c>
      <c r="C170" s="64" t="s">
        <v>375</v>
      </c>
      <c r="D170" s="63" t="s">
        <v>382</v>
      </c>
      <c r="E170" s="64" t="s">
        <v>383</v>
      </c>
      <c r="F170" s="65">
        <v>145177</v>
      </c>
      <c r="G170" s="66" t="s">
        <v>30</v>
      </c>
      <c r="H170" s="67">
        <v>65598</v>
      </c>
      <c r="I170" s="68">
        <v>3</v>
      </c>
      <c r="J170" s="68">
        <v>3</v>
      </c>
      <c r="K170" s="91">
        <v>5199.2000000000007</v>
      </c>
      <c r="L170" s="91">
        <v>2605.6610506333013</v>
      </c>
      <c r="M170" s="91">
        <v>2593.5389493666994</v>
      </c>
      <c r="N170" s="91">
        <v>2599.6000000000004</v>
      </c>
      <c r="O170" s="91">
        <v>2287.6480000000001</v>
      </c>
      <c r="P170" s="91">
        <v>311.95200000000006</v>
      </c>
      <c r="Q170" s="85">
        <v>779.88000000000011</v>
      </c>
      <c r="R170" s="69" t="s">
        <v>1107</v>
      </c>
      <c r="S170" s="86">
        <v>749</v>
      </c>
      <c r="T170" s="69">
        <v>187</v>
      </c>
      <c r="U170" s="68">
        <v>0</v>
      </c>
      <c r="V170" s="68">
        <v>0</v>
      </c>
      <c r="W170" s="68">
        <v>52</v>
      </c>
      <c r="X170" s="68">
        <v>104</v>
      </c>
      <c r="Y170" s="68">
        <v>312</v>
      </c>
      <c r="Z170" s="68">
        <v>52</v>
      </c>
      <c r="AA170" s="68">
        <v>0</v>
      </c>
      <c r="AB170" s="69">
        <v>0</v>
      </c>
      <c r="AC170" s="69">
        <v>0</v>
      </c>
      <c r="AD170" s="70">
        <f>IFERROR(tblTarget[[#This Row],[Cluster Target]]/tblTarget[[#This Row],[Cluster PiN]],0)</f>
        <v>7.9258513979084733E-2</v>
      </c>
      <c r="AE170" s="79">
        <f>_xlfn.XLOOKUP(tblTarget[[#This Row],[ID]],tblResponse[ID],tblResponse[2024 Projected reached (Dec 2024)])</f>
        <v>0</v>
      </c>
      <c r="AF170" s="79">
        <f>_xlfn.XLOOKUP(tblTarget[[#This Row],[ID]],tblResponse[ID],tblResponse[2024 Intercluster reached -August RPM])</f>
        <v>91542.187805203299</v>
      </c>
      <c r="AG170" s="79">
        <v>3</v>
      </c>
      <c r="AH170" s="79"/>
      <c r="AI170" s="79"/>
      <c r="AJ170" s="70" t="str">
        <f>IF(tblTarget[[#This Row],[Target to PiN (%)]]&gt;Targ_vs_PiN,"Flagged","")</f>
        <v/>
      </c>
      <c r="AK170" s="69" t="str">
        <f>IF(AND(tblTarget[[#This Row],[Qualifies for exception]]="Flagged",tblTarget[[#This Row],[Target to PiN (%)]]&gt;Targ_severity5),"Flagged","")</f>
        <v/>
      </c>
      <c r="AL170" s="68" t="str">
        <f>IFERROR(IF(AND(tblTarget[[#This Row],[Intercluser Severity]]=4,tblTarget[[#This Row],[Qualifies for exception]]="Flagged",(tblTarget[[#This Row],[Cluster Target]]-tblTarget[[#This Row],[2024 Response capacity up to December]])/tblTarget[[#This Row],[Cluster Target]]&gt;Diff_severity4),"Flagged",""),"No target")</f>
        <v/>
      </c>
      <c r="AM170" s="68" t="str">
        <f>IFERROR(IF(AND(tblTarget[[#This Row],[Intercluser Severity]]=3,tblTarget[[#This Row],[Qualifies for exception]]="Flagged",(tblTarget[[#This Row],[Cluster Target]]-tblTarget[[#This Row],[2024 Response capacity up to December]])/tblTarget[[#This Row],[Cluster Target]]&gt;Diff_severity3),"Flagged",""),"No target")</f>
        <v>Flagged</v>
      </c>
      <c r="AN170" s="81" t="s">
        <v>1099</v>
      </c>
      <c r="AO170" s="81"/>
      <c r="AP170" s="81" t="s">
        <v>1099</v>
      </c>
      <c r="AQ170" s="81" t="s">
        <v>1107</v>
      </c>
    </row>
    <row r="171" spans="1:43" ht="15.95" hidden="1" customHeight="1" x14ac:dyDescent="0.2">
      <c r="A171" s="62" t="s">
        <v>608</v>
      </c>
      <c r="B171" s="63" t="s">
        <v>374</v>
      </c>
      <c r="C171" s="64" t="s">
        <v>375</v>
      </c>
      <c r="D171" s="63" t="s">
        <v>384</v>
      </c>
      <c r="E171" s="64" t="s">
        <v>385</v>
      </c>
      <c r="F171" s="65">
        <v>99538</v>
      </c>
      <c r="G171" s="66" t="s">
        <v>30</v>
      </c>
      <c r="H171" s="67">
        <v>35796</v>
      </c>
      <c r="I171" s="68">
        <v>3</v>
      </c>
      <c r="J171" s="68">
        <v>3</v>
      </c>
      <c r="K171" s="91">
        <v>4490</v>
      </c>
      <c r="L171" s="91">
        <v>2276.4933921699189</v>
      </c>
      <c r="M171" s="91">
        <v>2213.5066078300811</v>
      </c>
      <c r="N171" s="91">
        <v>2245</v>
      </c>
      <c r="O171" s="91">
        <v>1975.6</v>
      </c>
      <c r="P171" s="91">
        <v>269.39999999999998</v>
      </c>
      <c r="Q171" s="85">
        <v>673.5</v>
      </c>
      <c r="R171" s="69" t="s">
        <v>1107</v>
      </c>
      <c r="S171" s="86">
        <v>647</v>
      </c>
      <c r="T171" s="69">
        <v>162</v>
      </c>
      <c r="U171" s="68">
        <v>0</v>
      </c>
      <c r="V171" s="68">
        <v>0</v>
      </c>
      <c r="W171" s="68">
        <v>45</v>
      </c>
      <c r="X171" s="68">
        <v>90</v>
      </c>
      <c r="Y171" s="68">
        <v>269</v>
      </c>
      <c r="Z171" s="68">
        <v>45</v>
      </c>
      <c r="AA171" s="68">
        <v>0</v>
      </c>
      <c r="AB171" s="69">
        <v>0</v>
      </c>
      <c r="AC171" s="69">
        <v>0</v>
      </c>
      <c r="AD171" s="70">
        <f>IFERROR(tblTarget[[#This Row],[Cluster Target]]/tblTarget[[#This Row],[Cluster PiN]],0)</f>
        <v>0.12543300927477929</v>
      </c>
      <c r="AE171" s="79">
        <f>_xlfn.XLOOKUP(tblTarget[[#This Row],[ID]],tblResponse[ID],tblResponse[2024 Projected reached (Dec 2024)])</f>
        <v>0</v>
      </c>
      <c r="AF171" s="79">
        <f>_xlfn.XLOOKUP(tblTarget[[#This Row],[ID]],tblResponse[ID],tblResponse[2024 Intercluster reached -August RPM])</f>
        <v>68269.390575320824</v>
      </c>
      <c r="AG171" s="79">
        <v>3</v>
      </c>
      <c r="AH171" s="79"/>
      <c r="AI171" s="79"/>
      <c r="AJ171" s="70" t="str">
        <f>IF(tblTarget[[#This Row],[Target to PiN (%)]]&gt;Targ_vs_PiN,"Flagged","")</f>
        <v/>
      </c>
      <c r="AK171" s="69" t="str">
        <f>IF(AND(tblTarget[[#This Row],[Qualifies for exception]]="Flagged",tblTarget[[#This Row],[Target to PiN (%)]]&gt;Targ_severity5),"Flagged","")</f>
        <v/>
      </c>
      <c r="AL171" s="68" t="str">
        <f>IFERROR(IF(AND(tblTarget[[#This Row],[Intercluser Severity]]=4,tblTarget[[#This Row],[Qualifies for exception]]="Flagged",(tblTarget[[#This Row],[Cluster Target]]-tblTarget[[#This Row],[2024 Response capacity up to December]])/tblTarget[[#This Row],[Cluster Target]]&gt;Diff_severity4),"Flagged",""),"No target")</f>
        <v/>
      </c>
      <c r="AM171" s="68" t="str">
        <f>IFERROR(IF(AND(tblTarget[[#This Row],[Intercluser Severity]]=3,tblTarget[[#This Row],[Qualifies for exception]]="Flagged",(tblTarget[[#This Row],[Cluster Target]]-tblTarget[[#This Row],[2024 Response capacity up to December]])/tblTarget[[#This Row],[Cluster Target]]&gt;Diff_severity3),"Flagged",""),"No target")</f>
        <v>Flagged</v>
      </c>
      <c r="AN171" s="81" t="s">
        <v>1099</v>
      </c>
      <c r="AO171" s="81"/>
      <c r="AP171" s="81" t="s">
        <v>1099</v>
      </c>
      <c r="AQ171" s="81" t="s">
        <v>1107</v>
      </c>
    </row>
    <row r="172" spans="1:43" ht="15.95" hidden="1" customHeight="1" x14ac:dyDescent="0.2">
      <c r="A172" s="62" t="s">
        <v>609</v>
      </c>
      <c r="B172" s="63" t="s">
        <v>374</v>
      </c>
      <c r="C172" s="64" t="s">
        <v>375</v>
      </c>
      <c r="D172" s="63" t="s">
        <v>386</v>
      </c>
      <c r="E172" s="64" t="s">
        <v>387</v>
      </c>
      <c r="F172" s="65">
        <v>26356</v>
      </c>
      <c r="G172" s="66" t="s">
        <v>30</v>
      </c>
      <c r="H172" s="67">
        <v>10584</v>
      </c>
      <c r="I172" s="68">
        <v>3</v>
      </c>
      <c r="J172" s="68">
        <v>3</v>
      </c>
      <c r="K172" s="91">
        <v>1525</v>
      </c>
      <c r="L172" s="91">
        <v>778.18344543284877</v>
      </c>
      <c r="M172" s="91">
        <v>746.81655456715123</v>
      </c>
      <c r="N172" s="91">
        <v>762.5</v>
      </c>
      <c r="O172" s="91">
        <v>671</v>
      </c>
      <c r="P172" s="91">
        <v>91.5</v>
      </c>
      <c r="Q172" s="85">
        <v>228.75</v>
      </c>
      <c r="R172" s="69" t="s">
        <v>1107</v>
      </c>
      <c r="S172" s="86">
        <v>220</v>
      </c>
      <c r="T172" s="69">
        <v>55</v>
      </c>
      <c r="U172" s="68">
        <v>0</v>
      </c>
      <c r="V172" s="68">
        <v>0</v>
      </c>
      <c r="W172" s="68">
        <v>15</v>
      </c>
      <c r="X172" s="68">
        <v>31</v>
      </c>
      <c r="Y172" s="68">
        <v>92</v>
      </c>
      <c r="Z172" s="68">
        <v>15</v>
      </c>
      <c r="AA172" s="68">
        <v>0</v>
      </c>
      <c r="AB172" s="69">
        <v>0</v>
      </c>
      <c r="AC172" s="69">
        <v>0</v>
      </c>
      <c r="AD172" s="70">
        <f>IFERROR(tblTarget[[#This Row],[Cluster Target]]/tblTarget[[#This Row],[Cluster PiN]],0)</f>
        <v>0.14408541194255481</v>
      </c>
      <c r="AE172" s="79">
        <f>_xlfn.XLOOKUP(tblTarget[[#This Row],[ID]],tblResponse[ID],tblResponse[2024 Projected reached (Dec 2024)])</f>
        <v>0</v>
      </c>
      <c r="AF172" s="79">
        <f>_xlfn.XLOOKUP(tblTarget[[#This Row],[ID]],tblResponse[ID],tblResponse[2024 Intercluster reached -August RPM])</f>
        <v>77622.866590421196</v>
      </c>
      <c r="AG172" s="79">
        <v>2</v>
      </c>
      <c r="AH172" s="79"/>
      <c r="AI172" s="79"/>
      <c r="AJ172" s="70" t="str">
        <f>IF(tblTarget[[#This Row],[Target to PiN (%)]]&gt;Targ_vs_PiN,"Flagged","")</f>
        <v/>
      </c>
      <c r="AK172" s="69" t="str">
        <f>IF(AND(tblTarget[[#This Row],[Qualifies for exception]]="Flagged",tblTarget[[#This Row],[Target to PiN (%)]]&gt;Targ_severity5),"Flagged","")</f>
        <v/>
      </c>
      <c r="AL172" s="68" t="str">
        <f>IFERROR(IF(AND(tblTarget[[#This Row],[Intercluser Severity]]=4,tblTarget[[#This Row],[Qualifies for exception]]="Flagged",(tblTarget[[#This Row],[Cluster Target]]-tblTarget[[#This Row],[2024 Response capacity up to December]])/tblTarget[[#This Row],[Cluster Target]]&gt;Diff_severity4),"Flagged",""),"No target")</f>
        <v/>
      </c>
      <c r="AM172" s="68" t="str">
        <f>IFERROR(IF(AND(tblTarget[[#This Row],[Intercluser Severity]]=3,tblTarget[[#This Row],[Qualifies for exception]]="Flagged",(tblTarget[[#This Row],[Cluster Target]]-tblTarget[[#This Row],[2024 Response capacity up to December]])/tblTarget[[#This Row],[Cluster Target]]&gt;Diff_severity3),"Flagged",""),"No target")</f>
        <v>Flagged</v>
      </c>
      <c r="AN172" s="81" t="s">
        <v>1099</v>
      </c>
      <c r="AO172" s="81"/>
      <c r="AP172" s="81" t="s">
        <v>1099</v>
      </c>
      <c r="AQ172" s="81" t="s">
        <v>1107</v>
      </c>
    </row>
    <row r="173" spans="1:43" ht="15.95" hidden="1" customHeight="1" x14ac:dyDescent="0.2">
      <c r="A173" s="62" t="s">
        <v>610</v>
      </c>
      <c r="B173" s="63" t="s">
        <v>374</v>
      </c>
      <c r="C173" s="64" t="s">
        <v>375</v>
      </c>
      <c r="D173" s="63" t="s">
        <v>388</v>
      </c>
      <c r="E173" s="64" t="s">
        <v>389</v>
      </c>
      <c r="F173" s="65">
        <v>19265</v>
      </c>
      <c r="G173" s="66" t="s">
        <v>30</v>
      </c>
      <c r="H173" s="67">
        <v>9616</v>
      </c>
      <c r="I173" s="68">
        <v>3</v>
      </c>
      <c r="J173" s="68">
        <v>3</v>
      </c>
      <c r="K173" s="91">
        <v>344.6</v>
      </c>
      <c r="L173" s="91">
        <v>170.04759383226778</v>
      </c>
      <c r="M173" s="91">
        <v>174.55240616773224</v>
      </c>
      <c r="N173" s="91">
        <v>172.3</v>
      </c>
      <c r="O173" s="91">
        <v>151.62400000000002</v>
      </c>
      <c r="P173" s="91">
        <v>20.676000000000002</v>
      </c>
      <c r="Q173" s="85">
        <v>51.690000000000005</v>
      </c>
      <c r="R173" s="69" t="s">
        <v>1107</v>
      </c>
      <c r="S173" s="86">
        <v>50</v>
      </c>
      <c r="T173" s="69">
        <v>12</v>
      </c>
      <c r="U173" s="68">
        <v>0</v>
      </c>
      <c r="V173" s="68">
        <v>0</v>
      </c>
      <c r="W173" s="68">
        <v>3</v>
      </c>
      <c r="X173" s="68">
        <v>7</v>
      </c>
      <c r="Y173" s="68">
        <v>21</v>
      </c>
      <c r="Z173" s="68">
        <v>3</v>
      </c>
      <c r="AA173" s="68">
        <v>0</v>
      </c>
      <c r="AB173" s="69">
        <v>0</v>
      </c>
      <c r="AC173" s="69">
        <v>0</v>
      </c>
      <c r="AD173" s="70">
        <f>IFERROR(tblTarget[[#This Row],[Cluster Target]]/tblTarget[[#This Row],[Cluster PiN]],0)</f>
        <v>3.5836106489184692E-2</v>
      </c>
      <c r="AE173" s="79">
        <f>_xlfn.XLOOKUP(tblTarget[[#This Row],[ID]],tblResponse[ID],tblResponse[2024 Projected reached (Dec 2024)])</f>
        <v>0</v>
      </c>
      <c r="AF173" s="79">
        <f>_xlfn.XLOOKUP(tblTarget[[#This Row],[ID]],tblResponse[ID],tblResponse[2024 Intercluster reached -August RPM])</f>
        <v>37100.465713871083</v>
      </c>
      <c r="AG173" s="79">
        <v>2</v>
      </c>
      <c r="AH173" s="79"/>
      <c r="AI173" s="79"/>
      <c r="AJ173" s="70" t="str">
        <f>IF(tblTarget[[#This Row],[Target to PiN (%)]]&gt;Targ_vs_PiN,"Flagged","")</f>
        <v/>
      </c>
      <c r="AK173" s="69" t="str">
        <f>IF(AND(tblTarget[[#This Row],[Qualifies for exception]]="Flagged",tblTarget[[#This Row],[Target to PiN (%)]]&gt;Targ_severity5),"Flagged","")</f>
        <v/>
      </c>
      <c r="AL173" s="68" t="str">
        <f>IFERROR(IF(AND(tblTarget[[#This Row],[Intercluser Severity]]=4,tblTarget[[#This Row],[Qualifies for exception]]="Flagged",(tblTarget[[#This Row],[Cluster Target]]-tblTarget[[#This Row],[2024 Response capacity up to December]])/tblTarget[[#This Row],[Cluster Target]]&gt;Diff_severity4),"Flagged",""),"No target")</f>
        <v/>
      </c>
      <c r="AM173" s="68" t="str">
        <f>IFERROR(IF(AND(tblTarget[[#This Row],[Intercluser Severity]]=3,tblTarget[[#This Row],[Qualifies for exception]]="Flagged",(tblTarget[[#This Row],[Cluster Target]]-tblTarget[[#This Row],[2024 Response capacity up to December]])/tblTarget[[#This Row],[Cluster Target]]&gt;Diff_severity3),"Flagged",""),"No target")</f>
        <v>Flagged</v>
      </c>
      <c r="AN173" s="81" t="s">
        <v>1099</v>
      </c>
      <c r="AO173" s="81"/>
      <c r="AP173" s="81" t="s">
        <v>1099</v>
      </c>
      <c r="AQ173" s="81" t="s">
        <v>1107</v>
      </c>
    </row>
    <row r="174" spans="1:43" ht="15.95" hidden="1" customHeight="1" x14ac:dyDescent="0.2">
      <c r="A174" s="62" t="s">
        <v>611</v>
      </c>
      <c r="B174" s="63" t="s">
        <v>390</v>
      </c>
      <c r="C174" s="64" t="s">
        <v>391</v>
      </c>
      <c r="D174" s="63" t="s">
        <v>392</v>
      </c>
      <c r="E174" s="64" t="s">
        <v>393</v>
      </c>
      <c r="F174" s="65">
        <v>36548</v>
      </c>
      <c r="G174" s="66" t="s">
        <v>30</v>
      </c>
      <c r="H174" s="67">
        <v>12026</v>
      </c>
      <c r="I174" s="68">
        <v>3</v>
      </c>
      <c r="J174" s="68">
        <v>3</v>
      </c>
      <c r="K174" s="91">
        <v>476.6</v>
      </c>
      <c r="L174" s="91">
        <v>238.89310072307347</v>
      </c>
      <c r="M174" s="91">
        <v>237.70689927692655</v>
      </c>
      <c r="N174" s="91">
        <v>238.3</v>
      </c>
      <c r="O174" s="91">
        <v>209.70400000000001</v>
      </c>
      <c r="P174" s="91">
        <v>28.596</v>
      </c>
      <c r="Q174" s="85">
        <v>71.489999999999995</v>
      </c>
      <c r="R174" s="69" t="s">
        <v>1107</v>
      </c>
      <c r="S174" s="86">
        <v>69</v>
      </c>
      <c r="T174" s="69">
        <v>17</v>
      </c>
      <c r="U174" s="68">
        <v>0</v>
      </c>
      <c r="V174" s="68">
        <v>0</v>
      </c>
      <c r="W174" s="68">
        <v>5</v>
      </c>
      <c r="X174" s="68">
        <v>10</v>
      </c>
      <c r="Y174" s="68">
        <v>29</v>
      </c>
      <c r="Z174" s="68">
        <v>5</v>
      </c>
      <c r="AA174" s="68">
        <v>2.1082435946099936</v>
      </c>
      <c r="AB174" s="69">
        <v>0</v>
      </c>
      <c r="AC174" s="69">
        <v>0</v>
      </c>
      <c r="AD174" s="70">
        <f>IFERROR(tblTarget[[#This Row],[Cluster Target]]/tblTarget[[#This Row],[Cluster PiN]],0)</f>
        <v>3.963079993347747E-2</v>
      </c>
      <c r="AE174" s="79">
        <f>_xlfn.XLOOKUP(tblTarget[[#This Row],[ID]],tblResponse[ID],tblResponse[2024 Projected reached (Dec 2024)])</f>
        <v>80</v>
      </c>
      <c r="AF174" s="79">
        <f>_xlfn.XLOOKUP(tblTarget[[#This Row],[ID]],tblResponse[ID],tblResponse[2024 Intercluster reached -August RPM])</f>
        <v>67596.337697280091</v>
      </c>
      <c r="AG174" s="79">
        <v>5</v>
      </c>
      <c r="AH174" s="79"/>
      <c r="AI174" s="79"/>
      <c r="AJ174" s="70" t="str">
        <f>IF(tblTarget[[#This Row],[Target to PiN (%)]]&gt;Targ_vs_PiN,"Flagged","")</f>
        <v/>
      </c>
      <c r="AK174" s="69" t="str">
        <f>IF(AND(tblTarget[[#This Row],[Qualifies for exception]]="Flagged",tblTarget[[#This Row],[Target to PiN (%)]]&gt;Targ_severity5),"Flagged","")</f>
        <v/>
      </c>
      <c r="AL174" s="68" t="str">
        <f>IFERROR(IF(AND(tblTarget[[#This Row],[Intercluser Severity]]=4,tblTarget[[#This Row],[Qualifies for exception]]="Flagged",(tblTarget[[#This Row],[Cluster Target]]-tblTarget[[#This Row],[2024 Response capacity up to December]])/tblTarget[[#This Row],[Cluster Target]]&gt;Diff_severity4),"Flagged",""),"No target")</f>
        <v/>
      </c>
      <c r="AM174" s="68" t="str">
        <f>IFERROR(IF(AND(tblTarget[[#This Row],[Intercluser Severity]]=3,tblTarget[[#This Row],[Qualifies for exception]]="Flagged",(tblTarget[[#This Row],[Cluster Target]]-tblTarget[[#This Row],[2024 Response capacity up to December]])/tblTarget[[#This Row],[Cluster Target]]&gt;Diff_severity3),"Flagged",""),"No target")</f>
        <v>Flagged</v>
      </c>
      <c r="AN174" s="81" t="s">
        <v>1099</v>
      </c>
      <c r="AO174" s="81"/>
      <c r="AP174" s="81" t="s">
        <v>1099</v>
      </c>
      <c r="AQ174" s="81" t="s">
        <v>1107</v>
      </c>
    </row>
    <row r="175" spans="1:43" ht="15.95" customHeight="1" x14ac:dyDescent="0.2">
      <c r="A175" s="62" t="s">
        <v>612</v>
      </c>
      <c r="B175" s="63" t="s">
        <v>390</v>
      </c>
      <c r="C175" s="64" t="s">
        <v>391</v>
      </c>
      <c r="D175" s="63" t="s">
        <v>394</v>
      </c>
      <c r="E175" s="64" t="s">
        <v>395</v>
      </c>
      <c r="F175" s="65">
        <v>40452</v>
      </c>
      <c r="G175" s="66" t="s">
        <v>30</v>
      </c>
      <c r="H175" s="67">
        <v>17498</v>
      </c>
      <c r="I175" s="68">
        <v>3</v>
      </c>
      <c r="J175" s="68">
        <v>3</v>
      </c>
      <c r="K175" s="91">
        <v>698.6</v>
      </c>
      <c r="L175" s="91">
        <v>369.29294990190914</v>
      </c>
      <c r="M175" s="91">
        <v>329.30705009809083</v>
      </c>
      <c r="N175" s="91">
        <v>349.3</v>
      </c>
      <c r="O175" s="91">
        <v>307.38400000000001</v>
      </c>
      <c r="P175" s="91">
        <v>41.915999999999997</v>
      </c>
      <c r="Q175" s="85">
        <v>104.79</v>
      </c>
      <c r="R175" s="69" t="s">
        <v>15</v>
      </c>
      <c r="S175" s="86">
        <v>101</v>
      </c>
      <c r="T175" s="69">
        <v>25</v>
      </c>
      <c r="U175" s="68">
        <v>0</v>
      </c>
      <c r="V175" s="68">
        <v>0</v>
      </c>
      <c r="W175" s="68">
        <v>7</v>
      </c>
      <c r="X175" s="68">
        <v>14</v>
      </c>
      <c r="Y175" s="68">
        <v>42</v>
      </c>
      <c r="Z175" s="68">
        <v>7</v>
      </c>
      <c r="AA175" s="68">
        <v>0</v>
      </c>
      <c r="AB175" s="69">
        <v>0</v>
      </c>
      <c r="AC175" s="69">
        <v>0</v>
      </c>
      <c r="AD175" s="70">
        <f>IFERROR(tblTarget[[#This Row],[Cluster Target]]/tblTarget[[#This Row],[Cluster PiN]],0)</f>
        <v>3.9924562807177967E-2</v>
      </c>
      <c r="AE175" s="79">
        <f>_xlfn.XLOOKUP(tblTarget[[#This Row],[ID]],tblResponse[ID],tblResponse[2024 Projected reached (Dec 2024)])</f>
        <v>0</v>
      </c>
      <c r="AF175" s="79">
        <f>_xlfn.XLOOKUP(tblTarget[[#This Row],[ID]],tblResponse[ID],tblResponse[2024 Intercluster reached -August RPM])</f>
        <v>16229.529742111103</v>
      </c>
      <c r="AG175" s="79">
        <v>3</v>
      </c>
      <c r="AH175" s="79"/>
      <c r="AI175" s="79"/>
      <c r="AJ175" s="70" t="str">
        <f>IF(tblTarget[[#This Row],[Target to PiN (%)]]&gt;Targ_vs_PiN,"Flagged","")</f>
        <v/>
      </c>
      <c r="AK175" s="69" t="str">
        <f>IF(AND(tblTarget[[#This Row],[Qualifies for exception]]="Flagged",tblTarget[[#This Row],[Target to PiN (%)]]&gt;Targ_severity5),"Flagged","")</f>
        <v/>
      </c>
      <c r="AL175" s="68" t="str">
        <f>IFERROR(IF(AND(tblTarget[[#This Row],[Intercluser Severity]]=4,tblTarget[[#This Row],[Qualifies for exception]]="Flagged",(tblTarget[[#This Row],[Cluster Target]]-tblTarget[[#This Row],[2024 Response capacity up to December]])/tblTarget[[#This Row],[Cluster Target]]&gt;Diff_severity4),"Flagged",""),"No target")</f>
        <v/>
      </c>
      <c r="AM175" s="68" t="str">
        <f>IFERROR(IF(AND(tblTarget[[#This Row],[Intercluser Severity]]=3,tblTarget[[#This Row],[Qualifies for exception]]="Flagged",(tblTarget[[#This Row],[Cluster Target]]-tblTarget[[#This Row],[2024 Response capacity up to December]])/tblTarget[[#This Row],[Cluster Target]]&gt;Diff_severity3),"Flagged",""),"No target")</f>
        <v>Flagged</v>
      </c>
      <c r="AN175" s="81" t="s">
        <v>1099</v>
      </c>
      <c r="AO175" s="81"/>
      <c r="AP175" s="81" t="s">
        <v>1099</v>
      </c>
      <c r="AQ175" s="81" t="s">
        <v>1107</v>
      </c>
    </row>
    <row r="176" spans="1:43" ht="15.95" hidden="1" customHeight="1" x14ac:dyDescent="0.2">
      <c r="A176" s="62" t="s">
        <v>613</v>
      </c>
      <c r="B176" s="63" t="s">
        <v>390</v>
      </c>
      <c r="C176" s="64" t="s">
        <v>391</v>
      </c>
      <c r="D176" s="63" t="s">
        <v>396</v>
      </c>
      <c r="E176" s="64" t="s">
        <v>397</v>
      </c>
      <c r="F176" s="65">
        <v>60564</v>
      </c>
      <c r="G176" s="66" t="s">
        <v>30</v>
      </c>
      <c r="H176" s="67">
        <v>14739</v>
      </c>
      <c r="I176" s="68">
        <v>3</v>
      </c>
      <c r="J176" s="68">
        <v>3</v>
      </c>
      <c r="K176" s="91">
        <v>581.80000000000007</v>
      </c>
      <c r="L176" s="91">
        <v>299.82516900676029</v>
      </c>
      <c r="M176" s="91">
        <v>281.97483099323978</v>
      </c>
      <c r="N176" s="91">
        <v>290.90000000000003</v>
      </c>
      <c r="O176" s="91">
        <v>255.99200000000002</v>
      </c>
      <c r="P176" s="91">
        <v>34.908000000000001</v>
      </c>
      <c r="Q176" s="85">
        <v>87.27000000000001</v>
      </c>
      <c r="R176" s="69" t="s">
        <v>1107</v>
      </c>
      <c r="S176" s="86">
        <v>84</v>
      </c>
      <c r="T176" s="69">
        <v>21</v>
      </c>
      <c r="U176" s="68">
        <v>0</v>
      </c>
      <c r="V176" s="68">
        <v>0</v>
      </c>
      <c r="W176" s="68">
        <v>6</v>
      </c>
      <c r="X176" s="68">
        <v>12</v>
      </c>
      <c r="Y176" s="68">
        <v>35</v>
      </c>
      <c r="Z176" s="68">
        <v>6</v>
      </c>
      <c r="AA176" s="68">
        <v>0</v>
      </c>
      <c r="AB176" s="69">
        <v>0</v>
      </c>
      <c r="AC176" s="69">
        <v>0</v>
      </c>
      <c r="AD176" s="70">
        <f>IFERROR(tblTarget[[#This Row],[Cluster Target]]/tblTarget[[#This Row],[Cluster PiN]],0)</f>
        <v>3.9473505665241881E-2</v>
      </c>
      <c r="AE176" s="79">
        <f>_xlfn.XLOOKUP(tblTarget[[#This Row],[ID]],tblResponse[ID],tblResponse[2024 Projected reached (Dec 2024)])</f>
        <v>135</v>
      </c>
      <c r="AF176" s="79">
        <f>_xlfn.XLOOKUP(tblTarget[[#This Row],[ID]],tblResponse[ID],tblResponse[2024 Intercluster reached -August RPM])</f>
        <v>30070.491370260603</v>
      </c>
      <c r="AG176" s="79">
        <v>3</v>
      </c>
      <c r="AH176" s="79"/>
      <c r="AI176" s="79"/>
      <c r="AJ176" s="70" t="str">
        <f>IF(tblTarget[[#This Row],[Target to PiN (%)]]&gt;Targ_vs_PiN,"Flagged","")</f>
        <v/>
      </c>
      <c r="AK176" s="69" t="str">
        <f>IF(AND(tblTarget[[#This Row],[Qualifies for exception]]="Flagged",tblTarget[[#This Row],[Target to PiN (%)]]&gt;Targ_severity5),"Flagged","")</f>
        <v/>
      </c>
      <c r="AL176" s="68" t="str">
        <f>IFERROR(IF(AND(tblTarget[[#This Row],[Intercluser Severity]]=4,tblTarget[[#This Row],[Qualifies for exception]]="Flagged",(tblTarget[[#This Row],[Cluster Target]]-tblTarget[[#This Row],[2024 Response capacity up to December]])/tblTarget[[#This Row],[Cluster Target]]&gt;Diff_severity4),"Flagged",""),"No target")</f>
        <v/>
      </c>
      <c r="AM176" s="68" t="str">
        <f>IFERROR(IF(AND(tblTarget[[#This Row],[Intercluser Severity]]=3,tblTarget[[#This Row],[Qualifies for exception]]="Flagged",(tblTarget[[#This Row],[Cluster Target]]-tblTarget[[#This Row],[2024 Response capacity up to December]])/tblTarget[[#This Row],[Cluster Target]]&gt;Diff_severity3),"Flagged",""),"No target")</f>
        <v>Flagged</v>
      </c>
      <c r="AN176" s="81" t="s">
        <v>1099</v>
      </c>
      <c r="AO176" s="81"/>
      <c r="AP176" s="81" t="s">
        <v>1099</v>
      </c>
      <c r="AQ176" s="81" t="s">
        <v>1107</v>
      </c>
    </row>
    <row r="177" spans="1:43" ht="15.95" hidden="1" customHeight="1" x14ac:dyDescent="0.2">
      <c r="A177" s="62" t="s">
        <v>614</v>
      </c>
      <c r="B177" s="63" t="s">
        <v>390</v>
      </c>
      <c r="C177" s="64" t="s">
        <v>391</v>
      </c>
      <c r="D177" s="63" t="s">
        <v>398</v>
      </c>
      <c r="E177" s="64" t="s">
        <v>399</v>
      </c>
      <c r="F177" s="65">
        <v>63604</v>
      </c>
      <c r="G177" s="66" t="s">
        <v>30</v>
      </c>
      <c r="H177" s="67">
        <v>31128</v>
      </c>
      <c r="I177" s="68">
        <v>3</v>
      </c>
      <c r="J177" s="68">
        <v>3</v>
      </c>
      <c r="K177" s="91">
        <v>1103</v>
      </c>
      <c r="L177" s="91">
        <v>566.56890009082008</v>
      </c>
      <c r="M177" s="91">
        <v>536.43109990917981</v>
      </c>
      <c r="N177" s="91">
        <v>551.5</v>
      </c>
      <c r="O177" s="91">
        <v>485.32</v>
      </c>
      <c r="P177" s="91">
        <v>66.179999999999993</v>
      </c>
      <c r="Q177" s="85">
        <v>165.45</v>
      </c>
      <c r="R177" s="69" t="s">
        <v>1107</v>
      </c>
      <c r="S177" s="86">
        <v>159</v>
      </c>
      <c r="T177" s="69">
        <v>40</v>
      </c>
      <c r="U177" s="68">
        <v>0</v>
      </c>
      <c r="V177" s="68">
        <v>0</v>
      </c>
      <c r="W177" s="68">
        <v>11</v>
      </c>
      <c r="X177" s="68">
        <v>22</v>
      </c>
      <c r="Y177" s="68">
        <v>66</v>
      </c>
      <c r="Z177" s="68">
        <v>11</v>
      </c>
      <c r="AA177" s="68">
        <v>6.0612003345037317</v>
      </c>
      <c r="AB177" s="69">
        <v>0</v>
      </c>
      <c r="AC177" s="69">
        <v>0</v>
      </c>
      <c r="AD177" s="70">
        <f>IFERROR(tblTarget[[#This Row],[Cluster Target]]/tblTarget[[#This Row],[Cluster PiN]],0)</f>
        <v>3.5434335646363405E-2</v>
      </c>
      <c r="AE177" s="79">
        <f>_xlfn.XLOOKUP(tblTarget[[#This Row],[ID]],tblResponse[ID],tblResponse[2024 Projected reached (Dec 2024)])</f>
        <v>165</v>
      </c>
      <c r="AF177" s="79">
        <f>_xlfn.XLOOKUP(tblTarget[[#This Row],[ID]],tblResponse[ID],tblResponse[2024 Intercluster reached -August RPM])</f>
        <v>84626.254645709909</v>
      </c>
      <c r="AG177" s="79">
        <v>6</v>
      </c>
      <c r="AH177" s="79"/>
      <c r="AI177" s="79"/>
      <c r="AJ177" s="70" t="str">
        <f>IF(tblTarget[[#This Row],[Target to PiN (%)]]&gt;Targ_vs_PiN,"Flagged","")</f>
        <v/>
      </c>
      <c r="AK177" s="69" t="str">
        <f>IF(AND(tblTarget[[#This Row],[Qualifies for exception]]="Flagged",tblTarget[[#This Row],[Target to PiN (%)]]&gt;Targ_severity5),"Flagged","")</f>
        <v/>
      </c>
      <c r="AL177" s="68" t="str">
        <f>IFERROR(IF(AND(tblTarget[[#This Row],[Intercluser Severity]]=4,tblTarget[[#This Row],[Qualifies for exception]]="Flagged",(tblTarget[[#This Row],[Cluster Target]]-tblTarget[[#This Row],[2024 Response capacity up to December]])/tblTarget[[#This Row],[Cluster Target]]&gt;Diff_severity4),"Flagged",""),"No target")</f>
        <v/>
      </c>
      <c r="AM177" s="68" t="str">
        <f>IFERROR(IF(AND(tblTarget[[#This Row],[Intercluser Severity]]=3,tblTarget[[#This Row],[Qualifies for exception]]="Flagged",(tblTarget[[#This Row],[Cluster Target]]-tblTarget[[#This Row],[2024 Response capacity up to December]])/tblTarget[[#This Row],[Cluster Target]]&gt;Diff_severity3),"Flagged",""),"No target")</f>
        <v>Flagged</v>
      </c>
      <c r="AN177" s="81" t="s">
        <v>1099</v>
      </c>
      <c r="AO177" s="81"/>
      <c r="AP177" s="81" t="s">
        <v>1099</v>
      </c>
      <c r="AQ177" s="81" t="s">
        <v>1107</v>
      </c>
    </row>
    <row r="178" spans="1:43" ht="15.95" hidden="1" customHeight="1" x14ac:dyDescent="0.2">
      <c r="A178" s="62" t="s">
        <v>615</v>
      </c>
      <c r="B178" s="63" t="s">
        <v>390</v>
      </c>
      <c r="C178" s="64" t="s">
        <v>391</v>
      </c>
      <c r="D178" s="63" t="s">
        <v>400</v>
      </c>
      <c r="E178" s="64" t="s">
        <v>401</v>
      </c>
      <c r="F178" s="65">
        <v>61040</v>
      </c>
      <c r="G178" s="66" t="s">
        <v>30</v>
      </c>
      <c r="H178" s="67">
        <v>14741</v>
      </c>
      <c r="I178" s="68">
        <v>3</v>
      </c>
      <c r="J178" s="68">
        <v>3</v>
      </c>
      <c r="K178" s="91">
        <v>1167.8</v>
      </c>
      <c r="L178" s="91">
        <v>611.90550181312244</v>
      </c>
      <c r="M178" s="91">
        <v>555.89449818687763</v>
      </c>
      <c r="N178" s="91">
        <v>583.9</v>
      </c>
      <c r="O178" s="91">
        <v>513.83199999999999</v>
      </c>
      <c r="P178" s="91">
        <v>70.067999999999998</v>
      </c>
      <c r="Q178" s="85">
        <v>175.17</v>
      </c>
      <c r="R178" s="69" t="s">
        <v>1107</v>
      </c>
      <c r="S178" s="86">
        <v>168</v>
      </c>
      <c r="T178" s="69">
        <v>42</v>
      </c>
      <c r="U178" s="68">
        <v>0</v>
      </c>
      <c r="V178" s="68">
        <v>0</v>
      </c>
      <c r="W178" s="68">
        <v>12</v>
      </c>
      <c r="X178" s="68">
        <v>23</v>
      </c>
      <c r="Y178" s="68">
        <v>70</v>
      </c>
      <c r="Z178" s="68">
        <v>12</v>
      </c>
      <c r="AA178" s="68">
        <v>0</v>
      </c>
      <c r="AB178" s="69">
        <v>0</v>
      </c>
      <c r="AC178" s="69">
        <v>0</v>
      </c>
      <c r="AD178" s="70">
        <f>IFERROR(tblTarget[[#This Row],[Cluster Target]]/tblTarget[[#This Row],[Cluster PiN]],0)</f>
        <v>7.9221219727291223E-2</v>
      </c>
      <c r="AE178" s="79">
        <f>_xlfn.XLOOKUP(tblTarget[[#This Row],[ID]],tblResponse[ID],tblResponse[2024 Projected reached (Dec 2024)])</f>
        <v>0</v>
      </c>
      <c r="AF178" s="79">
        <f>_xlfn.XLOOKUP(tblTarget[[#This Row],[ID]],tblResponse[ID],tblResponse[2024 Intercluster reached -August RPM])</f>
        <v>30034.809772776116</v>
      </c>
      <c r="AG178" s="79">
        <v>3</v>
      </c>
      <c r="AH178" s="79"/>
      <c r="AI178" s="79"/>
      <c r="AJ178" s="70" t="str">
        <f>IF(tblTarget[[#This Row],[Target to PiN (%)]]&gt;Targ_vs_PiN,"Flagged","")</f>
        <v/>
      </c>
      <c r="AK178" s="69" t="str">
        <f>IF(AND(tblTarget[[#This Row],[Qualifies for exception]]="Flagged",tblTarget[[#This Row],[Target to PiN (%)]]&gt;Targ_severity5),"Flagged","")</f>
        <v/>
      </c>
      <c r="AL178" s="68" t="str">
        <f>IFERROR(IF(AND(tblTarget[[#This Row],[Intercluser Severity]]=4,tblTarget[[#This Row],[Qualifies for exception]]="Flagged",(tblTarget[[#This Row],[Cluster Target]]-tblTarget[[#This Row],[2024 Response capacity up to December]])/tblTarget[[#This Row],[Cluster Target]]&gt;Diff_severity4),"Flagged",""),"No target")</f>
        <v/>
      </c>
      <c r="AM178" s="68" t="str">
        <f>IFERROR(IF(AND(tblTarget[[#This Row],[Intercluser Severity]]=3,tblTarget[[#This Row],[Qualifies for exception]]="Flagged",(tblTarget[[#This Row],[Cluster Target]]-tblTarget[[#This Row],[2024 Response capacity up to December]])/tblTarget[[#This Row],[Cluster Target]]&gt;Diff_severity3),"Flagged",""),"No target")</f>
        <v>Flagged</v>
      </c>
      <c r="AN178" s="81" t="s">
        <v>1099</v>
      </c>
      <c r="AO178" s="81"/>
      <c r="AP178" s="81" t="s">
        <v>1099</v>
      </c>
      <c r="AQ178" s="81" t="s">
        <v>1107</v>
      </c>
    </row>
    <row r="179" spans="1:43" ht="15.95" hidden="1" customHeight="1" x14ac:dyDescent="0.2">
      <c r="A179" s="62" t="s">
        <v>616</v>
      </c>
      <c r="B179" s="63" t="s">
        <v>390</v>
      </c>
      <c r="C179" s="64" t="s">
        <v>391</v>
      </c>
      <c r="D179" s="63" t="s">
        <v>402</v>
      </c>
      <c r="E179" s="64" t="s">
        <v>403</v>
      </c>
      <c r="F179" s="65">
        <v>67094</v>
      </c>
      <c r="G179" s="66" t="s">
        <v>30</v>
      </c>
      <c r="H179" s="67">
        <v>17937</v>
      </c>
      <c r="I179" s="68">
        <v>3</v>
      </c>
      <c r="J179" s="68">
        <v>3</v>
      </c>
      <c r="K179" s="91">
        <v>354.6</v>
      </c>
      <c r="L179" s="91">
        <v>181.0850305644077</v>
      </c>
      <c r="M179" s="91">
        <v>173.51496943559235</v>
      </c>
      <c r="N179" s="91">
        <v>177.3</v>
      </c>
      <c r="O179" s="91">
        <v>156.024</v>
      </c>
      <c r="P179" s="91">
        <v>21.276</v>
      </c>
      <c r="Q179" s="85">
        <v>53.190000000000005</v>
      </c>
      <c r="R179" s="69" t="s">
        <v>1107</v>
      </c>
      <c r="S179" s="86">
        <v>51</v>
      </c>
      <c r="T179" s="69">
        <v>13</v>
      </c>
      <c r="U179" s="68">
        <v>0</v>
      </c>
      <c r="V179" s="68">
        <v>0</v>
      </c>
      <c r="W179" s="68">
        <v>4</v>
      </c>
      <c r="X179" s="68">
        <v>7</v>
      </c>
      <c r="Y179" s="68">
        <v>21</v>
      </c>
      <c r="Z179" s="68">
        <v>4</v>
      </c>
      <c r="AA179" s="68">
        <v>0</v>
      </c>
      <c r="AB179" s="69">
        <v>0</v>
      </c>
      <c r="AC179" s="69">
        <v>0</v>
      </c>
      <c r="AD179" s="70">
        <f>IFERROR(tblTarget[[#This Row],[Cluster Target]]/tblTarget[[#This Row],[Cluster PiN]],0)</f>
        <v>1.9769192172604116E-2</v>
      </c>
      <c r="AE179" s="79">
        <f>_xlfn.XLOOKUP(tblTarget[[#This Row],[ID]],tblResponse[ID],tblResponse[2024 Projected reached (Dec 2024)])</f>
        <v>0</v>
      </c>
      <c r="AF179" s="79">
        <f>_xlfn.XLOOKUP(tblTarget[[#This Row],[ID]],tblResponse[ID],tblResponse[2024 Intercluster reached -August RPM])</f>
        <v>56931.03824525002</v>
      </c>
      <c r="AG179" s="79">
        <v>4</v>
      </c>
      <c r="AH179" s="79"/>
      <c r="AI179" s="79"/>
      <c r="AJ179" s="70" t="str">
        <f>IF(tblTarget[[#This Row],[Target to PiN (%)]]&gt;Targ_vs_PiN,"Flagged","")</f>
        <v/>
      </c>
      <c r="AK179" s="69" t="str">
        <f>IF(AND(tblTarget[[#This Row],[Qualifies for exception]]="Flagged",tblTarget[[#This Row],[Target to PiN (%)]]&gt;Targ_severity5),"Flagged","")</f>
        <v/>
      </c>
      <c r="AL179" s="68" t="str">
        <f>IFERROR(IF(AND(tblTarget[[#This Row],[Intercluser Severity]]=4,tblTarget[[#This Row],[Qualifies for exception]]="Flagged",(tblTarget[[#This Row],[Cluster Target]]-tblTarget[[#This Row],[2024 Response capacity up to December]])/tblTarget[[#This Row],[Cluster Target]]&gt;Diff_severity4),"Flagged",""),"No target")</f>
        <v/>
      </c>
      <c r="AM179" s="68" t="str">
        <f>IFERROR(IF(AND(tblTarget[[#This Row],[Intercluser Severity]]=3,tblTarget[[#This Row],[Qualifies for exception]]="Flagged",(tblTarget[[#This Row],[Cluster Target]]-tblTarget[[#This Row],[2024 Response capacity up to December]])/tblTarget[[#This Row],[Cluster Target]]&gt;Diff_severity3),"Flagged",""),"No target")</f>
        <v>Flagged</v>
      </c>
      <c r="AN179" s="81" t="s">
        <v>1099</v>
      </c>
      <c r="AO179" s="81"/>
      <c r="AP179" s="81" t="s">
        <v>1099</v>
      </c>
      <c r="AQ179" s="81" t="s">
        <v>1107</v>
      </c>
    </row>
    <row r="180" spans="1:43" ht="15.95" hidden="1" customHeight="1" x14ac:dyDescent="0.2">
      <c r="A180" s="62" t="s">
        <v>617</v>
      </c>
      <c r="B180" s="63" t="s">
        <v>390</v>
      </c>
      <c r="C180" s="64" t="s">
        <v>391</v>
      </c>
      <c r="D180" s="63" t="s">
        <v>404</v>
      </c>
      <c r="E180" s="64" t="s">
        <v>405</v>
      </c>
      <c r="F180" s="65">
        <v>79787</v>
      </c>
      <c r="G180" s="66" t="s">
        <v>30</v>
      </c>
      <c r="H180" s="67">
        <v>21214</v>
      </c>
      <c r="I180" s="68">
        <v>3</v>
      </c>
      <c r="J180" s="68">
        <v>3</v>
      </c>
      <c r="K180" s="91">
        <v>1688.6000000000001</v>
      </c>
      <c r="L180" s="91">
        <v>858.26394532003872</v>
      </c>
      <c r="M180" s="91">
        <v>830.33605467996142</v>
      </c>
      <c r="N180" s="91">
        <v>844.30000000000007</v>
      </c>
      <c r="O180" s="91">
        <v>742.98400000000004</v>
      </c>
      <c r="P180" s="91">
        <v>101.316</v>
      </c>
      <c r="Q180" s="85">
        <v>253.29000000000002</v>
      </c>
      <c r="R180" s="69" t="s">
        <v>1107</v>
      </c>
      <c r="S180" s="86">
        <v>243</v>
      </c>
      <c r="T180" s="69">
        <v>61</v>
      </c>
      <c r="U180" s="68">
        <v>0</v>
      </c>
      <c r="V180" s="68">
        <v>0</v>
      </c>
      <c r="W180" s="68">
        <v>17</v>
      </c>
      <c r="X180" s="68">
        <v>34</v>
      </c>
      <c r="Y180" s="68">
        <v>101</v>
      </c>
      <c r="Z180" s="68">
        <v>17</v>
      </c>
      <c r="AA180" s="68">
        <v>7.9059134797874755</v>
      </c>
      <c r="AB180" s="69">
        <v>0</v>
      </c>
      <c r="AC180" s="69">
        <v>0</v>
      </c>
      <c r="AD180" s="70">
        <f>IFERROR(tblTarget[[#This Row],[Cluster Target]]/tblTarget[[#This Row],[Cluster PiN]],0)</f>
        <v>7.9598378429339117E-2</v>
      </c>
      <c r="AE180" s="79">
        <f>_xlfn.XLOOKUP(tblTarget[[#This Row],[ID]],tblResponse[ID],tblResponse[2024 Projected reached (Dec 2024)])</f>
        <v>0</v>
      </c>
      <c r="AF180" s="79">
        <f>_xlfn.XLOOKUP(tblTarget[[#This Row],[ID]],tblResponse[ID],tblResponse[2024 Intercluster reached -August RPM])</f>
        <v>56386.718973819989</v>
      </c>
      <c r="AG180" s="79">
        <v>6</v>
      </c>
      <c r="AH180" s="79"/>
      <c r="AI180" s="79"/>
      <c r="AJ180" s="70" t="str">
        <f>IF(tblTarget[[#This Row],[Target to PiN (%)]]&gt;Targ_vs_PiN,"Flagged","")</f>
        <v/>
      </c>
      <c r="AK180" s="69" t="str">
        <f>IF(AND(tblTarget[[#This Row],[Qualifies for exception]]="Flagged",tblTarget[[#This Row],[Target to PiN (%)]]&gt;Targ_severity5),"Flagged","")</f>
        <v/>
      </c>
      <c r="AL180" s="68" t="str">
        <f>IFERROR(IF(AND(tblTarget[[#This Row],[Intercluser Severity]]=4,tblTarget[[#This Row],[Qualifies for exception]]="Flagged",(tblTarget[[#This Row],[Cluster Target]]-tblTarget[[#This Row],[2024 Response capacity up to December]])/tblTarget[[#This Row],[Cluster Target]]&gt;Diff_severity4),"Flagged",""),"No target")</f>
        <v/>
      </c>
      <c r="AM180" s="68" t="str">
        <f>IFERROR(IF(AND(tblTarget[[#This Row],[Intercluser Severity]]=3,tblTarget[[#This Row],[Qualifies for exception]]="Flagged",(tblTarget[[#This Row],[Cluster Target]]-tblTarget[[#This Row],[2024 Response capacity up to December]])/tblTarget[[#This Row],[Cluster Target]]&gt;Diff_severity3),"Flagged",""),"No target")</f>
        <v>Flagged</v>
      </c>
      <c r="AN180" s="81" t="s">
        <v>1099</v>
      </c>
      <c r="AO180" s="81"/>
      <c r="AP180" s="81" t="s">
        <v>1099</v>
      </c>
      <c r="AQ180" s="81" t="s">
        <v>1107</v>
      </c>
    </row>
    <row r="181" spans="1:43" ht="15.95" hidden="1" customHeight="1" x14ac:dyDescent="0.2">
      <c r="A181" s="62" t="s">
        <v>618</v>
      </c>
      <c r="B181" s="63" t="s">
        <v>406</v>
      </c>
      <c r="C181" s="64" t="s">
        <v>407</v>
      </c>
      <c r="D181" s="63" t="s">
        <v>408</v>
      </c>
      <c r="E181" s="64" t="s">
        <v>409</v>
      </c>
      <c r="F181" s="65">
        <v>19604</v>
      </c>
      <c r="G181" s="66" t="s">
        <v>30</v>
      </c>
      <c r="H181" s="67">
        <v>10740</v>
      </c>
      <c r="I181" s="68">
        <v>3</v>
      </c>
      <c r="J181" s="68">
        <v>3</v>
      </c>
      <c r="K181" s="91">
        <v>0</v>
      </c>
      <c r="L181" s="91">
        <v>0</v>
      </c>
      <c r="M181" s="91">
        <v>0</v>
      </c>
      <c r="N181" s="91">
        <v>0</v>
      </c>
      <c r="O181" s="91">
        <v>0</v>
      </c>
      <c r="P181" s="91">
        <v>0</v>
      </c>
      <c r="Q181" s="85">
        <v>0</v>
      </c>
      <c r="R181" s="69" t="s">
        <v>1107</v>
      </c>
      <c r="S181" s="86">
        <v>0</v>
      </c>
      <c r="T181" s="69">
        <v>0</v>
      </c>
      <c r="U181" s="68">
        <v>0</v>
      </c>
      <c r="V181" s="68">
        <v>0</v>
      </c>
      <c r="W181" s="68">
        <v>0</v>
      </c>
      <c r="X181" s="68">
        <v>0</v>
      </c>
      <c r="Y181" s="68">
        <v>0</v>
      </c>
      <c r="Z181" s="68">
        <v>0</v>
      </c>
      <c r="AA181" s="68">
        <v>0</v>
      </c>
      <c r="AB181" s="69">
        <v>0</v>
      </c>
      <c r="AC181" s="69">
        <v>0</v>
      </c>
      <c r="AD181" s="70">
        <f>IFERROR(tblTarget[[#This Row],[Cluster Target]]/tblTarget[[#This Row],[Cluster PiN]],0)</f>
        <v>0</v>
      </c>
      <c r="AE181" s="79">
        <f>_xlfn.XLOOKUP(tblTarget[[#This Row],[ID]],tblResponse[ID],tblResponse[2024 Projected reached (Dec 2024)])</f>
        <v>0</v>
      </c>
      <c r="AF181" s="79">
        <f>_xlfn.XLOOKUP(tblTarget[[#This Row],[ID]],tblResponse[ID],tblResponse[2024 Intercluster reached -August RPM])</f>
        <v>1399.2783327250165</v>
      </c>
      <c r="AG181" s="79">
        <v>1</v>
      </c>
      <c r="AH181" s="79"/>
      <c r="AI181" s="79"/>
      <c r="AJ181" s="70" t="str">
        <f>IF(tblTarget[[#This Row],[Target to PiN (%)]]&gt;Targ_vs_PiN,"Flagged","")</f>
        <v/>
      </c>
      <c r="AK181" s="69" t="str">
        <f>IF(AND(tblTarget[[#This Row],[Qualifies for exception]]="Flagged",tblTarget[[#This Row],[Target to PiN (%)]]&gt;Targ_severity5),"Flagged","")</f>
        <v/>
      </c>
      <c r="AL181" s="68" t="str">
        <f>IFERROR(IF(AND(tblTarget[[#This Row],[Intercluser Severity]]=4,tblTarget[[#This Row],[Qualifies for exception]]="Flagged",(tblTarget[[#This Row],[Cluster Target]]-tblTarget[[#This Row],[2024 Response capacity up to December]])/tblTarget[[#This Row],[Cluster Target]]&gt;Diff_severity4),"Flagged",""),"No target")</f>
        <v>No target</v>
      </c>
      <c r="AM181" s="68" t="str">
        <f>IFERROR(IF(AND(tblTarget[[#This Row],[Intercluser Severity]]=3,tblTarget[[#This Row],[Qualifies for exception]]="Flagged",(tblTarget[[#This Row],[Cluster Target]]-tblTarget[[#This Row],[2024 Response capacity up to December]])/tblTarget[[#This Row],[Cluster Target]]&gt;Diff_severity3),"Flagged",""),"No target")</f>
        <v>No target</v>
      </c>
      <c r="AN181" s="81" t="s">
        <v>1099</v>
      </c>
      <c r="AO181" s="81"/>
      <c r="AP181" s="81" t="s">
        <v>1099</v>
      </c>
      <c r="AQ181" s="81" t="s">
        <v>1107</v>
      </c>
    </row>
    <row r="182" spans="1:43" ht="15.95" customHeight="1" x14ac:dyDescent="0.2">
      <c r="A182" s="62" t="s">
        <v>619</v>
      </c>
      <c r="B182" s="63" t="s">
        <v>406</v>
      </c>
      <c r="C182" s="64" t="s">
        <v>407</v>
      </c>
      <c r="D182" s="63" t="s">
        <v>410</v>
      </c>
      <c r="E182" s="64" t="s">
        <v>411</v>
      </c>
      <c r="F182" s="65">
        <v>45809</v>
      </c>
      <c r="G182" s="66" t="s">
        <v>30</v>
      </c>
      <c r="H182" s="67">
        <v>18807</v>
      </c>
      <c r="I182" s="68">
        <v>3</v>
      </c>
      <c r="J182" s="68">
        <v>5</v>
      </c>
      <c r="K182" s="91">
        <v>227.51999999999998</v>
      </c>
      <c r="L182" s="91">
        <v>116.58746797932073</v>
      </c>
      <c r="M182" s="91">
        <v>110.93253202067925</v>
      </c>
      <c r="N182" s="91">
        <v>113.75999999999999</v>
      </c>
      <c r="O182" s="91">
        <v>100.10879999999999</v>
      </c>
      <c r="P182" s="91">
        <v>13.651199999999998</v>
      </c>
      <c r="Q182" s="85">
        <v>34.127999999999993</v>
      </c>
      <c r="R182" s="69" t="s">
        <v>15</v>
      </c>
      <c r="S182" s="86">
        <v>33</v>
      </c>
      <c r="T182" s="69">
        <v>8</v>
      </c>
      <c r="U182" s="68">
        <v>0</v>
      </c>
      <c r="V182" s="68">
        <v>0</v>
      </c>
      <c r="W182" s="68">
        <v>2</v>
      </c>
      <c r="X182" s="68">
        <v>5</v>
      </c>
      <c r="Y182" s="68">
        <v>14</v>
      </c>
      <c r="Z182" s="68">
        <v>2</v>
      </c>
      <c r="AA182" s="68">
        <v>0</v>
      </c>
      <c r="AB182" s="69">
        <v>0</v>
      </c>
      <c r="AC182" s="69">
        <v>0</v>
      </c>
      <c r="AD182" s="70">
        <f>IFERROR(tblTarget[[#This Row],[Cluster Target]]/tblTarget[[#This Row],[Cluster PiN]],0)</f>
        <v>1.2097623225394798E-2</v>
      </c>
      <c r="AE182" s="79">
        <f>_xlfn.XLOOKUP(tblTarget[[#This Row],[ID]],tblResponse[ID],tblResponse[2024 Projected reached (Dec 2024)])</f>
        <v>0</v>
      </c>
      <c r="AF182" s="79">
        <f>_xlfn.XLOOKUP(tblTarget[[#This Row],[ID]],tblResponse[ID],tblResponse[2024 Intercluster reached -August RPM])</f>
        <v>142.72638993795167</v>
      </c>
      <c r="AG182" s="79">
        <v>1</v>
      </c>
      <c r="AH182" s="79"/>
      <c r="AI182" s="79"/>
      <c r="AJ182" s="70" t="str">
        <f>IF(tblTarget[[#This Row],[Target to PiN (%)]]&gt;Targ_vs_PiN,"Flagged","")</f>
        <v/>
      </c>
      <c r="AK182" s="69" t="str">
        <f>IF(AND(tblTarget[[#This Row],[Qualifies for exception]]="Flagged",tblTarget[[#This Row],[Target to PiN (%)]]&gt;Targ_severity5),"Flagged","")</f>
        <v/>
      </c>
      <c r="AL182" s="68" t="str">
        <f>IFERROR(IF(AND(tblTarget[[#This Row],[Intercluser Severity]]=4,tblTarget[[#This Row],[Qualifies for exception]]="Flagged",(tblTarget[[#This Row],[Cluster Target]]-tblTarget[[#This Row],[2024 Response capacity up to December]])/tblTarget[[#This Row],[Cluster Target]]&gt;Diff_severity4),"Flagged",""),"No target")</f>
        <v/>
      </c>
      <c r="AM182" s="68" t="str">
        <f>IFERROR(IF(AND(tblTarget[[#This Row],[Intercluser Severity]]=3,tblTarget[[#This Row],[Qualifies for exception]]="Flagged",(tblTarget[[#This Row],[Cluster Target]]-tblTarget[[#This Row],[2024 Response capacity up to December]])/tblTarget[[#This Row],[Cluster Target]]&gt;Diff_severity3),"Flagged",""),"No target")</f>
        <v/>
      </c>
      <c r="AN182" s="81" t="s">
        <v>1099</v>
      </c>
      <c r="AO182" s="81"/>
      <c r="AP182" s="81" t="s">
        <v>1099</v>
      </c>
      <c r="AQ182" s="81" t="s">
        <v>1098</v>
      </c>
    </row>
    <row r="183" spans="1:43" ht="15.95" customHeight="1" x14ac:dyDescent="0.2">
      <c r="A183" s="62" t="s">
        <v>620</v>
      </c>
      <c r="B183" s="63" t="s">
        <v>406</v>
      </c>
      <c r="C183" s="64" t="s">
        <v>407</v>
      </c>
      <c r="D183" s="63" t="s">
        <v>412</v>
      </c>
      <c r="E183" s="64" t="s">
        <v>413</v>
      </c>
      <c r="F183" s="65">
        <v>26620</v>
      </c>
      <c r="G183" s="66" t="s">
        <v>30</v>
      </c>
      <c r="H183" s="67">
        <v>12022</v>
      </c>
      <c r="I183" s="68">
        <v>3</v>
      </c>
      <c r="J183" s="68">
        <v>4</v>
      </c>
      <c r="K183" s="91">
        <v>118.60000000000001</v>
      </c>
      <c r="L183" s="91">
        <v>61.844487643890886</v>
      </c>
      <c r="M183" s="91">
        <v>56.755512356109115</v>
      </c>
      <c r="N183" s="91">
        <v>59.300000000000004</v>
      </c>
      <c r="O183" s="91">
        <v>52.184000000000005</v>
      </c>
      <c r="P183" s="91">
        <v>7.1160000000000005</v>
      </c>
      <c r="Q183" s="85">
        <v>17.79</v>
      </c>
      <c r="R183" s="69" t="s">
        <v>15</v>
      </c>
      <c r="S183" s="86">
        <v>17</v>
      </c>
      <c r="T183" s="69">
        <v>4</v>
      </c>
      <c r="U183" s="68">
        <v>0</v>
      </c>
      <c r="V183" s="68">
        <v>0</v>
      </c>
      <c r="W183" s="68">
        <v>1</v>
      </c>
      <c r="X183" s="68">
        <v>2</v>
      </c>
      <c r="Y183" s="68">
        <v>7</v>
      </c>
      <c r="Z183" s="68">
        <v>1</v>
      </c>
      <c r="AA183" s="68">
        <v>0</v>
      </c>
      <c r="AB183" s="69">
        <v>0</v>
      </c>
      <c r="AC183" s="69">
        <v>0</v>
      </c>
      <c r="AD183" s="70">
        <f>IFERROR(tblTarget[[#This Row],[Cluster Target]]/tblTarget[[#This Row],[Cluster PiN]],0)</f>
        <v>9.8652470470803541E-3</v>
      </c>
      <c r="AE183" s="79">
        <f>_xlfn.XLOOKUP(tblTarget[[#This Row],[ID]],tblResponse[ID],tblResponse[2024 Projected reached (Dec 2024)])</f>
        <v>0</v>
      </c>
      <c r="AF183" s="79">
        <f>_xlfn.XLOOKUP(tblTarget[[#This Row],[ID]],tblResponse[ID],tblResponse[2024 Intercluster reached -August RPM])</f>
        <v>24837.190405869042</v>
      </c>
      <c r="AG183" s="79">
        <v>1</v>
      </c>
      <c r="AH183" s="79"/>
      <c r="AI183" s="79"/>
      <c r="AJ183" s="70" t="str">
        <f>IF(tblTarget[[#This Row],[Target to PiN (%)]]&gt;Targ_vs_PiN,"Flagged","")</f>
        <v/>
      </c>
      <c r="AK183" s="69" t="str">
        <f>IF(AND(tblTarget[[#This Row],[Qualifies for exception]]="Flagged",tblTarget[[#This Row],[Target to PiN (%)]]&gt;Targ_severity5),"Flagged","")</f>
        <v/>
      </c>
      <c r="AL183" s="68" t="str">
        <f>IFERROR(IF(AND(tblTarget[[#This Row],[Intercluser Severity]]=4,tblTarget[[#This Row],[Qualifies for exception]]="Flagged",(tblTarget[[#This Row],[Cluster Target]]-tblTarget[[#This Row],[2024 Response capacity up to December]])/tblTarget[[#This Row],[Cluster Target]]&gt;Diff_severity4),"Flagged",""),"No target")</f>
        <v/>
      </c>
      <c r="AM183" s="68" t="str">
        <f>IFERROR(IF(AND(tblTarget[[#This Row],[Intercluser Severity]]=3,tblTarget[[#This Row],[Qualifies for exception]]="Flagged",(tblTarget[[#This Row],[Cluster Target]]-tblTarget[[#This Row],[2024 Response capacity up to December]])/tblTarget[[#This Row],[Cluster Target]]&gt;Diff_severity3),"Flagged",""),"No target")</f>
        <v/>
      </c>
      <c r="AN183" s="81" t="s">
        <v>1099</v>
      </c>
      <c r="AO183" s="81"/>
      <c r="AP183" s="81" t="s">
        <v>15</v>
      </c>
      <c r="AQ183" s="81" t="s">
        <v>1098</v>
      </c>
    </row>
    <row r="184" spans="1:43" ht="15.95" hidden="1" customHeight="1" x14ac:dyDescent="0.2">
      <c r="A184" s="62" t="s">
        <v>621</v>
      </c>
      <c r="B184" s="63" t="s">
        <v>406</v>
      </c>
      <c r="C184" s="64" t="s">
        <v>407</v>
      </c>
      <c r="D184" s="63" t="s">
        <v>414</v>
      </c>
      <c r="E184" s="64" t="s">
        <v>415</v>
      </c>
      <c r="F184" s="65">
        <v>6303</v>
      </c>
      <c r="G184" s="66" t="s">
        <v>30</v>
      </c>
      <c r="H184" s="67">
        <v>3670</v>
      </c>
      <c r="I184" s="68">
        <v>3</v>
      </c>
      <c r="J184" s="68">
        <v>3</v>
      </c>
      <c r="K184" s="91">
        <v>0</v>
      </c>
      <c r="L184" s="91">
        <v>0</v>
      </c>
      <c r="M184" s="91">
        <v>0</v>
      </c>
      <c r="N184" s="91">
        <v>0</v>
      </c>
      <c r="O184" s="91">
        <v>0</v>
      </c>
      <c r="P184" s="91">
        <v>0</v>
      </c>
      <c r="Q184" s="85">
        <v>0</v>
      </c>
      <c r="R184" s="69" t="s">
        <v>1107</v>
      </c>
      <c r="S184" s="86">
        <v>0</v>
      </c>
      <c r="T184" s="69">
        <v>0</v>
      </c>
      <c r="U184" s="68">
        <v>0</v>
      </c>
      <c r="V184" s="68">
        <v>0</v>
      </c>
      <c r="W184" s="68">
        <v>0</v>
      </c>
      <c r="X184" s="68">
        <v>0</v>
      </c>
      <c r="Y184" s="68">
        <v>0</v>
      </c>
      <c r="Z184" s="68">
        <v>0</v>
      </c>
      <c r="AA184" s="68">
        <v>0</v>
      </c>
      <c r="AB184" s="69">
        <v>0</v>
      </c>
      <c r="AC184" s="69">
        <v>0</v>
      </c>
      <c r="AD184" s="70">
        <f>IFERROR(tblTarget[[#This Row],[Cluster Target]]/tblTarget[[#This Row],[Cluster PiN]],0)</f>
        <v>0</v>
      </c>
      <c r="AE184" s="79">
        <f>_xlfn.XLOOKUP(tblTarget[[#This Row],[ID]],tblResponse[ID],tblResponse[2024 Projected reached (Dec 2024)])</f>
        <v>0</v>
      </c>
      <c r="AF184" s="79">
        <f>_xlfn.XLOOKUP(tblTarget[[#This Row],[ID]],tblResponse[ID],tblResponse[2024 Intercluster reached -August RPM])</f>
        <v>0</v>
      </c>
      <c r="AG184" s="79">
        <v>1</v>
      </c>
      <c r="AH184" s="79"/>
      <c r="AI184" s="79"/>
      <c r="AJ184" s="70" t="str">
        <f>IF(tblTarget[[#This Row],[Target to PiN (%)]]&gt;Targ_vs_PiN,"Flagged","")</f>
        <v/>
      </c>
      <c r="AK184" s="69" t="str">
        <f>IF(AND(tblTarget[[#This Row],[Qualifies for exception]]="Flagged",tblTarget[[#This Row],[Target to PiN (%)]]&gt;Targ_severity5),"Flagged","")</f>
        <v/>
      </c>
      <c r="AL184" s="68" t="str">
        <f>IFERROR(IF(AND(tblTarget[[#This Row],[Intercluser Severity]]=4,tblTarget[[#This Row],[Qualifies for exception]]="Flagged",(tblTarget[[#This Row],[Cluster Target]]-tblTarget[[#This Row],[2024 Response capacity up to December]])/tblTarget[[#This Row],[Cluster Target]]&gt;Diff_severity4),"Flagged",""),"No target")</f>
        <v>No target</v>
      </c>
      <c r="AM184" s="68" t="str">
        <f>IFERROR(IF(AND(tblTarget[[#This Row],[Intercluser Severity]]=3,tblTarget[[#This Row],[Qualifies for exception]]="Flagged",(tblTarget[[#This Row],[Cluster Target]]-tblTarget[[#This Row],[2024 Response capacity up to December]])/tblTarget[[#This Row],[Cluster Target]]&gt;Diff_severity3),"Flagged",""),"No target")</f>
        <v>No target</v>
      </c>
      <c r="AN184" s="81" t="s">
        <v>1099</v>
      </c>
      <c r="AO184" s="81"/>
      <c r="AP184" s="81" t="s">
        <v>1099</v>
      </c>
      <c r="AQ184" s="81" t="s">
        <v>1107</v>
      </c>
    </row>
    <row r="185" spans="1:43" ht="15.95" hidden="1" customHeight="1" x14ac:dyDescent="0.2">
      <c r="A185" s="62" t="s">
        <v>622</v>
      </c>
      <c r="B185" s="63" t="s">
        <v>406</v>
      </c>
      <c r="C185" s="64" t="s">
        <v>407</v>
      </c>
      <c r="D185" s="63" t="s">
        <v>416</v>
      </c>
      <c r="E185" s="64" t="s">
        <v>417</v>
      </c>
      <c r="F185" s="65">
        <v>20112</v>
      </c>
      <c r="G185" s="66" t="s">
        <v>30</v>
      </c>
      <c r="H185" s="67">
        <v>16026</v>
      </c>
      <c r="I185" s="68">
        <v>3</v>
      </c>
      <c r="J185" s="68">
        <v>3</v>
      </c>
      <c r="K185" s="91">
        <v>0</v>
      </c>
      <c r="L185" s="91">
        <v>0</v>
      </c>
      <c r="M185" s="91">
        <v>0</v>
      </c>
      <c r="N185" s="91">
        <v>0</v>
      </c>
      <c r="O185" s="91">
        <v>0</v>
      </c>
      <c r="P185" s="91">
        <v>0</v>
      </c>
      <c r="Q185" s="85">
        <v>0</v>
      </c>
      <c r="R185" s="69" t="s">
        <v>1107</v>
      </c>
      <c r="S185" s="86">
        <v>0</v>
      </c>
      <c r="T185" s="69">
        <v>0</v>
      </c>
      <c r="U185" s="68">
        <v>0</v>
      </c>
      <c r="V185" s="68">
        <v>0</v>
      </c>
      <c r="W185" s="68">
        <v>0</v>
      </c>
      <c r="X185" s="68">
        <v>0</v>
      </c>
      <c r="Y185" s="68">
        <v>0</v>
      </c>
      <c r="Z185" s="68">
        <v>0</v>
      </c>
      <c r="AA185" s="68">
        <v>0</v>
      </c>
      <c r="AB185" s="69">
        <v>0</v>
      </c>
      <c r="AC185" s="69">
        <v>0</v>
      </c>
      <c r="AD185" s="70">
        <f>IFERROR(tblTarget[[#This Row],[Cluster Target]]/tblTarget[[#This Row],[Cluster PiN]],0)</f>
        <v>0</v>
      </c>
      <c r="AE185" s="79">
        <f>_xlfn.XLOOKUP(tblTarget[[#This Row],[ID]],tblResponse[ID],tblResponse[2024 Projected reached (Dec 2024)])</f>
        <v>0</v>
      </c>
      <c r="AF185" s="79">
        <f>_xlfn.XLOOKUP(tblTarget[[#This Row],[ID]],tblResponse[ID],tblResponse[2024 Intercluster reached -August RPM])</f>
        <v>0</v>
      </c>
      <c r="AG185" s="79">
        <v>1</v>
      </c>
      <c r="AH185" s="79"/>
      <c r="AI185" s="79"/>
      <c r="AJ185" s="70" t="str">
        <f>IF(tblTarget[[#This Row],[Target to PiN (%)]]&gt;Targ_vs_PiN,"Flagged","")</f>
        <v/>
      </c>
      <c r="AK185" s="69" t="str">
        <f>IF(AND(tblTarget[[#This Row],[Qualifies for exception]]="Flagged",tblTarget[[#This Row],[Target to PiN (%)]]&gt;Targ_severity5),"Flagged","")</f>
        <v/>
      </c>
      <c r="AL185" s="68" t="str">
        <f>IFERROR(IF(AND(tblTarget[[#This Row],[Intercluser Severity]]=4,tblTarget[[#This Row],[Qualifies for exception]]="Flagged",(tblTarget[[#This Row],[Cluster Target]]-tblTarget[[#This Row],[2024 Response capacity up to December]])/tblTarget[[#This Row],[Cluster Target]]&gt;Diff_severity4),"Flagged",""),"No target")</f>
        <v>No target</v>
      </c>
      <c r="AM185" s="68" t="str">
        <f>IFERROR(IF(AND(tblTarget[[#This Row],[Intercluser Severity]]=3,tblTarget[[#This Row],[Qualifies for exception]]="Flagged",(tblTarget[[#This Row],[Cluster Target]]-tblTarget[[#This Row],[2024 Response capacity up to December]])/tblTarget[[#This Row],[Cluster Target]]&gt;Diff_severity3),"Flagged",""),"No target")</f>
        <v>No target</v>
      </c>
      <c r="AN185" s="81" t="s">
        <v>1099</v>
      </c>
      <c r="AO185" s="81"/>
      <c r="AP185" s="81" t="s">
        <v>1099</v>
      </c>
      <c r="AQ185" s="81" t="s">
        <v>1107</v>
      </c>
    </row>
    <row r="186" spans="1:43" ht="15.95" hidden="1" customHeight="1" x14ac:dyDescent="0.2">
      <c r="A186" s="62" t="s">
        <v>623</v>
      </c>
      <c r="B186" s="63" t="s">
        <v>406</v>
      </c>
      <c r="C186" s="64" t="s">
        <v>407</v>
      </c>
      <c r="D186" s="63" t="s">
        <v>418</v>
      </c>
      <c r="E186" s="64" t="s">
        <v>419</v>
      </c>
      <c r="F186" s="65">
        <v>29010</v>
      </c>
      <c r="G186" s="66" t="s">
        <v>30</v>
      </c>
      <c r="H186" s="67">
        <v>19013</v>
      </c>
      <c r="I186" s="68">
        <v>3</v>
      </c>
      <c r="J186" s="68">
        <v>4</v>
      </c>
      <c r="K186" s="91">
        <v>1647.2</v>
      </c>
      <c r="L186" s="91">
        <v>840.27621391646471</v>
      </c>
      <c r="M186" s="91">
        <v>806.92378608353545</v>
      </c>
      <c r="N186" s="91">
        <v>823.6</v>
      </c>
      <c r="O186" s="91">
        <v>724.76800000000003</v>
      </c>
      <c r="P186" s="91">
        <v>98.831999999999994</v>
      </c>
      <c r="Q186" s="85">
        <v>247.07999999999998</v>
      </c>
      <c r="R186" s="69" t="s">
        <v>1107</v>
      </c>
      <c r="S186" s="86">
        <v>237</v>
      </c>
      <c r="T186" s="69">
        <v>59</v>
      </c>
      <c r="U186" s="68">
        <v>0</v>
      </c>
      <c r="V186" s="68">
        <v>0</v>
      </c>
      <c r="W186" s="68">
        <v>16</v>
      </c>
      <c r="X186" s="68">
        <v>33</v>
      </c>
      <c r="Y186" s="68">
        <v>99</v>
      </c>
      <c r="Z186" s="68">
        <v>16</v>
      </c>
      <c r="AA186" s="68">
        <v>0</v>
      </c>
      <c r="AB186" s="69">
        <v>0</v>
      </c>
      <c r="AC186" s="69">
        <v>0</v>
      </c>
      <c r="AD186" s="70">
        <f>IFERROR(tblTarget[[#This Row],[Cluster Target]]/tblTarget[[#This Row],[Cluster PiN]],0)</f>
        <v>8.6635459948456325E-2</v>
      </c>
      <c r="AE186" s="79">
        <f>_xlfn.XLOOKUP(tblTarget[[#This Row],[ID]],tblResponse[ID],tblResponse[2024 Projected reached (Dec 2024)])</f>
        <v>0</v>
      </c>
      <c r="AF186" s="79">
        <f>_xlfn.XLOOKUP(tblTarget[[#This Row],[ID]],tblResponse[ID],tblResponse[2024 Intercluster reached -August RPM])</f>
        <v>5247.2937477188116</v>
      </c>
      <c r="AG186" s="79">
        <v>2</v>
      </c>
      <c r="AH186" s="79"/>
      <c r="AI186" s="79"/>
      <c r="AJ186" s="70" t="str">
        <f>IF(tblTarget[[#This Row],[Target to PiN (%)]]&gt;Targ_vs_PiN,"Flagged","")</f>
        <v/>
      </c>
      <c r="AK186" s="69" t="str">
        <f>IF(AND(tblTarget[[#This Row],[Qualifies for exception]]="Flagged",tblTarget[[#This Row],[Target to PiN (%)]]&gt;Targ_severity5),"Flagged","")</f>
        <v/>
      </c>
      <c r="AL186" s="68" t="str">
        <f>IFERROR(IF(AND(tblTarget[[#This Row],[Intercluser Severity]]=4,tblTarget[[#This Row],[Qualifies for exception]]="Flagged",(tblTarget[[#This Row],[Cluster Target]]-tblTarget[[#This Row],[2024 Response capacity up to December]])/tblTarget[[#This Row],[Cluster Target]]&gt;Diff_severity4),"Flagged",""),"No target")</f>
        <v>Flagged</v>
      </c>
      <c r="AM186" s="68" t="str">
        <f>IFERROR(IF(AND(tblTarget[[#This Row],[Intercluser Severity]]=3,tblTarget[[#This Row],[Qualifies for exception]]="Flagged",(tblTarget[[#This Row],[Cluster Target]]-tblTarget[[#This Row],[2024 Response capacity up to December]])/tblTarget[[#This Row],[Cluster Target]]&gt;Diff_severity3),"Flagged",""),"No target")</f>
        <v/>
      </c>
      <c r="AN186" s="81" t="s">
        <v>1099</v>
      </c>
      <c r="AO186" s="81"/>
      <c r="AP186" s="81" t="s">
        <v>1099</v>
      </c>
      <c r="AQ186" s="81" t="s">
        <v>1107</v>
      </c>
    </row>
    <row r="187" spans="1:43" ht="15.95" hidden="1" customHeight="1" x14ac:dyDescent="0.2">
      <c r="A187" s="62" t="s">
        <v>624</v>
      </c>
      <c r="B187" s="63" t="s">
        <v>406</v>
      </c>
      <c r="C187" s="64" t="s">
        <v>407</v>
      </c>
      <c r="D187" s="63" t="s">
        <v>420</v>
      </c>
      <c r="E187" s="64" t="s">
        <v>421</v>
      </c>
      <c r="F187" s="65">
        <v>0</v>
      </c>
      <c r="G187" s="66" t="s">
        <v>30</v>
      </c>
      <c r="H187" s="67">
        <v>0</v>
      </c>
      <c r="I187" s="68">
        <v>3</v>
      </c>
      <c r="J187" s="68">
        <v>4</v>
      </c>
      <c r="K187" s="91">
        <v>0</v>
      </c>
      <c r="L187" s="91">
        <v>0</v>
      </c>
      <c r="M187" s="91">
        <v>0</v>
      </c>
      <c r="N187" s="91">
        <v>0</v>
      </c>
      <c r="O187" s="91">
        <v>0</v>
      </c>
      <c r="P187" s="91">
        <v>0</v>
      </c>
      <c r="Q187" s="85">
        <v>0</v>
      </c>
      <c r="R187" s="69" t="s">
        <v>1107</v>
      </c>
      <c r="S187" s="86">
        <v>0</v>
      </c>
      <c r="T187" s="69">
        <v>0</v>
      </c>
      <c r="U187" s="68">
        <v>0</v>
      </c>
      <c r="V187" s="68">
        <v>0</v>
      </c>
      <c r="W187" s="68">
        <v>0</v>
      </c>
      <c r="X187" s="68">
        <v>0</v>
      </c>
      <c r="Y187" s="68">
        <v>0</v>
      </c>
      <c r="Z187" s="68">
        <v>0</v>
      </c>
      <c r="AA187" s="68">
        <v>0</v>
      </c>
      <c r="AB187" s="69">
        <v>0</v>
      </c>
      <c r="AC187" s="69">
        <v>0</v>
      </c>
      <c r="AD187" s="70">
        <f>IFERROR(tblTarget[[#This Row],[Cluster Target]]/tblTarget[[#This Row],[Cluster PiN]],0)</f>
        <v>0</v>
      </c>
      <c r="AE187" s="79">
        <f>_xlfn.XLOOKUP(tblTarget[[#This Row],[ID]],tblResponse[ID],tblResponse[2024 Projected reached (Dec 2024)])</f>
        <v>0</v>
      </c>
      <c r="AF187" s="79">
        <f>_xlfn.XLOOKUP(tblTarget[[#This Row],[ID]],tblResponse[ID],tblResponse[2024 Intercluster reached -August RPM])</f>
        <v>403621.83507453097</v>
      </c>
      <c r="AG187" s="79">
        <v>1</v>
      </c>
      <c r="AH187" s="79"/>
      <c r="AI187" s="79"/>
      <c r="AJ187" s="70" t="str">
        <f>IF(tblTarget[[#This Row],[Target to PiN (%)]]&gt;Targ_vs_PiN,"Flagged","")</f>
        <v/>
      </c>
      <c r="AK187" s="69" t="str">
        <f>IF(AND(tblTarget[[#This Row],[Qualifies for exception]]="Flagged",tblTarget[[#This Row],[Target to PiN (%)]]&gt;Targ_severity5),"Flagged","")</f>
        <v/>
      </c>
      <c r="AL187" s="68" t="str">
        <f>IFERROR(IF(AND(tblTarget[[#This Row],[Intercluser Severity]]=4,tblTarget[[#This Row],[Qualifies for exception]]="Flagged",(tblTarget[[#This Row],[Cluster Target]]-tblTarget[[#This Row],[2024 Response capacity up to December]])/tblTarget[[#This Row],[Cluster Target]]&gt;Diff_severity4),"Flagged",""),"No target")</f>
        <v>No target</v>
      </c>
      <c r="AM187" s="68" t="str">
        <f>IFERROR(IF(AND(tblTarget[[#This Row],[Intercluser Severity]]=3,tblTarget[[#This Row],[Qualifies for exception]]="Flagged",(tblTarget[[#This Row],[Cluster Target]]-tblTarget[[#This Row],[2024 Response capacity up to December]])/tblTarget[[#This Row],[Cluster Target]]&gt;Diff_severity3),"Flagged",""),"No target")</f>
        <v>No target</v>
      </c>
      <c r="AN187" s="81" t="s">
        <v>1099</v>
      </c>
      <c r="AO187" s="81"/>
      <c r="AP187" s="81" t="s">
        <v>1099</v>
      </c>
      <c r="AQ187" s="81" t="s">
        <v>1107</v>
      </c>
    </row>
    <row r="188" spans="1:43" ht="15.95" hidden="1" customHeight="1" x14ac:dyDescent="0.2">
      <c r="A188" s="62" t="s">
        <v>625</v>
      </c>
      <c r="B188" s="63" t="s">
        <v>406</v>
      </c>
      <c r="C188" s="64" t="s">
        <v>407</v>
      </c>
      <c r="D188" s="63" t="s">
        <v>422</v>
      </c>
      <c r="E188" s="64" t="s">
        <v>423</v>
      </c>
      <c r="F188" s="65">
        <v>8359</v>
      </c>
      <c r="G188" s="66" t="s">
        <v>30</v>
      </c>
      <c r="H188" s="67">
        <v>4314</v>
      </c>
      <c r="I188" s="68">
        <v>3</v>
      </c>
      <c r="J188" s="68">
        <v>3</v>
      </c>
      <c r="K188" s="91">
        <v>0</v>
      </c>
      <c r="L188" s="91">
        <v>0</v>
      </c>
      <c r="M188" s="91">
        <v>0</v>
      </c>
      <c r="N188" s="91">
        <v>0</v>
      </c>
      <c r="O188" s="91">
        <v>0</v>
      </c>
      <c r="P188" s="91">
        <v>0</v>
      </c>
      <c r="Q188" s="85">
        <v>0</v>
      </c>
      <c r="R188" s="69" t="s">
        <v>1107</v>
      </c>
      <c r="S188" s="86">
        <v>0</v>
      </c>
      <c r="T188" s="69">
        <v>0</v>
      </c>
      <c r="U188" s="68">
        <v>0</v>
      </c>
      <c r="V188" s="68">
        <v>0</v>
      </c>
      <c r="W188" s="68">
        <v>0</v>
      </c>
      <c r="X188" s="68">
        <v>0</v>
      </c>
      <c r="Y188" s="68">
        <v>0</v>
      </c>
      <c r="Z188" s="68">
        <v>0</v>
      </c>
      <c r="AA188" s="68">
        <v>0</v>
      </c>
      <c r="AB188" s="69">
        <v>0</v>
      </c>
      <c r="AC188" s="69">
        <v>0</v>
      </c>
      <c r="AD188" s="70">
        <f>IFERROR(tblTarget[[#This Row],[Cluster Target]]/tblTarget[[#This Row],[Cluster PiN]],0)</f>
        <v>0</v>
      </c>
      <c r="AE188" s="79">
        <f>_xlfn.XLOOKUP(tblTarget[[#This Row],[ID]],tblResponse[ID],tblResponse[2024 Projected reached (Dec 2024)])</f>
        <v>0</v>
      </c>
      <c r="AF188" s="79">
        <f>_xlfn.XLOOKUP(tblTarget[[#This Row],[ID]],tblResponse[ID],tblResponse[2024 Intercluster reached -August RPM])</f>
        <v>0</v>
      </c>
      <c r="AG188" s="79">
        <v>1</v>
      </c>
      <c r="AH188" s="79"/>
      <c r="AI188" s="79"/>
      <c r="AJ188" s="70" t="str">
        <f>IF(tblTarget[[#This Row],[Target to PiN (%)]]&gt;Targ_vs_PiN,"Flagged","")</f>
        <v/>
      </c>
      <c r="AK188" s="69" t="str">
        <f>IF(AND(tblTarget[[#This Row],[Qualifies for exception]]="Flagged",tblTarget[[#This Row],[Target to PiN (%)]]&gt;Targ_severity5),"Flagged","")</f>
        <v/>
      </c>
      <c r="AL188" s="68" t="str">
        <f>IFERROR(IF(AND(tblTarget[[#This Row],[Intercluser Severity]]=4,tblTarget[[#This Row],[Qualifies for exception]]="Flagged",(tblTarget[[#This Row],[Cluster Target]]-tblTarget[[#This Row],[2024 Response capacity up to December]])/tblTarget[[#This Row],[Cluster Target]]&gt;Diff_severity4),"Flagged",""),"No target")</f>
        <v>No target</v>
      </c>
      <c r="AM188" s="68" t="str">
        <f>IFERROR(IF(AND(tblTarget[[#This Row],[Intercluser Severity]]=3,tblTarget[[#This Row],[Qualifies for exception]]="Flagged",(tblTarget[[#This Row],[Cluster Target]]-tblTarget[[#This Row],[2024 Response capacity up to December]])/tblTarget[[#This Row],[Cluster Target]]&gt;Diff_severity3),"Flagged",""),"No target")</f>
        <v>No target</v>
      </c>
      <c r="AN188" s="81" t="s">
        <v>1099</v>
      </c>
      <c r="AO188" s="81"/>
      <c r="AP188" s="81" t="s">
        <v>1099</v>
      </c>
      <c r="AQ188" s="81" t="s">
        <v>1107</v>
      </c>
    </row>
    <row r="189" spans="1:43" ht="15.95" hidden="1" customHeight="1" x14ac:dyDescent="0.2">
      <c r="A189" s="62" t="s">
        <v>626</v>
      </c>
      <c r="B189" s="63" t="s">
        <v>406</v>
      </c>
      <c r="C189" s="64" t="s">
        <v>407</v>
      </c>
      <c r="D189" s="63" t="s">
        <v>424</v>
      </c>
      <c r="E189" s="64" t="s">
        <v>425</v>
      </c>
      <c r="F189" s="65">
        <v>38841</v>
      </c>
      <c r="G189" s="66" t="s">
        <v>30</v>
      </c>
      <c r="H189" s="67">
        <v>31126</v>
      </c>
      <c r="I189" s="68">
        <v>3</v>
      </c>
      <c r="J189" s="68">
        <v>4</v>
      </c>
      <c r="K189" s="91">
        <v>275.8</v>
      </c>
      <c r="L189" s="91">
        <v>138.97961930057548</v>
      </c>
      <c r="M189" s="91">
        <v>136.82038069942453</v>
      </c>
      <c r="N189" s="91">
        <v>137.9</v>
      </c>
      <c r="O189" s="91">
        <v>121.352</v>
      </c>
      <c r="P189" s="91">
        <v>16.548000000000002</v>
      </c>
      <c r="Q189" s="85">
        <v>41.37</v>
      </c>
      <c r="R189" s="69" t="s">
        <v>1107</v>
      </c>
      <c r="S189" s="86">
        <v>40</v>
      </c>
      <c r="T189" s="69">
        <v>10</v>
      </c>
      <c r="U189" s="68">
        <v>0</v>
      </c>
      <c r="V189" s="68">
        <v>0</v>
      </c>
      <c r="W189" s="68">
        <v>3</v>
      </c>
      <c r="X189" s="68">
        <v>6</v>
      </c>
      <c r="Y189" s="68">
        <v>17</v>
      </c>
      <c r="Z189" s="68">
        <v>3</v>
      </c>
      <c r="AA189" s="68">
        <v>0</v>
      </c>
      <c r="AB189" s="69">
        <v>0</v>
      </c>
      <c r="AC189" s="69">
        <v>0</v>
      </c>
      <c r="AD189" s="70">
        <f>IFERROR(tblTarget[[#This Row],[Cluster Target]]/tblTarget[[#This Row],[Cluster PiN]],0)</f>
        <v>8.8607594936708865E-3</v>
      </c>
      <c r="AE189" s="79">
        <f>_xlfn.XLOOKUP(tblTarget[[#This Row],[ID]],tblResponse[ID],tblResponse[2024 Projected reached (Dec 2024)])</f>
        <v>0</v>
      </c>
      <c r="AF189" s="79">
        <f>_xlfn.XLOOKUP(tblTarget[[#This Row],[ID]],tblResponse[ID],tblResponse[2024 Intercluster reached -August RPM])</f>
        <v>503.74019978100591</v>
      </c>
      <c r="AG189" s="79">
        <v>1</v>
      </c>
      <c r="AH189" s="79"/>
      <c r="AI189" s="79"/>
      <c r="AJ189" s="70" t="str">
        <f>IF(tblTarget[[#This Row],[Target to PiN (%)]]&gt;Targ_vs_PiN,"Flagged","")</f>
        <v/>
      </c>
      <c r="AK189" s="69" t="str">
        <f>IF(AND(tblTarget[[#This Row],[Qualifies for exception]]="Flagged",tblTarget[[#This Row],[Target to PiN (%)]]&gt;Targ_severity5),"Flagged","")</f>
        <v/>
      </c>
      <c r="AL189" s="68" t="str">
        <f>IFERROR(IF(AND(tblTarget[[#This Row],[Intercluser Severity]]=4,tblTarget[[#This Row],[Qualifies for exception]]="Flagged",(tblTarget[[#This Row],[Cluster Target]]-tblTarget[[#This Row],[2024 Response capacity up to December]])/tblTarget[[#This Row],[Cluster Target]]&gt;Diff_severity4),"Flagged",""),"No target")</f>
        <v>Flagged</v>
      </c>
      <c r="AM189" s="68" t="str">
        <f>IFERROR(IF(AND(tblTarget[[#This Row],[Intercluser Severity]]=3,tblTarget[[#This Row],[Qualifies for exception]]="Flagged",(tblTarget[[#This Row],[Cluster Target]]-tblTarget[[#This Row],[2024 Response capacity up to December]])/tblTarget[[#This Row],[Cluster Target]]&gt;Diff_severity3),"Flagged",""),"No target")</f>
        <v/>
      </c>
      <c r="AN189" s="81" t="s">
        <v>1099</v>
      </c>
      <c r="AO189" s="81"/>
      <c r="AP189" s="81" t="s">
        <v>1099</v>
      </c>
      <c r="AQ189" s="81" t="s">
        <v>1107</v>
      </c>
    </row>
    <row r="190" spans="1:43" ht="15.95" customHeight="1" x14ac:dyDescent="0.2">
      <c r="A190" s="62" t="s">
        <v>627</v>
      </c>
      <c r="B190" s="63" t="s">
        <v>406</v>
      </c>
      <c r="C190" s="64" t="s">
        <v>407</v>
      </c>
      <c r="D190" s="63" t="s">
        <v>426</v>
      </c>
      <c r="E190" s="64" t="s">
        <v>427</v>
      </c>
      <c r="F190" s="65">
        <v>19274</v>
      </c>
      <c r="G190" s="66" t="s">
        <v>30</v>
      </c>
      <c r="H190" s="67">
        <v>15338</v>
      </c>
      <c r="I190" s="68">
        <v>3</v>
      </c>
      <c r="J190" s="68">
        <v>4</v>
      </c>
      <c r="K190" s="91">
        <v>317.8</v>
      </c>
      <c r="L190" s="91">
        <v>161.95144094573982</v>
      </c>
      <c r="M190" s="91">
        <v>155.84855905426019</v>
      </c>
      <c r="N190" s="91">
        <v>158.9</v>
      </c>
      <c r="O190" s="91">
        <v>139.83199999999999</v>
      </c>
      <c r="P190" s="91">
        <v>19.068000000000001</v>
      </c>
      <c r="Q190" s="85">
        <v>47.67</v>
      </c>
      <c r="R190" s="69" t="s">
        <v>15</v>
      </c>
      <c r="S190" s="86">
        <v>46</v>
      </c>
      <c r="T190" s="69">
        <v>11</v>
      </c>
      <c r="U190" s="68">
        <v>0</v>
      </c>
      <c r="V190" s="68">
        <v>0</v>
      </c>
      <c r="W190" s="68">
        <v>3</v>
      </c>
      <c r="X190" s="68">
        <v>6</v>
      </c>
      <c r="Y190" s="68">
        <v>19</v>
      </c>
      <c r="Z190" s="68">
        <v>3</v>
      </c>
      <c r="AA190" s="68">
        <v>0</v>
      </c>
      <c r="AB190" s="69">
        <v>0</v>
      </c>
      <c r="AC190" s="69">
        <v>0</v>
      </c>
      <c r="AD190" s="70">
        <f>IFERROR(tblTarget[[#This Row],[Cluster Target]]/tblTarget[[#This Row],[Cluster PiN]],0)</f>
        <v>2.0719780936236797E-2</v>
      </c>
      <c r="AE190" s="79">
        <f>_xlfn.XLOOKUP(tblTarget[[#This Row],[ID]],tblResponse[ID],tblResponse[2024 Projected reached (Dec 2024)])</f>
        <v>0</v>
      </c>
      <c r="AF190" s="79">
        <f>_xlfn.XLOOKUP(tblTarget[[#This Row],[ID]],tblResponse[ID],tblResponse[2024 Intercluster reached -August RPM])</f>
        <v>6609.4912046266154</v>
      </c>
      <c r="AG190" s="79">
        <v>1</v>
      </c>
      <c r="AH190" s="79"/>
      <c r="AI190" s="79"/>
      <c r="AJ190" s="70" t="str">
        <f>IF(tblTarget[[#This Row],[Target to PiN (%)]]&gt;Targ_vs_PiN,"Flagged","")</f>
        <v/>
      </c>
      <c r="AK190" s="69" t="str">
        <f>IF(AND(tblTarget[[#This Row],[Qualifies for exception]]="Flagged",tblTarget[[#This Row],[Target to PiN (%)]]&gt;Targ_severity5),"Flagged","")</f>
        <v/>
      </c>
      <c r="AL190" s="68" t="str">
        <f>IFERROR(IF(AND(tblTarget[[#This Row],[Intercluser Severity]]=4,tblTarget[[#This Row],[Qualifies for exception]]="Flagged",(tblTarget[[#This Row],[Cluster Target]]-tblTarget[[#This Row],[2024 Response capacity up to December]])/tblTarget[[#This Row],[Cluster Target]]&gt;Diff_severity4),"Flagged",""),"No target")</f>
        <v/>
      </c>
      <c r="AM190" s="68" t="str">
        <f>IFERROR(IF(AND(tblTarget[[#This Row],[Intercluser Severity]]=3,tblTarget[[#This Row],[Qualifies for exception]]="Flagged",(tblTarget[[#This Row],[Cluster Target]]-tblTarget[[#This Row],[2024 Response capacity up to December]])/tblTarget[[#This Row],[Cluster Target]]&gt;Diff_severity3),"Flagged",""),"No target")</f>
        <v/>
      </c>
      <c r="AN190" s="81" t="s">
        <v>1099</v>
      </c>
      <c r="AO190" s="81"/>
      <c r="AP190" s="81" t="s">
        <v>15</v>
      </c>
      <c r="AQ190" s="81" t="s">
        <v>1098</v>
      </c>
    </row>
    <row r="191" spans="1:43" ht="15.95" hidden="1" customHeight="1" x14ac:dyDescent="0.2">
      <c r="A191" s="62" t="s">
        <v>628</v>
      </c>
      <c r="B191" s="63" t="s">
        <v>406</v>
      </c>
      <c r="C191" s="64" t="s">
        <v>407</v>
      </c>
      <c r="D191" s="63" t="s">
        <v>428</v>
      </c>
      <c r="E191" s="64" t="s">
        <v>429</v>
      </c>
      <c r="F191" s="65">
        <v>21146</v>
      </c>
      <c r="G191" s="66" t="s">
        <v>30</v>
      </c>
      <c r="H191" s="67">
        <v>15597</v>
      </c>
      <c r="I191" s="68">
        <v>3</v>
      </c>
      <c r="J191" s="68">
        <v>4</v>
      </c>
      <c r="K191" s="91">
        <v>156</v>
      </c>
      <c r="L191" s="91">
        <v>77.39067286962441</v>
      </c>
      <c r="M191" s="91">
        <v>78.609327130375576</v>
      </c>
      <c r="N191" s="91">
        <v>78</v>
      </c>
      <c r="O191" s="91">
        <v>68.64</v>
      </c>
      <c r="P191" s="91">
        <v>9.36</v>
      </c>
      <c r="Q191" s="85">
        <v>23.4</v>
      </c>
      <c r="R191" s="69" t="s">
        <v>1107</v>
      </c>
      <c r="S191" s="86">
        <v>22</v>
      </c>
      <c r="T191" s="69">
        <v>6</v>
      </c>
      <c r="U191" s="68">
        <v>0</v>
      </c>
      <c r="V191" s="68">
        <v>0</v>
      </c>
      <c r="W191" s="68">
        <v>2</v>
      </c>
      <c r="X191" s="68">
        <v>3</v>
      </c>
      <c r="Y191" s="68">
        <v>9</v>
      </c>
      <c r="Z191" s="68">
        <v>2</v>
      </c>
      <c r="AA191" s="68">
        <v>0</v>
      </c>
      <c r="AB191" s="69">
        <v>0</v>
      </c>
      <c r="AC191" s="69">
        <v>0</v>
      </c>
      <c r="AD191" s="70">
        <f>IFERROR(tblTarget[[#This Row],[Cluster Target]]/tblTarget[[#This Row],[Cluster PiN]],0)</f>
        <v>1.0001923446816696E-2</v>
      </c>
      <c r="AE191" s="79">
        <f>_xlfn.XLOOKUP(tblTarget[[#This Row],[ID]],tblResponse[ID],tblResponse[2024 Projected reached (Dec 2024)])</f>
        <v>0</v>
      </c>
      <c r="AF191" s="79">
        <f>_xlfn.XLOOKUP(tblTarget[[#This Row],[ID]],tblResponse[ID],tblResponse[2024 Intercluster reached -August RPM])</f>
        <v>46092.228279962044</v>
      </c>
      <c r="AG191" s="79">
        <v>1</v>
      </c>
      <c r="AH191" s="79"/>
      <c r="AI191" s="79"/>
      <c r="AJ191" s="70" t="str">
        <f>IF(tblTarget[[#This Row],[Target to PiN (%)]]&gt;Targ_vs_PiN,"Flagged","")</f>
        <v/>
      </c>
      <c r="AK191" s="69" t="str">
        <f>IF(AND(tblTarget[[#This Row],[Qualifies for exception]]="Flagged",tblTarget[[#This Row],[Target to PiN (%)]]&gt;Targ_severity5),"Flagged","")</f>
        <v/>
      </c>
      <c r="AL191" s="68" t="str">
        <f>IFERROR(IF(AND(tblTarget[[#This Row],[Intercluser Severity]]=4,tblTarget[[#This Row],[Qualifies for exception]]="Flagged",(tblTarget[[#This Row],[Cluster Target]]-tblTarget[[#This Row],[2024 Response capacity up to December]])/tblTarget[[#This Row],[Cluster Target]]&gt;Diff_severity4),"Flagged",""),"No target")</f>
        <v>Flagged</v>
      </c>
      <c r="AM191" s="68" t="str">
        <f>IFERROR(IF(AND(tblTarget[[#This Row],[Intercluser Severity]]=3,tblTarget[[#This Row],[Qualifies for exception]]="Flagged",(tblTarget[[#This Row],[Cluster Target]]-tblTarget[[#This Row],[2024 Response capacity up to December]])/tblTarget[[#This Row],[Cluster Target]]&gt;Diff_severity3),"Flagged",""),"No target")</f>
        <v/>
      </c>
      <c r="AN191" s="81" t="s">
        <v>1099</v>
      </c>
      <c r="AO191" s="81"/>
      <c r="AP191" s="81" t="s">
        <v>1099</v>
      </c>
      <c r="AQ191" s="81" t="s">
        <v>1107</v>
      </c>
    </row>
    <row r="192" spans="1:43" ht="15.95" customHeight="1" x14ac:dyDescent="0.2">
      <c r="A192" s="62" t="s">
        <v>629</v>
      </c>
      <c r="B192" s="63" t="s">
        <v>406</v>
      </c>
      <c r="C192" s="64" t="s">
        <v>407</v>
      </c>
      <c r="D192" s="63" t="s">
        <v>430</v>
      </c>
      <c r="E192" s="64" t="s">
        <v>431</v>
      </c>
      <c r="F192" s="65">
        <v>59785</v>
      </c>
      <c r="G192" s="66" t="s">
        <v>30</v>
      </c>
      <c r="H192" s="67">
        <v>24533</v>
      </c>
      <c r="I192" s="68">
        <v>3</v>
      </c>
      <c r="J192" s="68">
        <v>4</v>
      </c>
      <c r="K192" s="91">
        <v>793.6</v>
      </c>
      <c r="L192" s="91">
        <v>410.31110371994885</v>
      </c>
      <c r="M192" s="91">
        <v>383.28889628005112</v>
      </c>
      <c r="N192" s="91">
        <v>396.8</v>
      </c>
      <c r="O192" s="91">
        <v>349.18400000000003</v>
      </c>
      <c r="P192" s="91">
        <v>47.616</v>
      </c>
      <c r="Q192" s="85">
        <v>119.03999999999999</v>
      </c>
      <c r="R192" s="69" t="s">
        <v>15</v>
      </c>
      <c r="S192" s="86">
        <v>114</v>
      </c>
      <c r="T192" s="69">
        <v>29</v>
      </c>
      <c r="U192" s="68">
        <v>0</v>
      </c>
      <c r="V192" s="68">
        <v>0</v>
      </c>
      <c r="W192" s="68">
        <v>8</v>
      </c>
      <c r="X192" s="68">
        <v>16</v>
      </c>
      <c r="Y192" s="68">
        <v>48</v>
      </c>
      <c r="Z192" s="68">
        <v>8</v>
      </c>
      <c r="AA192" s="68">
        <v>0</v>
      </c>
      <c r="AB192" s="69">
        <v>0</v>
      </c>
      <c r="AC192" s="69">
        <v>0</v>
      </c>
      <c r="AD192" s="70">
        <f>IFERROR(tblTarget[[#This Row],[Cluster Target]]/tblTarget[[#This Row],[Cluster PiN]],0)</f>
        <v>3.2348265601434806E-2</v>
      </c>
      <c r="AE192" s="79">
        <f>_xlfn.XLOOKUP(tblTarget[[#This Row],[ID]],tblResponse[ID],tblResponse[2024 Projected reached (Dec 2024)])</f>
        <v>0</v>
      </c>
      <c r="AF192" s="79">
        <f>_xlfn.XLOOKUP(tblTarget[[#This Row],[ID]],tblResponse[ID],tblResponse[2024 Intercluster reached -August RPM])</f>
        <v>153.92061659975181</v>
      </c>
      <c r="AG192" s="79">
        <v>1</v>
      </c>
      <c r="AH192" s="79"/>
      <c r="AI192" s="79"/>
      <c r="AJ192" s="70" t="str">
        <f>IF(tblTarget[[#This Row],[Target to PiN (%)]]&gt;Targ_vs_PiN,"Flagged","")</f>
        <v/>
      </c>
      <c r="AK192" s="69" t="str">
        <f>IF(AND(tblTarget[[#This Row],[Qualifies for exception]]="Flagged",tblTarget[[#This Row],[Target to PiN (%)]]&gt;Targ_severity5),"Flagged","")</f>
        <v/>
      </c>
      <c r="AL192" s="68" t="str">
        <f>IFERROR(IF(AND(tblTarget[[#This Row],[Intercluser Severity]]=4,tblTarget[[#This Row],[Qualifies for exception]]="Flagged",(tblTarget[[#This Row],[Cluster Target]]-tblTarget[[#This Row],[2024 Response capacity up to December]])/tblTarget[[#This Row],[Cluster Target]]&gt;Diff_severity4),"Flagged",""),"No target")</f>
        <v/>
      </c>
      <c r="AM192" s="68" t="str">
        <f>IFERROR(IF(AND(tblTarget[[#This Row],[Intercluser Severity]]=3,tblTarget[[#This Row],[Qualifies for exception]]="Flagged",(tblTarget[[#This Row],[Cluster Target]]-tblTarget[[#This Row],[2024 Response capacity up to December]])/tblTarget[[#This Row],[Cluster Target]]&gt;Diff_severity3),"Flagged",""),"No target")</f>
        <v/>
      </c>
      <c r="AN192" s="81" t="s">
        <v>1099</v>
      </c>
      <c r="AO192" s="81"/>
      <c r="AP192" s="81" t="s">
        <v>15</v>
      </c>
      <c r="AQ192" s="81" t="s">
        <v>1098</v>
      </c>
    </row>
    <row r="193" spans="1:43" ht="15.95" hidden="1" customHeight="1" x14ac:dyDescent="0.2">
      <c r="A193" s="62" t="s">
        <v>630</v>
      </c>
      <c r="B193" s="63" t="s">
        <v>406</v>
      </c>
      <c r="C193" s="64" t="s">
        <v>407</v>
      </c>
      <c r="D193" s="63" t="s">
        <v>432</v>
      </c>
      <c r="E193" s="64" t="s">
        <v>433</v>
      </c>
      <c r="F193" s="65">
        <v>9038</v>
      </c>
      <c r="G193" s="66" t="s">
        <v>30</v>
      </c>
      <c r="H193" s="67">
        <v>1754</v>
      </c>
      <c r="I193" s="68">
        <v>3</v>
      </c>
      <c r="J193" s="68">
        <v>3</v>
      </c>
      <c r="K193" s="91">
        <v>0</v>
      </c>
      <c r="L193" s="91">
        <v>0</v>
      </c>
      <c r="M193" s="91">
        <v>0</v>
      </c>
      <c r="N193" s="91">
        <v>0</v>
      </c>
      <c r="O193" s="91">
        <v>0</v>
      </c>
      <c r="P193" s="91">
        <v>0</v>
      </c>
      <c r="Q193" s="85">
        <v>0</v>
      </c>
      <c r="R193" s="69" t="s">
        <v>1107</v>
      </c>
      <c r="S193" s="86">
        <v>0</v>
      </c>
      <c r="T193" s="69">
        <v>0</v>
      </c>
      <c r="U193" s="68">
        <v>0</v>
      </c>
      <c r="V193" s="68">
        <v>0</v>
      </c>
      <c r="W193" s="68">
        <v>0</v>
      </c>
      <c r="X193" s="68">
        <v>0</v>
      </c>
      <c r="Y193" s="68">
        <v>0</v>
      </c>
      <c r="Z193" s="68">
        <v>0</v>
      </c>
      <c r="AA193" s="68">
        <v>0</v>
      </c>
      <c r="AB193" s="69">
        <v>0</v>
      </c>
      <c r="AC193" s="69">
        <v>0</v>
      </c>
      <c r="AD193" s="70">
        <f>IFERROR(tblTarget[[#This Row],[Cluster Target]]/tblTarget[[#This Row],[Cluster PiN]],0)</f>
        <v>0</v>
      </c>
      <c r="AE193" s="79">
        <f>_xlfn.XLOOKUP(tblTarget[[#This Row],[ID]],tblResponse[ID],tblResponse[2024 Projected reached (Dec 2024)])</f>
        <v>0</v>
      </c>
      <c r="AF193" s="79">
        <f>_xlfn.XLOOKUP(tblTarget[[#This Row],[ID]],tblResponse[ID],tblResponse[2024 Intercluster reached -August RPM])</f>
        <v>0</v>
      </c>
      <c r="AG193" s="79">
        <v>1</v>
      </c>
      <c r="AH193" s="79"/>
      <c r="AI193" s="79"/>
      <c r="AJ193" s="70" t="str">
        <f>IF(tblTarget[[#This Row],[Target to PiN (%)]]&gt;Targ_vs_PiN,"Flagged","")</f>
        <v/>
      </c>
      <c r="AK193" s="69" t="str">
        <f>IF(AND(tblTarget[[#This Row],[Qualifies for exception]]="Flagged",tblTarget[[#This Row],[Target to PiN (%)]]&gt;Targ_severity5),"Flagged","")</f>
        <v/>
      </c>
      <c r="AL193" s="68" t="str">
        <f>IFERROR(IF(AND(tblTarget[[#This Row],[Intercluser Severity]]=4,tblTarget[[#This Row],[Qualifies for exception]]="Flagged",(tblTarget[[#This Row],[Cluster Target]]-tblTarget[[#This Row],[2024 Response capacity up to December]])/tblTarget[[#This Row],[Cluster Target]]&gt;Diff_severity4),"Flagged",""),"No target")</f>
        <v>No target</v>
      </c>
      <c r="AM193" s="68" t="str">
        <f>IFERROR(IF(AND(tblTarget[[#This Row],[Intercluser Severity]]=3,tblTarget[[#This Row],[Qualifies for exception]]="Flagged",(tblTarget[[#This Row],[Cluster Target]]-tblTarget[[#This Row],[2024 Response capacity up to December]])/tblTarget[[#This Row],[Cluster Target]]&gt;Diff_severity3),"Flagged",""),"No target")</f>
        <v>No target</v>
      </c>
      <c r="AN193" s="81" t="s">
        <v>1099</v>
      </c>
      <c r="AO193" s="81"/>
      <c r="AP193" s="81" t="s">
        <v>1099</v>
      </c>
      <c r="AQ193" s="81" t="s">
        <v>1107</v>
      </c>
    </row>
    <row r="194" spans="1:43" ht="15.95" customHeight="1" x14ac:dyDescent="0.2">
      <c r="A194" s="62" t="s">
        <v>631</v>
      </c>
      <c r="B194" s="63" t="s">
        <v>406</v>
      </c>
      <c r="C194" s="64" t="s">
        <v>407</v>
      </c>
      <c r="D194" s="63" t="s">
        <v>434</v>
      </c>
      <c r="E194" s="64" t="s">
        <v>435</v>
      </c>
      <c r="F194" s="65">
        <v>16580</v>
      </c>
      <c r="G194" s="66" t="s">
        <v>30</v>
      </c>
      <c r="H194" s="67">
        <v>12228</v>
      </c>
      <c r="I194" s="68">
        <v>3</v>
      </c>
      <c r="J194" s="68">
        <v>4</v>
      </c>
      <c r="K194" s="91">
        <v>118.4</v>
      </c>
      <c r="L194" s="91">
        <v>58.842928917710758</v>
      </c>
      <c r="M194" s="91">
        <v>59.557071082289248</v>
      </c>
      <c r="N194" s="91">
        <v>59.2</v>
      </c>
      <c r="O194" s="91">
        <v>52.096000000000004</v>
      </c>
      <c r="P194" s="91">
        <v>7.1040000000000001</v>
      </c>
      <c r="Q194" s="85">
        <v>17.760000000000002</v>
      </c>
      <c r="R194" s="69" t="s">
        <v>15</v>
      </c>
      <c r="S194" s="86">
        <v>17</v>
      </c>
      <c r="T194" s="69">
        <v>4</v>
      </c>
      <c r="U194" s="68">
        <v>0</v>
      </c>
      <c r="V194" s="68">
        <v>0</v>
      </c>
      <c r="W194" s="68">
        <v>1</v>
      </c>
      <c r="X194" s="68">
        <v>2</v>
      </c>
      <c r="Y194" s="68">
        <v>7</v>
      </c>
      <c r="Z194" s="68">
        <v>1</v>
      </c>
      <c r="AA194" s="68">
        <v>0</v>
      </c>
      <c r="AB194" s="69">
        <v>0</v>
      </c>
      <c r="AC194" s="69">
        <v>0</v>
      </c>
      <c r="AD194" s="70">
        <f>IFERROR(tblTarget[[#This Row],[Cluster Target]]/tblTarget[[#This Row],[Cluster PiN]],0)</f>
        <v>9.6826954530585541E-3</v>
      </c>
      <c r="AE194" s="79">
        <f>_xlfn.XLOOKUP(tblTarget[[#This Row],[ID]],tblResponse[ID],tblResponse[2024 Projected reached (Dec 2024)])</f>
        <v>0</v>
      </c>
      <c r="AF194" s="79">
        <f>_xlfn.XLOOKUP(tblTarget[[#This Row],[ID]],tblResponse[ID],tblResponse[2024 Intercluster reached -August RPM])</f>
        <v>10.494587495437623</v>
      </c>
      <c r="AG194" s="79">
        <v>1</v>
      </c>
      <c r="AH194" s="79"/>
      <c r="AI194" s="79"/>
      <c r="AJ194" s="70" t="str">
        <f>IF(tblTarget[[#This Row],[Target to PiN (%)]]&gt;Targ_vs_PiN,"Flagged","")</f>
        <v/>
      </c>
      <c r="AK194" s="69" t="str">
        <f>IF(AND(tblTarget[[#This Row],[Qualifies for exception]]="Flagged",tblTarget[[#This Row],[Target to PiN (%)]]&gt;Targ_severity5),"Flagged","")</f>
        <v/>
      </c>
      <c r="AL194" s="68" t="str">
        <f>IFERROR(IF(AND(tblTarget[[#This Row],[Intercluser Severity]]=4,tblTarget[[#This Row],[Qualifies for exception]]="Flagged",(tblTarget[[#This Row],[Cluster Target]]-tblTarget[[#This Row],[2024 Response capacity up to December]])/tblTarget[[#This Row],[Cluster Target]]&gt;Diff_severity4),"Flagged",""),"No target")</f>
        <v/>
      </c>
      <c r="AM194" s="68" t="str">
        <f>IFERROR(IF(AND(tblTarget[[#This Row],[Intercluser Severity]]=3,tblTarget[[#This Row],[Qualifies for exception]]="Flagged",(tblTarget[[#This Row],[Cluster Target]]-tblTarget[[#This Row],[2024 Response capacity up to December]])/tblTarget[[#This Row],[Cluster Target]]&gt;Diff_severity3),"Flagged",""),"No target")</f>
        <v/>
      </c>
      <c r="AN194" s="81" t="s">
        <v>1099</v>
      </c>
      <c r="AO194" s="81"/>
      <c r="AP194" s="81" t="s">
        <v>15</v>
      </c>
      <c r="AQ194" s="81" t="s">
        <v>1098</v>
      </c>
    </row>
    <row r="195" spans="1:43" ht="15.95" customHeight="1" x14ac:dyDescent="0.2">
      <c r="A195" s="62" t="s">
        <v>632</v>
      </c>
      <c r="B195" s="63" t="s">
        <v>26</v>
      </c>
      <c r="C195" s="64" t="s">
        <v>27</v>
      </c>
      <c r="D195" s="63" t="s">
        <v>28</v>
      </c>
      <c r="E195" s="64" t="s">
        <v>29</v>
      </c>
      <c r="F195" s="65">
        <v>10542</v>
      </c>
      <c r="G195" s="66" t="s">
        <v>436</v>
      </c>
      <c r="H195" s="71">
        <v>960</v>
      </c>
      <c r="I195" s="68">
        <v>3</v>
      </c>
      <c r="J195" s="68">
        <v>4</v>
      </c>
      <c r="K195" s="91">
        <v>384</v>
      </c>
      <c r="L195" s="91">
        <v>177.8147984555568</v>
      </c>
      <c r="M195" s="91">
        <v>206.1852015444432</v>
      </c>
      <c r="N195" s="91">
        <v>211.20000000000002</v>
      </c>
      <c r="O195" s="91">
        <v>149.76</v>
      </c>
      <c r="P195" s="91">
        <v>23.04</v>
      </c>
      <c r="Q195" s="85">
        <v>57.599999999999994</v>
      </c>
      <c r="R195" s="69" t="s">
        <v>15</v>
      </c>
      <c r="S195" s="86">
        <v>55</v>
      </c>
      <c r="T195" s="68">
        <v>14</v>
      </c>
      <c r="U195" s="68">
        <v>3</v>
      </c>
      <c r="V195" s="68">
        <v>3</v>
      </c>
      <c r="W195" s="68">
        <v>4</v>
      </c>
      <c r="X195" s="68">
        <v>8</v>
      </c>
      <c r="Y195" s="68">
        <v>12</v>
      </c>
      <c r="Z195" s="68">
        <v>8</v>
      </c>
      <c r="AA195" s="68">
        <v>0</v>
      </c>
      <c r="AB195" s="69">
        <v>2</v>
      </c>
      <c r="AC195" s="69">
        <v>0</v>
      </c>
      <c r="AD195" s="70">
        <f>IFERROR(tblTarget[[#This Row],[Cluster Target]]/tblTarget[[#This Row],[Cluster PiN]],0)</f>
        <v>0.4</v>
      </c>
      <c r="AE195" s="79">
        <f>_xlfn.XLOOKUP(tblTarget[[#This Row],[ID]],tblResponse[ID],tblResponse[2024 Projected reached (Dec 2024)])</f>
        <v>0</v>
      </c>
      <c r="AF195" s="79">
        <f>_xlfn.XLOOKUP(tblTarget[[#This Row],[ID]],tblResponse[ID],tblResponse[2024 Intercluster reached -August RPM])</f>
        <v>17116.228992617747</v>
      </c>
      <c r="AG195" s="79">
        <v>2</v>
      </c>
      <c r="AH195" s="79"/>
      <c r="AI195" s="79"/>
      <c r="AJ195" s="70" t="str">
        <f>IF(tblTarget[[#This Row],[Target to PiN (%)]]&gt;Targ_vs_PiN,"Flagged","")</f>
        <v/>
      </c>
      <c r="AK195" s="69" t="str">
        <f>IF(AND(tblTarget[[#This Row],[Qualifies for exception]]="Flagged",tblTarget[[#This Row],[Target to PiN (%)]]&gt;Targ_severity5),"Flagged","")</f>
        <v/>
      </c>
      <c r="AL195" s="68" t="str">
        <f>IFERROR(IF(AND(tblTarget[[#This Row],[Intercluser Severity]]=4,tblTarget[[#This Row],[Qualifies for exception]]="Flagged",(tblTarget[[#This Row],[Cluster Target]]-tblTarget[[#This Row],[2024 Response capacity up to December]])/tblTarget[[#This Row],[Cluster Target]]&gt;Diff_severity4),"Flagged",""),"No target")</f>
        <v/>
      </c>
      <c r="AM195" s="68" t="str">
        <f>IFERROR(IF(AND(tblTarget[[#This Row],[Intercluser Severity]]=3,tblTarget[[#This Row],[Qualifies for exception]]="Flagged",(tblTarget[[#This Row],[Cluster Target]]-tblTarget[[#This Row],[2024 Response capacity up to December]])/tblTarget[[#This Row],[Cluster Target]]&gt;Diff_severity3),"Flagged",""),"No target")</f>
        <v/>
      </c>
      <c r="AN195" s="81" t="s">
        <v>15</v>
      </c>
      <c r="AO195" s="81"/>
      <c r="AP195" s="81" t="s">
        <v>15</v>
      </c>
      <c r="AQ195" s="81" t="s">
        <v>1098</v>
      </c>
    </row>
    <row r="196" spans="1:43" ht="15.95" customHeight="1" x14ac:dyDescent="0.2">
      <c r="A196" s="62" t="s">
        <v>633</v>
      </c>
      <c r="B196" s="63" t="s">
        <v>26</v>
      </c>
      <c r="C196" s="64" t="s">
        <v>27</v>
      </c>
      <c r="D196" s="63" t="s">
        <v>31</v>
      </c>
      <c r="E196" s="64" t="s">
        <v>32</v>
      </c>
      <c r="F196" s="65">
        <v>10043</v>
      </c>
      <c r="G196" s="66" t="s">
        <v>436</v>
      </c>
      <c r="H196" s="71">
        <v>2287</v>
      </c>
      <c r="I196" s="68">
        <v>4</v>
      </c>
      <c r="J196" s="68">
        <v>4</v>
      </c>
      <c r="K196" s="91">
        <v>229</v>
      </c>
      <c r="L196" s="91">
        <v>105.86712875977351</v>
      </c>
      <c r="M196" s="91">
        <v>123.13287124022649</v>
      </c>
      <c r="N196" s="91">
        <v>125.95000000000002</v>
      </c>
      <c r="O196" s="91">
        <v>89.31</v>
      </c>
      <c r="P196" s="91">
        <v>13.74</v>
      </c>
      <c r="Q196" s="85">
        <v>34.35</v>
      </c>
      <c r="R196" s="68" t="s">
        <v>436</v>
      </c>
      <c r="S196" s="86">
        <v>33</v>
      </c>
      <c r="T196" s="68">
        <v>8</v>
      </c>
      <c r="U196" s="68">
        <v>2</v>
      </c>
      <c r="V196" s="68">
        <v>2</v>
      </c>
      <c r="W196" s="68">
        <v>2</v>
      </c>
      <c r="X196" s="68">
        <v>5</v>
      </c>
      <c r="Y196" s="68">
        <v>7</v>
      </c>
      <c r="Z196" s="68">
        <v>5</v>
      </c>
      <c r="AA196" s="68">
        <v>0</v>
      </c>
      <c r="AB196" s="69">
        <v>0</v>
      </c>
      <c r="AC196" s="69">
        <v>0</v>
      </c>
      <c r="AD196" s="70">
        <f>IFERROR(tblTarget[[#This Row],[Cluster Target]]/tblTarget[[#This Row],[Cluster PiN]],0)</f>
        <v>0.10013117621337997</v>
      </c>
      <c r="AE196" s="79">
        <f>_xlfn.XLOOKUP(tblTarget[[#This Row],[ID]],tblResponse[ID],tblResponse[2024 Projected reached (Dec 2024)])</f>
        <v>0</v>
      </c>
      <c r="AF196" s="79">
        <f>_xlfn.XLOOKUP(tblTarget[[#This Row],[ID]],tblResponse[ID],tblResponse[2024 Intercluster reached -August RPM])</f>
        <v>811.32015939789574</v>
      </c>
      <c r="AG196" s="79">
        <v>1</v>
      </c>
      <c r="AH196" s="79"/>
      <c r="AI196" s="79"/>
      <c r="AJ196" s="70" t="str">
        <f>IF(tblTarget[[#This Row],[Target to PiN (%)]]&gt;Targ_vs_PiN,"Flagged","")</f>
        <v/>
      </c>
      <c r="AK196" s="69" t="str">
        <f>IF(AND(tblTarget[[#This Row],[Qualifies for exception]]="Flagged",tblTarget[[#This Row],[Target to PiN (%)]]&gt;Targ_severity5),"Flagged","")</f>
        <v/>
      </c>
      <c r="AL196" s="68" t="str">
        <f>IFERROR(IF(AND(tblTarget[[#This Row],[Intercluser Severity]]=4,tblTarget[[#This Row],[Qualifies for exception]]="Flagged",(tblTarget[[#This Row],[Cluster Target]]-tblTarget[[#This Row],[2024 Response capacity up to December]])/tblTarget[[#This Row],[Cluster Target]]&gt;Diff_severity4),"Flagged",""),"No target")</f>
        <v>Flagged</v>
      </c>
      <c r="AM196" s="68" t="str">
        <f>IFERROR(IF(AND(tblTarget[[#This Row],[Intercluser Severity]]=3,tblTarget[[#This Row],[Qualifies for exception]]="Flagged",(tblTarget[[#This Row],[Cluster Target]]-tblTarget[[#This Row],[2024 Response capacity up to December]])/tblTarget[[#This Row],[Cluster Target]]&gt;Diff_severity3),"Flagged",""),"No target")</f>
        <v/>
      </c>
      <c r="AN196" s="81" t="s">
        <v>1099</v>
      </c>
      <c r="AO196" s="81"/>
      <c r="AP196" s="81" t="s">
        <v>1099</v>
      </c>
      <c r="AQ196" s="81" t="s">
        <v>1107</v>
      </c>
    </row>
    <row r="197" spans="1:43" ht="15.95" customHeight="1" x14ac:dyDescent="0.2">
      <c r="A197" s="62" t="s">
        <v>634</v>
      </c>
      <c r="B197" s="63" t="s">
        <v>26</v>
      </c>
      <c r="C197" s="64" t="s">
        <v>27</v>
      </c>
      <c r="D197" s="63" t="s">
        <v>33</v>
      </c>
      <c r="E197" s="64" t="s">
        <v>34</v>
      </c>
      <c r="F197" s="65">
        <v>33400</v>
      </c>
      <c r="G197" s="66" t="s">
        <v>436</v>
      </c>
      <c r="H197" s="71">
        <v>6083</v>
      </c>
      <c r="I197" s="68">
        <v>4</v>
      </c>
      <c r="J197" s="68">
        <v>4</v>
      </c>
      <c r="K197" s="91">
        <v>3650</v>
      </c>
      <c r="L197" s="91">
        <v>1722.8556821564628</v>
      </c>
      <c r="M197" s="91">
        <v>1927.1443178435375</v>
      </c>
      <c r="N197" s="91">
        <v>2007.5000000000002</v>
      </c>
      <c r="O197" s="91">
        <v>1423.5</v>
      </c>
      <c r="P197" s="91">
        <v>219</v>
      </c>
      <c r="Q197" s="85">
        <v>547.5</v>
      </c>
      <c r="R197" s="68" t="s">
        <v>15</v>
      </c>
      <c r="S197" s="86">
        <v>526</v>
      </c>
      <c r="T197" s="68">
        <v>131</v>
      </c>
      <c r="U197" s="68">
        <v>25</v>
      </c>
      <c r="V197" s="68">
        <v>33</v>
      </c>
      <c r="W197" s="68">
        <v>37</v>
      </c>
      <c r="X197" s="68">
        <v>73</v>
      </c>
      <c r="Y197" s="68">
        <v>110</v>
      </c>
      <c r="Z197" s="68">
        <v>73</v>
      </c>
      <c r="AA197" s="68">
        <v>0</v>
      </c>
      <c r="AB197" s="69">
        <v>10</v>
      </c>
      <c r="AC197" s="69">
        <v>37.669527532706297</v>
      </c>
      <c r="AD197" s="70">
        <f>IFERROR(tblTarget[[#This Row],[Cluster Target]]/tblTarget[[#This Row],[Cluster PiN]],0)</f>
        <v>0.6000328785138912</v>
      </c>
      <c r="AE197" s="79">
        <f>_xlfn.XLOOKUP(tblTarget[[#This Row],[ID]],tblResponse[ID],tblResponse[2024 Projected reached (Dec 2024)])</f>
        <v>0</v>
      </c>
      <c r="AF197" s="79">
        <f>_xlfn.XLOOKUP(tblTarget[[#This Row],[ID]],tblResponse[ID],tblResponse[2024 Intercluster reached -August RPM])</f>
        <v>9991.6275787918185</v>
      </c>
      <c r="AG197" s="79">
        <v>1</v>
      </c>
      <c r="AH197" s="79"/>
      <c r="AI197" s="79"/>
      <c r="AJ197" s="70" t="str">
        <f>IF(tblTarget[[#This Row],[Target to PiN (%)]]&gt;Targ_vs_PiN,"Flagged","")</f>
        <v/>
      </c>
      <c r="AK197" s="69" t="str">
        <f>IF(AND(tblTarget[[#This Row],[Qualifies for exception]]="Flagged",tblTarget[[#This Row],[Target to PiN (%)]]&gt;Targ_severity5),"Flagged","")</f>
        <v/>
      </c>
      <c r="AL197" s="68" t="str">
        <f>IFERROR(IF(AND(tblTarget[[#This Row],[Intercluser Severity]]=4,tblTarget[[#This Row],[Qualifies for exception]]="Flagged",(tblTarget[[#This Row],[Cluster Target]]-tblTarget[[#This Row],[2024 Response capacity up to December]])/tblTarget[[#This Row],[Cluster Target]]&gt;Diff_severity4),"Flagged",""),"No target")</f>
        <v/>
      </c>
      <c r="AM197" s="68" t="str">
        <f>IFERROR(IF(AND(tblTarget[[#This Row],[Intercluser Severity]]=3,tblTarget[[#This Row],[Qualifies for exception]]="Flagged",(tblTarget[[#This Row],[Cluster Target]]-tblTarget[[#This Row],[2024 Response capacity up to December]])/tblTarget[[#This Row],[Cluster Target]]&gt;Diff_severity3),"Flagged",""),"No target")</f>
        <v/>
      </c>
      <c r="AN197" s="81" t="s">
        <v>1099</v>
      </c>
      <c r="AO197" s="81"/>
      <c r="AP197" s="81" t="s">
        <v>15</v>
      </c>
      <c r="AQ197" s="81" t="s">
        <v>1098</v>
      </c>
    </row>
    <row r="198" spans="1:43" ht="15.95" customHeight="1" x14ac:dyDescent="0.2">
      <c r="A198" s="62" t="s">
        <v>635</v>
      </c>
      <c r="B198" s="63" t="s">
        <v>26</v>
      </c>
      <c r="C198" s="64" t="s">
        <v>27</v>
      </c>
      <c r="D198" s="63" t="s">
        <v>35</v>
      </c>
      <c r="E198" s="64" t="s">
        <v>36</v>
      </c>
      <c r="F198" s="65">
        <v>25215</v>
      </c>
      <c r="G198" s="66" t="s">
        <v>436</v>
      </c>
      <c r="H198" s="71">
        <v>4592</v>
      </c>
      <c r="I198" s="68">
        <v>4</v>
      </c>
      <c r="J198" s="68">
        <v>4</v>
      </c>
      <c r="K198" s="91">
        <v>1837</v>
      </c>
      <c r="L198" s="91">
        <v>858.25377717121546</v>
      </c>
      <c r="M198" s="91">
        <v>978.74622282878454</v>
      </c>
      <c r="N198" s="91">
        <v>1010.3500000000001</v>
      </c>
      <c r="O198" s="91">
        <v>716.43000000000006</v>
      </c>
      <c r="P198" s="91">
        <v>110.22</v>
      </c>
      <c r="Q198" s="85">
        <v>275.55</v>
      </c>
      <c r="R198" s="68" t="s">
        <v>436</v>
      </c>
      <c r="S198" s="86">
        <v>265</v>
      </c>
      <c r="T198" s="68">
        <v>66</v>
      </c>
      <c r="U198" s="68">
        <v>12</v>
      </c>
      <c r="V198" s="68">
        <v>17</v>
      </c>
      <c r="W198" s="68">
        <v>18</v>
      </c>
      <c r="X198" s="68">
        <v>37</v>
      </c>
      <c r="Y198" s="68">
        <v>55</v>
      </c>
      <c r="Z198" s="68">
        <v>37</v>
      </c>
      <c r="AA198" s="68">
        <v>0</v>
      </c>
      <c r="AB198" s="69">
        <v>6</v>
      </c>
      <c r="AC198" s="69">
        <v>0</v>
      </c>
      <c r="AD198" s="70">
        <f>IFERROR(tblTarget[[#This Row],[Cluster Target]]/tblTarget[[#This Row],[Cluster PiN]],0)</f>
        <v>0.40004355400696862</v>
      </c>
      <c r="AE198" s="79">
        <f>_xlfn.XLOOKUP(tblTarget[[#This Row],[ID]],tblResponse[ID],tblResponse[2024 Projected reached (Dec 2024)])</f>
        <v>0</v>
      </c>
      <c r="AF198" s="79">
        <f>_xlfn.XLOOKUP(tblTarget[[#This Row],[ID]],tblResponse[ID],tblResponse[2024 Intercluster reached -August RPM])</f>
        <v>5709.5014735953255</v>
      </c>
      <c r="AG198" s="79">
        <v>1</v>
      </c>
      <c r="AH198" s="79"/>
      <c r="AI198" s="79"/>
      <c r="AJ198" s="70" t="str">
        <f>IF(tblTarget[[#This Row],[Target to PiN (%)]]&gt;Targ_vs_PiN,"Flagged","")</f>
        <v/>
      </c>
      <c r="AK198" s="69" t="str">
        <f>IF(AND(tblTarget[[#This Row],[Qualifies for exception]]="Flagged",tblTarget[[#This Row],[Target to PiN (%)]]&gt;Targ_severity5),"Flagged","")</f>
        <v/>
      </c>
      <c r="AL198" s="68" t="str">
        <f>IFERROR(IF(AND(tblTarget[[#This Row],[Intercluser Severity]]=4,tblTarget[[#This Row],[Qualifies for exception]]="Flagged",(tblTarget[[#This Row],[Cluster Target]]-tblTarget[[#This Row],[2024 Response capacity up to December]])/tblTarget[[#This Row],[Cluster Target]]&gt;Diff_severity4),"Flagged",""),"No target")</f>
        <v>Flagged</v>
      </c>
      <c r="AM198" s="68" t="str">
        <f>IFERROR(IF(AND(tblTarget[[#This Row],[Intercluser Severity]]=3,tblTarget[[#This Row],[Qualifies for exception]]="Flagged",(tblTarget[[#This Row],[Cluster Target]]-tblTarget[[#This Row],[2024 Response capacity up to December]])/tblTarget[[#This Row],[Cluster Target]]&gt;Diff_severity3),"Flagged",""),"No target")</f>
        <v/>
      </c>
      <c r="AN198" s="81" t="s">
        <v>1099</v>
      </c>
      <c r="AO198" s="81"/>
      <c r="AP198" s="81" t="s">
        <v>1099</v>
      </c>
      <c r="AQ198" s="81" t="s">
        <v>1107</v>
      </c>
    </row>
    <row r="199" spans="1:43" ht="15.95" customHeight="1" x14ac:dyDescent="0.2">
      <c r="A199" s="62" t="s">
        <v>636</v>
      </c>
      <c r="B199" s="63" t="s">
        <v>26</v>
      </c>
      <c r="C199" s="64" t="s">
        <v>27</v>
      </c>
      <c r="D199" s="63" t="s">
        <v>37</v>
      </c>
      <c r="E199" s="64" t="s">
        <v>38</v>
      </c>
      <c r="F199" s="65">
        <v>18823</v>
      </c>
      <c r="G199" s="66" t="s">
        <v>436</v>
      </c>
      <c r="H199" s="71">
        <v>1714</v>
      </c>
      <c r="I199" s="68">
        <v>3</v>
      </c>
      <c r="J199" s="68">
        <v>3</v>
      </c>
      <c r="K199" s="91">
        <v>1028</v>
      </c>
      <c r="L199" s="91">
        <v>488.81948804920972</v>
      </c>
      <c r="M199" s="91">
        <v>539.18051195079033</v>
      </c>
      <c r="N199" s="91">
        <v>565.40000000000009</v>
      </c>
      <c r="O199" s="91">
        <v>400.92</v>
      </c>
      <c r="P199" s="91">
        <v>61.68</v>
      </c>
      <c r="Q199" s="85">
        <v>154.19999999999999</v>
      </c>
      <c r="R199" s="68" t="s">
        <v>436</v>
      </c>
      <c r="S199" s="86">
        <v>148</v>
      </c>
      <c r="T199" s="68">
        <v>37</v>
      </c>
      <c r="U199" s="68">
        <v>7</v>
      </c>
      <c r="V199" s="68">
        <v>9</v>
      </c>
      <c r="W199" s="68">
        <v>10</v>
      </c>
      <c r="X199" s="68">
        <v>21</v>
      </c>
      <c r="Y199" s="68">
        <v>31</v>
      </c>
      <c r="Z199" s="68">
        <v>21</v>
      </c>
      <c r="AA199" s="68">
        <v>0</v>
      </c>
      <c r="AB199" s="69">
        <v>4</v>
      </c>
      <c r="AC199" s="69">
        <v>0</v>
      </c>
      <c r="AD199" s="70">
        <f>IFERROR(tblTarget[[#This Row],[Cluster Target]]/tblTarget[[#This Row],[Cluster PiN]],0)</f>
        <v>0.59976662777129519</v>
      </c>
      <c r="AE199" s="79">
        <f>_xlfn.XLOOKUP(tblTarget[[#This Row],[ID]],tblResponse[ID],tblResponse[2024 Projected reached (Dec 2024)])</f>
        <v>33295</v>
      </c>
      <c r="AF199" s="79">
        <f>_xlfn.XLOOKUP(tblTarget[[#This Row],[ID]],tblResponse[ID],tblResponse[2024 Intercluster reached -August RPM])</f>
        <v>24298.496371326986</v>
      </c>
      <c r="AG199" s="79">
        <v>5</v>
      </c>
      <c r="AH199" s="79"/>
      <c r="AI199" s="79"/>
      <c r="AJ199" s="70" t="str">
        <f>IF(tblTarget[[#This Row],[Target to PiN (%)]]&gt;Targ_vs_PiN,"Flagged","")</f>
        <v/>
      </c>
      <c r="AK199" s="69" t="str">
        <f>IF(AND(tblTarget[[#This Row],[Qualifies for exception]]="Flagged",tblTarget[[#This Row],[Target to PiN (%)]]&gt;Targ_severity5),"Flagged","")</f>
        <v/>
      </c>
      <c r="AL199" s="68" t="str">
        <f>IFERROR(IF(AND(tblTarget[[#This Row],[Intercluser Severity]]=4,tblTarget[[#This Row],[Qualifies for exception]]="Flagged",(tblTarget[[#This Row],[Cluster Target]]-tblTarget[[#This Row],[2024 Response capacity up to December]])/tblTarget[[#This Row],[Cluster Target]]&gt;Diff_severity4),"Flagged",""),"No target")</f>
        <v/>
      </c>
      <c r="AM199" s="68" t="str">
        <f>IFERROR(IF(AND(tblTarget[[#This Row],[Intercluser Severity]]=3,tblTarget[[#This Row],[Qualifies for exception]]="Flagged",(tblTarget[[#This Row],[Cluster Target]]-tblTarget[[#This Row],[2024 Response capacity up to December]])/tblTarget[[#This Row],[Cluster Target]]&gt;Diff_severity3),"Flagged",""),"No target")</f>
        <v/>
      </c>
      <c r="AN199" s="81" t="s">
        <v>1099</v>
      </c>
      <c r="AO199" s="81"/>
      <c r="AP199" s="81" t="s">
        <v>1099</v>
      </c>
      <c r="AQ199" s="81" t="s">
        <v>1107</v>
      </c>
    </row>
    <row r="200" spans="1:43" ht="15.95" customHeight="1" x14ac:dyDescent="0.2">
      <c r="A200" s="62" t="s">
        <v>637</v>
      </c>
      <c r="B200" s="63" t="s">
        <v>26</v>
      </c>
      <c r="C200" s="64" t="s">
        <v>27</v>
      </c>
      <c r="D200" s="63" t="s">
        <v>39</v>
      </c>
      <c r="E200" s="64" t="s">
        <v>40</v>
      </c>
      <c r="F200" s="65">
        <v>12871</v>
      </c>
      <c r="G200" s="66" t="s">
        <v>436</v>
      </c>
      <c r="H200" s="71">
        <v>2930</v>
      </c>
      <c r="I200" s="68">
        <v>4</v>
      </c>
      <c r="J200" s="68">
        <v>4</v>
      </c>
      <c r="K200" s="91">
        <v>1758</v>
      </c>
      <c r="L200" s="91">
        <v>829.19110193038489</v>
      </c>
      <c r="M200" s="91">
        <v>928.80889806961511</v>
      </c>
      <c r="N200" s="91">
        <v>966.90000000000009</v>
      </c>
      <c r="O200" s="91">
        <v>685.62</v>
      </c>
      <c r="P200" s="91">
        <v>105.47999999999999</v>
      </c>
      <c r="Q200" s="85">
        <v>263.7</v>
      </c>
      <c r="R200" s="68" t="s">
        <v>15</v>
      </c>
      <c r="S200" s="86">
        <v>253</v>
      </c>
      <c r="T200" s="68">
        <v>63</v>
      </c>
      <c r="U200" s="68">
        <v>12</v>
      </c>
      <c r="V200" s="68">
        <v>16</v>
      </c>
      <c r="W200" s="68">
        <v>18</v>
      </c>
      <c r="X200" s="68">
        <v>35</v>
      </c>
      <c r="Y200" s="68">
        <v>53</v>
      </c>
      <c r="Z200" s="68">
        <v>35</v>
      </c>
      <c r="AA200" s="68">
        <v>0</v>
      </c>
      <c r="AB200" s="69">
        <v>6</v>
      </c>
      <c r="AC200" s="69">
        <v>0</v>
      </c>
      <c r="AD200" s="70">
        <f>IFERROR(tblTarget[[#This Row],[Cluster Target]]/tblTarget[[#This Row],[Cluster PiN]],0)</f>
        <v>0.6</v>
      </c>
      <c r="AE200" s="79">
        <f>_xlfn.XLOOKUP(tblTarget[[#This Row],[ID]],tblResponse[ID],tblResponse[2024 Projected reached (Dec 2024)])</f>
        <v>60000</v>
      </c>
      <c r="AF200" s="79">
        <f>_xlfn.XLOOKUP(tblTarget[[#This Row],[ID]],tblResponse[ID],tblResponse[2024 Intercluster reached -August RPM])</f>
        <v>22201.396480075422</v>
      </c>
      <c r="AG200" s="79">
        <v>6</v>
      </c>
      <c r="AH200" s="79"/>
      <c r="AI200" s="79"/>
      <c r="AJ200" s="70" t="str">
        <f>IF(tblTarget[[#This Row],[Target to PiN (%)]]&gt;Targ_vs_PiN,"Flagged","")</f>
        <v/>
      </c>
      <c r="AK200" s="69" t="str">
        <f>IF(AND(tblTarget[[#This Row],[Qualifies for exception]]="Flagged",tblTarget[[#This Row],[Target to PiN (%)]]&gt;Targ_severity5),"Flagged","")</f>
        <v/>
      </c>
      <c r="AL200" s="68" t="str">
        <f>IFERROR(IF(AND(tblTarget[[#This Row],[Intercluser Severity]]=4,tblTarget[[#This Row],[Qualifies for exception]]="Flagged",(tblTarget[[#This Row],[Cluster Target]]-tblTarget[[#This Row],[2024 Response capacity up to December]])/tblTarget[[#This Row],[Cluster Target]]&gt;Diff_severity4),"Flagged",""),"No target")</f>
        <v/>
      </c>
      <c r="AM200" s="68" t="str">
        <f>IFERROR(IF(AND(tblTarget[[#This Row],[Intercluser Severity]]=3,tblTarget[[#This Row],[Qualifies for exception]]="Flagged",(tblTarget[[#This Row],[Cluster Target]]-tblTarget[[#This Row],[2024 Response capacity up to December]])/tblTarget[[#This Row],[Cluster Target]]&gt;Diff_severity3),"Flagged",""),"No target")</f>
        <v/>
      </c>
      <c r="AN200" s="81" t="s">
        <v>1099</v>
      </c>
      <c r="AO200" s="81"/>
      <c r="AP200" s="81" t="s">
        <v>15</v>
      </c>
      <c r="AQ200" s="81" t="s">
        <v>1098</v>
      </c>
    </row>
    <row r="201" spans="1:43" ht="15.95" customHeight="1" x14ac:dyDescent="0.2">
      <c r="A201" s="62" t="s">
        <v>638</v>
      </c>
      <c r="B201" s="63" t="s">
        <v>26</v>
      </c>
      <c r="C201" s="64" t="s">
        <v>27</v>
      </c>
      <c r="D201" s="63" t="s">
        <v>26</v>
      </c>
      <c r="E201" s="64" t="s">
        <v>41</v>
      </c>
      <c r="F201" s="65">
        <v>6805</v>
      </c>
      <c r="G201" s="66" t="s">
        <v>436</v>
      </c>
      <c r="H201" s="71">
        <v>1549</v>
      </c>
      <c r="I201" s="68">
        <v>4</v>
      </c>
      <c r="J201" s="68">
        <v>4</v>
      </c>
      <c r="K201" s="91">
        <v>620</v>
      </c>
      <c r="L201" s="91">
        <v>290.3254281828024</v>
      </c>
      <c r="M201" s="91">
        <v>329.67457181719766</v>
      </c>
      <c r="N201" s="91">
        <v>341</v>
      </c>
      <c r="O201" s="91">
        <v>241.8</v>
      </c>
      <c r="P201" s="91">
        <v>37.199999999999996</v>
      </c>
      <c r="Q201" s="85">
        <v>93</v>
      </c>
      <c r="R201" s="68" t="s">
        <v>15</v>
      </c>
      <c r="S201" s="86">
        <v>89</v>
      </c>
      <c r="T201" s="68">
        <v>22</v>
      </c>
      <c r="U201" s="68">
        <v>4</v>
      </c>
      <c r="V201" s="68">
        <v>6</v>
      </c>
      <c r="W201" s="68">
        <v>6</v>
      </c>
      <c r="X201" s="68">
        <v>12</v>
      </c>
      <c r="Y201" s="68">
        <v>19</v>
      </c>
      <c r="Z201" s="68">
        <v>12</v>
      </c>
      <c r="AA201" s="68">
        <v>0</v>
      </c>
      <c r="AB201" s="69">
        <v>2</v>
      </c>
      <c r="AC201" s="69">
        <v>0</v>
      </c>
      <c r="AD201" s="70">
        <f>IFERROR(tblTarget[[#This Row],[Cluster Target]]/tblTarget[[#This Row],[Cluster PiN]],0)</f>
        <v>0.40025823111684961</v>
      </c>
      <c r="AE201" s="79">
        <f>_xlfn.XLOOKUP(tblTarget[[#This Row],[ID]],tblResponse[ID],tblResponse[2024 Projected reached (Dec 2024)])</f>
        <v>0</v>
      </c>
      <c r="AF201" s="79">
        <f>_xlfn.XLOOKUP(tblTarget[[#This Row],[ID]],tblResponse[ID],tblResponse[2024 Intercluster reached -August RPM])</f>
        <v>28502.116831261545</v>
      </c>
      <c r="AG201" s="79">
        <v>1</v>
      </c>
      <c r="AH201" s="79"/>
      <c r="AI201" s="79"/>
      <c r="AJ201" s="70" t="str">
        <f>IF(tblTarget[[#This Row],[Target to PiN (%)]]&gt;Targ_vs_PiN,"Flagged","")</f>
        <v/>
      </c>
      <c r="AK201" s="69" t="str">
        <f>IF(AND(tblTarget[[#This Row],[Qualifies for exception]]="Flagged",tblTarget[[#This Row],[Target to PiN (%)]]&gt;Targ_severity5),"Flagged","")</f>
        <v/>
      </c>
      <c r="AL201" s="68" t="str">
        <f>IFERROR(IF(AND(tblTarget[[#This Row],[Intercluser Severity]]=4,tblTarget[[#This Row],[Qualifies for exception]]="Flagged",(tblTarget[[#This Row],[Cluster Target]]-tblTarget[[#This Row],[2024 Response capacity up to December]])/tblTarget[[#This Row],[Cluster Target]]&gt;Diff_severity4),"Flagged",""),"No target")</f>
        <v/>
      </c>
      <c r="AM201" s="68" t="str">
        <f>IFERROR(IF(AND(tblTarget[[#This Row],[Intercluser Severity]]=3,tblTarget[[#This Row],[Qualifies for exception]]="Flagged",(tblTarget[[#This Row],[Cluster Target]]-tblTarget[[#This Row],[2024 Response capacity up to December]])/tblTarget[[#This Row],[Cluster Target]]&gt;Diff_severity3),"Flagged",""),"No target")</f>
        <v/>
      </c>
      <c r="AN201" s="81" t="s">
        <v>15</v>
      </c>
      <c r="AO201" s="81"/>
      <c r="AP201" s="81" t="s">
        <v>15</v>
      </c>
      <c r="AQ201" s="81" t="s">
        <v>1098</v>
      </c>
    </row>
    <row r="202" spans="1:43" ht="15.95" customHeight="1" x14ac:dyDescent="0.2">
      <c r="A202" s="62" t="s">
        <v>639</v>
      </c>
      <c r="B202" s="63" t="s">
        <v>42</v>
      </c>
      <c r="C202" s="64" t="s">
        <v>43</v>
      </c>
      <c r="D202" s="63" t="s">
        <v>44</v>
      </c>
      <c r="E202" s="64" t="s">
        <v>45</v>
      </c>
      <c r="F202" s="65">
        <v>124035</v>
      </c>
      <c r="G202" s="66" t="s">
        <v>436</v>
      </c>
      <c r="H202" s="67">
        <v>81577</v>
      </c>
      <c r="I202" s="68">
        <v>3</v>
      </c>
      <c r="J202" s="68">
        <v>4</v>
      </c>
      <c r="K202" s="91">
        <v>32631</v>
      </c>
      <c r="L202" s="91">
        <v>15378.96519744133</v>
      </c>
      <c r="M202" s="91">
        <v>17252.034802558668</v>
      </c>
      <c r="N202" s="91">
        <v>17947.050000000003</v>
      </c>
      <c r="O202" s="91">
        <v>12726.09</v>
      </c>
      <c r="P202" s="91">
        <v>1957.86</v>
      </c>
      <c r="Q202" s="85">
        <v>4894.6499999999996</v>
      </c>
      <c r="R202" s="68" t="s">
        <v>436</v>
      </c>
      <c r="S202" s="86">
        <v>4699</v>
      </c>
      <c r="T202" s="68">
        <v>1175</v>
      </c>
      <c r="U202" s="68">
        <v>220</v>
      </c>
      <c r="V202" s="68">
        <v>294</v>
      </c>
      <c r="W202" s="68">
        <v>326</v>
      </c>
      <c r="X202" s="68">
        <v>653</v>
      </c>
      <c r="Y202" s="68">
        <v>979</v>
      </c>
      <c r="Z202" s="68">
        <v>653</v>
      </c>
      <c r="AA202" s="68">
        <v>0</v>
      </c>
      <c r="AB202" s="69">
        <v>96</v>
      </c>
      <c r="AC202" s="69">
        <v>188.34763766353149</v>
      </c>
      <c r="AD202" s="70">
        <f>IFERROR(tblTarget[[#This Row],[Cluster Target]]/tblTarget[[#This Row],[Cluster PiN]],0)</f>
        <v>0.40000245167142701</v>
      </c>
      <c r="AE202" s="79">
        <f>_xlfn.XLOOKUP(tblTarget[[#This Row],[ID]],tblResponse[ID],tblResponse[2024 Projected reached (Dec 2024)])</f>
        <v>3750</v>
      </c>
      <c r="AF202" s="79">
        <f>_xlfn.XLOOKUP(tblTarget[[#This Row],[ID]],tblResponse[ID],tblResponse[2024 Intercluster reached -August RPM])</f>
        <v>1270.3640778749598</v>
      </c>
      <c r="AG202" s="79">
        <v>1</v>
      </c>
      <c r="AH202" s="79"/>
      <c r="AI202" s="79"/>
      <c r="AJ202" s="70" t="str">
        <f>IF(tblTarget[[#This Row],[Target to PiN (%)]]&gt;Targ_vs_PiN,"Flagged","")</f>
        <v/>
      </c>
      <c r="AK202" s="69" t="str">
        <f>IF(AND(tblTarget[[#This Row],[Qualifies for exception]]="Flagged",tblTarget[[#This Row],[Target to PiN (%)]]&gt;Targ_severity5),"Flagged","")</f>
        <v/>
      </c>
      <c r="AL202" s="68" t="str">
        <f>IFERROR(IF(AND(tblTarget[[#This Row],[Intercluser Severity]]=4,tblTarget[[#This Row],[Qualifies for exception]]="Flagged",(tblTarget[[#This Row],[Cluster Target]]-tblTarget[[#This Row],[2024 Response capacity up to December]])/tblTarget[[#This Row],[Cluster Target]]&gt;Diff_severity4),"Flagged",""),"No target")</f>
        <v>Flagged</v>
      </c>
      <c r="AM202" s="68" t="str">
        <f>IFERROR(IF(AND(tblTarget[[#This Row],[Intercluser Severity]]=3,tblTarget[[#This Row],[Qualifies for exception]]="Flagged",(tblTarget[[#This Row],[Cluster Target]]-tblTarget[[#This Row],[2024 Response capacity up to December]])/tblTarget[[#This Row],[Cluster Target]]&gt;Diff_severity3),"Flagged",""),"No target")</f>
        <v/>
      </c>
      <c r="AN202" s="81" t="s">
        <v>1099</v>
      </c>
      <c r="AO202" s="81"/>
      <c r="AP202" s="81" t="s">
        <v>1099</v>
      </c>
      <c r="AQ202" s="81" t="s">
        <v>1107</v>
      </c>
    </row>
    <row r="203" spans="1:43" ht="15.95" customHeight="1" x14ac:dyDescent="0.2">
      <c r="A203" s="62" t="s">
        <v>640</v>
      </c>
      <c r="B203" s="63" t="s">
        <v>42</v>
      </c>
      <c r="C203" s="64" t="s">
        <v>43</v>
      </c>
      <c r="D203" s="63" t="s">
        <v>46</v>
      </c>
      <c r="E203" s="64" t="s">
        <v>47</v>
      </c>
      <c r="F203" s="65">
        <v>702481</v>
      </c>
      <c r="G203" s="66" t="s">
        <v>436</v>
      </c>
      <c r="H203" s="71">
        <v>324560</v>
      </c>
      <c r="I203" s="68">
        <v>4</v>
      </c>
      <c r="J203" s="68">
        <v>5</v>
      </c>
      <c r="K203" s="91">
        <v>285612.80000000005</v>
      </c>
      <c r="L203" s="91">
        <v>144011.40148947365</v>
      </c>
      <c r="M203" s="91">
        <v>141601.3985105264</v>
      </c>
      <c r="N203" s="91">
        <v>157087.04000000004</v>
      </c>
      <c r="O203" s="91">
        <v>111388.99200000003</v>
      </c>
      <c r="P203" s="91">
        <v>17136.768000000004</v>
      </c>
      <c r="Q203" s="85">
        <v>42841.920000000006</v>
      </c>
      <c r="R203" s="68" t="s">
        <v>15</v>
      </c>
      <c r="S203" s="86">
        <v>40886.6</v>
      </c>
      <c r="T203" s="68">
        <v>10225.4</v>
      </c>
      <c r="U203" s="68">
        <v>1920</v>
      </c>
      <c r="V203" s="68">
        <v>2560</v>
      </c>
      <c r="W203" s="68">
        <v>2840</v>
      </c>
      <c r="X203" s="68">
        <v>5681</v>
      </c>
      <c r="Y203" s="68">
        <v>8504</v>
      </c>
      <c r="Z203" s="68">
        <v>5687</v>
      </c>
      <c r="AA203" s="68">
        <v>0</v>
      </c>
      <c r="AB203" s="69">
        <v>838.99993390557995</v>
      </c>
      <c r="AC203" s="69">
        <v>1733.9283523304709</v>
      </c>
      <c r="AD203" s="70">
        <f>IFERROR(tblTarget[[#This Row],[Cluster Target]]/tblTarget[[#This Row],[Cluster PiN]],0)</f>
        <v>0.88000000000000012</v>
      </c>
      <c r="AE203" s="79">
        <f>_xlfn.XLOOKUP(tblTarget[[#This Row],[ID]],tblResponse[ID],tblResponse[2024 Projected reached (Dec 2024)])</f>
        <v>14665</v>
      </c>
      <c r="AF203" s="79">
        <f>_xlfn.XLOOKUP(tblTarget[[#This Row],[ID]],tblResponse[ID],tblResponse[2024 Intercluster reached -August RPM])</f>
        <v>45061.669430203743</v>
      </c>
      <c r="AG203" s="79">
        <v>5</v>
      </c>
      <c r="AH203" s="79"/>
      <c r="AI203" s="79"/>
      <c r="AJ203" s="70" t="str">
        <f>IF(tblTarget[[#This Row],[Target to PiN (%)]]&gt;Targ_vs_PiN,"Flagged","")</f>
        <v/>
      </c>
      <c r="AK203" s="69" t="str">
        <f>IF(AND(tblTarget[[#This Row],[Qualifies for exception]]="Flagged",tblTarget[[#This Row],[Target to PiN (%)]]&gt;Targ_severity5),"Flagged","")</f>
        <v/>
      </c>
      <c r="AL203" s="68" t="str">
        <f>IFERROR(IF(AND(tblTarget[[#This Row],[Intercluser Severity]]=4,tblTarget[[#This Row],[Qualifies for exception]]="Flagged",(tblTarget[[#This Row],[Cluster Target]]-tblTarget[[#This Row],[2024 Response capacity up to December]])/tblTarget[[#This Row],[Cluster Target]]&gt;Diff_severity4),"Flagged",""),"No target")</f>
        <v/>
      </c>
      <c r="AM203" s="68" t="str">
        <f>IFERROR(IF(AND(tblTarget[[#This Row],[Intercluser Severity]]=3,tblTarget[[#This Row],[Qualifies for exception]]="Flagged",(tblTarget[[#This Row],[Cluster Target]]-tblTarget[[#This Row],[2024 Response capacity up to December]])/tblTarget[[#This Row],[Cluster Target]]&gt;Diff_severity3),"Flagged",""),"No target")</f>
        <v/>
      </c>
      <c r="AN203" s="81" t="s">
        <v>15</v>
      </c>
      <c r="AO203" s="81"/>
      <c r="AP203" s="81" t="s">
        <v>1099</v>
      </c>
      <c r="AQ203" s="81" t="s">
        <v>1098</v>
      </c>
    </row>
    <row r="204" spans="1:43" ht="15.95" customHeight="1" x14ac:dyDescent="0.2">
      <c r="A204" s="62" t="s">
        <v>641</v>
      </c>
      <c r="B204" s="63" t="s">
        <v>42</v>
      </c>
      <c r="C204" s="64" t="s">
        <v>43</v>
      </c>
      <c r="D204" s="63" t="s">
        <v>48</v>
      </c>
      <c r="E204" s="64" t="s">
        <v>49</v>
      </c>
      <c r="F204" s="65">
        <v>10045</v>
      </c>
      <c r="G204" s="66" t="s">
        <v>436</v>
      </c>
      <c r="H204" s="67">
        <v>9077</v>
      </c>
      <c r="I204" s="68">
        <v>3</v>
      </c>
      <c r="J204" s="68">
        <v>4</v>
      </c>
      <c r="K204" s="91">
        <v>1815</v>
      </c>
      <c r="L204" s="91">
        <v>901.64031802201339</v>
      </c>
      <c r="M204" s="91">
        <v>913.35968197798661</v>
      </c>
      <c r="N204" s="91">
        <v>998.25000000000011</v>
      </c>
      <c r="O204" s="91">
        <v>707.85</v>
      </c>
      <c r="P204" s="91">
        <v>108.89999999999999</v>
      </c>
      <c r="Q204" s="85">
        <v>272.25</v>
      </c>
      <c r="R204" s="68" t="s">
        <v>15</v>
      </c>
      <c r="S204" s="86">
        <v>261</v>
      </c>
      <c r="T204" s="68">
        <v>65</v>
      </c>
      <c r="U204" s="68">
        <v>12</v>
      </c>
      <c r="V204" s="68">
        <v>16</v>
      </c>
      <c r="W204" s="68">
        <v>18</v>
      </c>
      <c r="X204" s="68">
        <v>36</v>
      </c>
      <c r="Y204" s="68">
        <v>54</v>
      </c>
      <c r="Z204" s="68">
        <v>36</v>
      </c>
      <c r="AA204" s="68">
        <v>0</v>
      </c>
      <c r="AB204" s="69">
        <v>6</v>
      </c>
      <c r="AC204" s="69">
        <v>0</v>
      </c>
      <c r="AD204" s="70">
        <f>IFERROR(tblTarget[[#This Row],[Cluster Target]]/tblTarget[[#This Row],[Cluster PiN]],0)</f>
        <v>0.19995593257684258</v>
      </c>
      <c r="AE204" s="79">
        <f>_xlfn.XLOOKUP(tblTarget[[#This Row],[ID]],tblResponse[ID],tblResponse[2024 Projected reached (Dec 2024)])</f>
        <v>0</v>
      </c>
      <c r="AF204" s="79">
        <f>_xlfn.XLOOKUP(tblTarget[[#This Row],[ID]],tblResponse[ID],tblResponse[2024 Intercluster reached -August RPM])</f>
        <v>547.82666639147146</v>
      </c>
      <c r="AG204" s="79">
        <v>1</v>
      </c>
      <c r="AH204" s="79"/>
      <c r="AI204" s="79"/>
      <c r="AJ204" s="70" t="str">
        <f>IF(tblTarget[[#This Row],[Target to PiN (%)]]&gt;Targ_vs_PiN,"Flagged","")</f>
        <v/>
      </c>
      <c r="AK204" s="69" t="str">
        <f>IF(AND(tblTarget[[#This Row],[Qualifies for exception]]="Flagged",tblTarget[[#This Row],[Target to PiN (%)]]&gt;Targ_severity5),"Flagged","")</f>
        <v/>
      </c>
      <c r="AL204" s="68" t="str">
        <f>IFERROR(IF(AND(tblTarget[[#This Row],[Intercluser Severity]]=4,tblTarget[[#This Row],[Qualifies for exception]]="Flagged",(tblTarget[[#This Row],[Cluster Target]]-tblTarget[[#This Row],[2024 Response capacity up to December]])/tblTarget[[#This Row],[Cluster Target]]&gt;Diff_severity4),"Flagged",""),"No target")</f>
        <v/>
      </c>
      <c r="AM204" s="68" t="str">
        <f>IFERROR(IF(AND(tblTarget[[#This Row],[Intercluser Severity]]=3,tblTarget[[#This Row],[Qualifies for exception]]="Flagged",(tblTarget[[#This Row],[Cluster Target]]-tblTarget[[#This Row],[2024 Response capacity up to December]])/tblTarget[[#This Row],[Cluster Target]]&gt;Diff_severity3),"Flagged",""),"No target")</f>
        <v/>
      </c>
      <c r="AN204" s="81" t="s">
        <v>1099</v>
      </c>
      <c r="AO204" s="81"/>
      <c r="AP204" s="81" t="s">
        <v>15</v>
      </c>
      <c r="AQ204" s="81" t="s">
        <v>1098</v>
      </c>
    </row>
    <row r="205" spans="1:43" ht="15.95" customHeight="1" x14ac:dyDescent="0.2">
      <c r="A205" s="62" t="s">
        <v>642</v>
      </c>
      <c r="B205" s="63" t="s">
        <v>42</v>
      </c>
      <c r="C205" s="64" t="s">
        <v>43</v>
      </c>
      <c r="D205" s="63" t="s">
        <v>50</v>
      </c>
      <c r="E205" s="64" t="s">
        <v>51</v>
      </c>
      <c r="F205" s="65">
        <v>6255</v>
      </c>
      <c r="G205" s="66" t="s">
        <v>436</v>
      </c>
      <c r="H205" s="67">
        <v>1246</v>
      </c>
      <c r="I205" s="68">
        <v>3</v>
      </c>
      <c r="J205" s="68">
        <v>4</v>
      </c>
      <c r="K205" s="91">
        <v>125</v>
      </c>
      <c r="L205" s="91">
        <v>60.414174641148321</v>
      </c>
      <c r="M205" s="91">
        <v>64.585825358851665</v>
      </c>
      <c r="N205" s="91">
        <v>68.75</v>
      </c>
      <c r="O205" s="91">
        <v>48.75</v>
      </c>
      <c r="P205" s="91">
        <v>7.5</v>
      </c>
      <c r="Q205" s="85">
        <v>18.75</v>
      </c>
      <c r="R205" s="68" t="s">
        <v>436</v>
      </c>
      <c r="S205" s="86">
        <v>18</v>
      </c>
      <c r="T205" s="68">
        <v>5</v>
      </c>
      <c r="U205" s="68">
        <v>1</v>
      </c>
      <c r="V205" s="68">
        <v>1</v>
      </c>
      <c r="W205" s="68">
        <v>1</v>
      </c>
      <c r="X205" s="68">
        <v>3</v>
      </c>
      <c r="Y205" s="68">
        <v>4</v>
      </c>
      <c r="Z205" s="68">
        <v>3</v>
      </c>
      <c r="AA205" s="68">
        <v>0</v>
      </c>
      <c r="AB205" s="69">
        <v>0</v>
      </c>
      <c r="AC205" s="69">
        <v>0</v>
      </c>
      <c r="AD205" s="70">
        <f>IFERROR(tblTarget[[#This Row],[Cluster Target]]/tblTarget[[#This Row],[Cluster PiN]],0)</f>
        <v>0.10032102728731943</v>
      </c>
      <c r="AE205" s="79">
        <f>_xlfn.XLOOKUP(tblTarget[[#This Row],[ID]],tblResponse[ID],tblResponse[2024 Projected reached (Dec 2024)])</f>
        <v>0</v>
      </c>
      <c r="AF205" s="79">
        <f>_xlfn.XLOOKUP(tblTarget[[#This Row],[ID]],tblResponse[ID],tblResponse[2024 Intercluster reached -August RPM])</f>
        <v>5798.8551716570919</v>
      </c>
      <c r="AG205" s="79">
        <v>2</v>
      </c>
      <c r="AH205" s="79"/>
      <c r="AI205" s="79"/>
      <c r="AJ205" s="70" t="str">
        <f>IF(tblTarget[[#This Row],[Target to PiN (%)]]&gt;Targ_vs_PiN,"Flagged","")</f>
        <v/>
      </c>
      <c r="AK205" s="69" t="str">
        <f>IF(AND(tblTarget[[#This Row],[Qualifies for exception]]="Flagged",tblTarget[[#This Row],[Target to PiN (%)]]&gt;Targ_severity5),"Flagged","")</f>
        <v/>
      </c>
      <c r="AL205" s="68" t="str">
        <f>IFERROR(IF(AND(tblTarget[[#This Row],[Intercluser Severity]]=4,tblTarget[[#This Row],[Qualifies for exception]]="Flagged",(tblTarget[[#This Row],[Cluster Target]]-tblTarget[[#This Row],[2024 Response capacity up to December]])/tblTarget[[#This Row],[Cluster Target]]&gt;Diff_severity4),"Flagged",""),"No target")</f>
        <v>Flagged</v>
      </c>
      <c r="AM205" s="68" t="str">
        <f>IFERROR(IF(AND(tblTarget[[#This Row],[Intercluser Severity]]=3,tblTarget[[#This Row],[Qualifies for exception]]="Flagged",(tblTarget[[#This Row],[Cluster Target]]-tblTarget[[#This Row],[2024 Response capacity up to December]])/tblTarget[[#This Row],[Cluster Target]]&gt;Diff_severity3),"Flagged",""),"No target")</f>
        <v/>
      </c>
      <c r="AN205" s="81" t="s">
        <v>1099</v>
      </c>
      <c r="AO205" s="81"/>
      <c r="AP205" s="81" t="s">
        <v>1099</v>
      </c>
      <c r="AQ205" s="81" t="s">
        <v>1107</v>
      </c>
    </row>
    <row r="206" spans="1:43" ht="15.95" customHeight="1" x14ac:dyDescent="0.2">
      <c r="A206" s="62" t="s">
        <v>643</v>
      </c>
      <c r="B206" s="63" t="s">
        <v>42</v>
      </c>
      <c r="C206" s="64" t="s">
        <v>43</v>
      </c>
      <c r="D206" s="63" t="s">
        <v>52</v>
      </c>
      <c r="E206" s="64" t="s">
        <v>53</v>
      </c>
      <c r="F206" s="65">
        <v>13075</v>
      </c>
      <c r="G206" s="66" t="s">
        <v>436</v>
      </c>
      <c r="H206" s="67">
        <v>9042</v>
      </c>
      <c r="I206" s="68">
        <v>3</v>
      </c>
      <c r="J206" s="68">
        <v>4</v>
      </c>
      <c r="K206" s="91">
        <v>3617</v>
      </c>
      <c r="L206" s="91">
        <v>1778.2886147519919</v>
      </c>
      <c r="M206" s="91">
        <v>1838.7113852480084</v>
      </c>
      <c r="N206" s="91">
        <v>1989.3500000000001</v>
      </c>
      <c r="O206" s="91">
        <v>1410.63</v>
      </c>
      <c r="P206" s="91">
        <v>217.01999999999998</v>
      </c>
      <c r="Q206" s="85">
        <v>542.54999999999995</v>
      </c>
      <c r="R206" s="68" t="s">
        <v>436</v>
      </c>
      <c r="S206" s="86">
        <v>521</v>
      </c>
      <c r="T206" s="68">
        <v>130</v>
      </c>
      <c r="U206" s="68">
        <v>24</v>
      </c>
      <c r="V206" s="68">
        <v>33</v>
      </c>
      <c r="W206" s="68">
        <v>36</v>
      </c>
      <c r="X206" s="68">
        <v>72</v>
      </c>
      <c r="Y206" s="68">
        <v>109</v>
      </c>
      <c r="Z206" s="68">
        <v>72</v>
      </c>
      <c r="AA206" s="68">
        <v>0</v>
      </c>
      <c r="AB206" s="69">
        <v>10</v>
      </c>
      <c r="AC206" s="69">
        <v>37.669527532706297</v>
      </c>
      <c r="AD206" s="70">
        <f>IFERROR(tblTarget[[#This Row],[Cluster Target]]/tblTarget[[#This Row],[Cluster PiN]],0)</f>
        <v>0.40002211900022117</v>
      </c>
      <c r="AE206" s="79">
        <f>_xlfn.XLOOKUP(tblTarget[[#This Row],[ID]],tblResponse[ID],tblResponse[2024 Projected reached (Dec 2024)])</f>
        <v>0</v>
      </c>
      <c r="AF206" s="79">
        <f>_xlfn.XLOOKUP(tblTarget[[#This Row],[ID]],tblResponse[ID],tblResponse[2024 Intercluster reached -August RPM])</f>
        <v>441.91541405627817</v>
      </c>
      <c r="AG206" s="79">
        <v>1</v>
      </c>
      <c r="AH206" s="79"/>
      <c r="AI206" s="79"/>
      <c r="AJ206" s="70" t="str">
        <f>IF(tblTarget[[#This Row],[Target to PiN (%)]]&gt;Targ_vs_PiN,"Flagged","")</f>
        <v/>
      </c>
      <c r="AK206" s="69" t="str">
        <f>IF(AND(tblTarget[[#This Row],[Qualifies for exception]]="Flagged",tblTarget[[#This Row],[Target to PiN (%)]]&gt;Targ_severity5),"Flagged","")</f>
        <v/>
      </c>
      <c r="AL206" s="68" t="str">
        <f>IFERROR(IF(AND(tblTarget[[#This Row],[Intercluser Severity]]=4,tblTarget[[#This Row],[Qualifies for exception]]="Flagged",(tblTarget[[#This Row],[Cluster Target]]-tblTarget[[#This Row],[2024 Response capacity up to December]])/tblTarget[[#This Row],[Cluster Target]]&gt;Diff_severity4),"Flagged",""),"No target")</f>
        <v>Flagged</v>
      </c>
      <c r="AM206" s="68" t="str">
        <f>IFERROR(IF(AND(tblTarget[[#This Row],[Intercluser Severity]]=3,tblTarget[[#This Row],[Qualifies for exception]]="Flagged",(tblTarget[[#This Row],[Cluster Target]]-tblTarget[[#This Row],[2024 Response capacity up to December]])/tblTarget[[#This Row],[Cluster Target]]&gt;Diff_severity3),"Flagged",""),"No target")</f>
        <v/>
      </c>
      <c r="AN206" s="81" t="s">
        <v>1099</v>
      </c>
      <c r="AO206" s="81"/>
      <c r="AP206" s="81" t="s">
        <v>1099</v>
      </c>
      <c r="AQ206" s="81" t="s">
        <v>1107</v>
      </c>
    </row>
    <row r="207" spans="1:43" ht="15.95" customHeight="1" x14ac:dyDescent="0.2">
      <c r="A207" s="62" t="s">
        <v>644</v>
      </c>
      <c r="B207" s="63" t="s">
        <v>42</v>
      </c>
      <c r="C207" s="64" t="s">
        <v>43</v>
      </c>
      <c r="D207" s="63" t="s">
        <v>54</v>
      </c>
      <c r="E207" s="64" t="s">
        <v>55</v>
      </c>
      <c r="F207" s="65">
        <v>1945</v>
      </c>
      <c r="G207" s="66" t="s">
        <v>436</v>
      </c>
      <c r="H207" s="67">
        <v>700</v>
      </c>
      <c r="I207" s="68">
        <v>3</v>
      </c>
      <c r="J207" s="68">
        <v>3</v>
      </c>
      <c r="K207" s="91">
        <v>0</v>
      </c>
      <c r="L207" s="91">
        <v>0</v>
      </c>
      <c r="M207" s="91">
        <v>0</v>
      </c>
      <c r="N207" s="91">
        <v>0</v>
      </c>
      <c r="O207" s="91">
        <v>0</v>
      </c>
      <c r="P207" s="91">
        <v>0</v>
      </c>
      <c r="Q207" s="85">
        <v>0</v>
      </c>
      <c r="R207" s="68" t="s">
        <v>15</v>
      </c>
      <c r="S207" s="86">
        <v>0</v>
      </c>
      <c r="T207" s="68">
        <v>0</v>
      </c>
      <c r="U207" s="68">
        <v>0</v>
      </c>
      <c r="V207" s="68">
        <v>0</v>
      </c>
      <c r="W207" s="68">
        <v>0</v>
      </c>
      <c r="X207" s="68">
        <v>0</v>
      </c>
      <c r="Y207" s="68">
        <v>0</v>
      </c>
      <c r="Z207" s="68">
        <v>0</v>
      </c>
      <c r="AA207" s="68">
        <v>0</v>
      </c>
      <c r="AB207" s="69">
        <v>0</v>
      </c>
      <c r="AC207" s="69">
        <v>0</v>
      </c>
      <c r="AD207" s="70">
        <f>IFERROR(tblTarget[[#This Row],[Cluster Target]]/tblTarget[[#This Row],[Cluster PiN]],0)</f>
        <v>0</v>
      </c>
      <c r="AE207" s="79">
        <f>_xlfn.XLOOKUP(tblTarget[[#This Row],[ID]],tblResponse[ID],tblResponse[2024 Projected reached (Dec 2024)])</f>
        <v>0</v>
      </c>
      <c r="AF207" s="79">
        <f>_xlfn.XLOOKUP(tblTarget[[#This Row],[ID]],tblResponse[ID],tblResponse[2024 Intercluster reached -August RPM])</f>
        <v>776.77767548264399</v>
      </c>
      <c r="AG207" s="79">
        <v>1</v>
      </c>
      <c r="AH207" s="79"/>
      <c r="AI207" s="79"/>
      <c r="AJ207" s="70" t="str">
        <f>IF(tblTarget[[#This Row],[Target to PiN (%)]]&gt;Targ_vs_PiN,"Flagged","")</f>
        <v/>
      </c>
      <c r="AK207" s="69" t="str">
        <f>IF(AND(tblTarget[[#This Row],[Qualifies for exception]]="Flagged",tblTarget[[#This Row],[Target to PiN (%)]]&gt;Targ_severity5),"Flagged","")</f>
        <v/>
      </c>
      <c r="AL207" s="68" t="str">
        <f>IFERROR(IF(AND(tblTarget[[#This Row],[Intercluser Severity]]=4,tblTarget[[#This Row],[Qualifies for exception]]="Flagged",(tblTarget[[#This Row],[Cluster Target]]-tblTarget[[#This Row],[2024 Response capacity up to December]])/tblTarget[[#This Row],[Cluster Target]]&gt;Diff_severity4),"Flagged",""),"No target")</f>
        <v>No target</v>
      </c>
      <c r="AM207" s="68" t="str">
        <f>IFERROR(IF(AND(tblTarget[[#This Row],[Intercluser Severity]]=3,tblTarget[[#This Row],[Qualifies for exception]]="Flagged",(tblTarget[[#This Row],[Cluster Target]]-tblTarget[[#This Row],[2024 Response capacity up to December]])/tblTarget[[#This Row],[Cluster Target]]&gt;Diff_severity3),"Flagged",""),"No target")</f>
        <v>No target</v>
      </c>
      <c r="AN207" s="81" t="s">
        <v>1099</v>
      </c>
      <c r="AO207" s="81" t="s">
        <v>15</v>
      </c>
      <c r="AP207" s="81" t="s">
        <v>1099</v>
      </c>
      <c r="AQ207" s="81" t="s">
        <v>1098</v>
      </c>
    </row>
    <row r="208" spans="1:43" ht="15.95" customHeight="1" x14ac:dyDescent="0.2">
      <c r="A208" s="62" t="s">
        <v>645</v>
      </c>
      <c r="B208" s="63" t="s">
        <v>42</v>
      </c>
      <c r="C208" s="64" t="s">
        <v>43</v>
      </c>
      <c r="D208" s="63" t="s">
        <v>56</v>
      </c>
      <c r="E208" s="64" t="s">
        <v>57</v>
      </c>
      <c r="F208" s="65">
        <v>1360</v>
      </c>
      <c r="G208" s="66" t="s">
        <v>436</v>
      </c>
      <c r="H208" s="67">
        <v>231</v>
      </c>
      <c r="I208" s="68">
        <v>3</v>
      </c>
      <c r="J208" s="68">
        <v>4</v>
      </c>
      <c r="K208" s="91">
        <v>139</v>
      </c>
      <c r="L208" s="91">
        <v>70.823757077814818</v>
      </c>
      <c r="M208" s="91">
        <v>68.176242922185182</v>
      </c>
      <c r="N208" s="91">
        <v>76.45</v>
      </c>
      <c r="O208" s="91">
        <v>54.21</v>
      </c>
      <c r="P208" s="91">
        <v>8.34</v>
      </c>
      <c r="Q208" s="85">
        <v>20.849999999999998</v>
      </c>
      <c r="R208" s="68" t="s">
        <v>436</v>
      </c>
      <c r="S208" s="86">
        <v>20</v>
      </c>
      <c r="T208" s="68">
        <v>5</v>
      </c>
      <c r="U208" s="68">
        <v>1</v>
      </c>
      <c r="V208" s="68">
        <v>1</v>
      </c>
      <c r="W208" s="68">
        <v>1</v>
      </c>
      <c r="X208" s="68">
        <v>3</v>
      </c>
      <c r="Y208" s="68">
        <v>4</v>
      </c>
      <c r="Z208" s="68">
        <v>3</v>
      </c>
      <c r="AA208" s="68">
        <v>0</v>
      </c>
      <c r="AB208" s="69">
        <v>0</v>
      </c>
      <c r="AC208" s="69">
        <v>0</v>
      </c>
      <c r="AD208" s="70">
        <f>IFERROR(tblTarget[[#This Row],[Cluster Target]]/tblTarget[[#This Row],[Cluster PiN]],0)</f>
        <v>0.60173160173160178</v>
      </c>
      <c r="AE208" s="79">
        <f>_xlfn.XLOOKUP(tblTarget[[#This Row],[ID]],tblResponse[ID],tblResponse[2024 Projected reached (Dec 2024)])</f>
        <v>7500</v>
      </c>
      <c r="AF208" s="79">
        <f>_xlfn.XLOOKUP(tblTarget[[#This Row],[ID]],tblResponse[ID],tblResponse[2024 Intercluster reached -August RPM])</f>
        <v>999.16275787918198</v>
      </c>
      <c r="AG208" s="79">
        <v>2</v>
      </c>
      <c r="AH208" s="79"/>
      <c r="AI208" s="79"/>
      <c r="AJ208" s="70" t="str">
        <f>IF(tblTarget[[#This Row],[Target to PiN (%)]]&gt;Targ_vs_PiN,"Flagged","")</f>
        <v/>
      </c>
      <c r="AK208" s="69" t="str">
        <f>IF(AND(tblTarget[[#This Row],[Qualifies for exception]]="Flagged",tblTarget[[#This Row],[Target to PiN (%)]]&gt;Targ_severity5),"Flagged","")</f>
        <v/>
      </c>
      <c r="AL208" s="68" t="str">
        <f>IFERROR(IF(AND(tblTarget[[#This Row],[Intercluser Severity]]=4,tblTarget[[#This Row],[Qualifies for exception]]="Flagged",(tblTarget[[#This Row],[Cluster Target]]-tblTarget[[#This Row],[2024 Response capacity up to December]])/tblTarget[[#This Row],[Cluster Target]]&gt;Diff_severity4),"Flagged",""),"No target")</f>
        <v/>
      </c>
      <c r="AM208" s="68" t="str">
        <f>IFERROR(IF(AND(tblTarget[[#This Row],[Intercluser Severity]]=3,tblTarget[[#This Row],[Qualifies for exception]]="Flagged",(tblTarget[[#This Row],[Cluster Target]]-tblTarget[[#This Row],[2024 Response capacity up to December]])/tblTarget[[#This Row],[Cluster Target]]&gt;Diff_severity3),"Flagged",""),"No target")</f>
        <v/>
      </c>
      <c r="AN208" s="81" t="s">
        <v>1099</v>
      </c>
      <c r="AO208" s="81"/>
      <c r="AP208" s="81" t="s">
        <v>1099</v>
      </c>
      <c r="AQ208" s="81" t="s">
        <v>1107</v>
      </c>
    </row>
    <row r="209" spans="1:43" ht="15.95" customHeight="1" x14ac:dyDescent="0.2">
      <c r="A209" s="62" t="s">
        <v>646</v>
      </c>
      <c r="B209" s="63" t="s">
        <v>42</v>
      </c>
      <c r="C209" s="64" t="s">
        <v>43</v>
      </c>
      <c r="D209" s="63" t="s">
        <v>58</v>
      </c>
      <c r="E209" s="64" t="s">
        <v>59</v>
      </c>
      <c r="F209" s="65">
        <v>82555</v>
      </c>
      <c r="G209" s="66" t="s">
        <v>436</v>
      </c>
      <c r="H209" s="67">
        <v>61047</v>
      </c>
      <c r="I209" s="68">
        <v>4</v>
      </c>
      <c r="J209" s="68">
        <v>4</v>
      </c>
      <c r="K209" s="91">
        <v>24419</v>
      </c>
      <c r="L209" s="91">
        <v>12218.210938296266</v>
      </c>
      <c r="M209" s="91">
        <v>12200.789061703734</v>
      </c>
      <c r="N209" s="91">
        <v>13430.45</v>
      </c>
      <c r="O209" s="91">
        <v>9523.41</v>
      </c>
      <c r="P209" s="91">
        <v>1465.1399999999999</v>
      </c>
      <c r="Q209" s="85">
        <v>3662.85</v>
      </c>
      <c r="R209" s="68" t="s">
        <v>436</v>
      </c>
      <c r="S209" s="86">
        <v>3516</v>
      </c>
      <c r="T209" s="68">
        <v>879</v>
      </c>
      <c r="U209" s="68">
        <v>165</v>
      </c>
      <c r="V209" s="68">
        <v>220</v>
      </c>
      <c r="W209" s="68">
        <v>244</v>
      </c>
      <c r="X209" s="68">
        <v>488</v>
      </c>
      <c r="Y209" s="68">
        <v>733</v>
      </c>
      <c r="Z209" s="68">
        <v>488</v>
      </c>
      <c r="AA209" s="68">
        <v>0</v>
      </c>
      <c r="AB209" s="69">
        <v>72</v>
      </c>
      <c r="AC209" s="69">
        <v>150.67811013082519</v>
      </c>
      <c r="AD209" s="70">
        <f>IFERROR(tblTarget[[#This Row],[Cluster Target]]/tblTarget[[#This Row],[Cluster PiN]],0)</f>
        <v>0.4000032761642669</v>
      </c>
      <c r="AE209" s="79">
        <f>_xlfn.XLOOKUP(tblTarget[[#This Row],[ID]],tblResponse[ID],tblResponse[2024 Projected reached (Dec 2024)])</f>
        <v>0</v>
      </c>
      <c r="AF209" s="79">
        <f>_xlfn.XLOOKUP(tblTarget[[#This Row],[ID]],tblResponse[ID],tblResponse[2024 Intercluster reached -August RPM])</f>
        <v>4396.0306595947204</v>
      </c>
      <c r="AG209" s="79">
        <v>1</v>
      </c>
      <c r="AH209" s="79"/>
      <c r="AI209" s="79"/>
      <c r="AJ209" s="70" t="str">
        <f>IF(tblTarget[[#This Row],[Target to PiN (%)]]&gt;Targ_vs_PiN,"Flagged","")</f>
        <v/>
      </c>
      <c r="AK209" s="69" t="str">
        <f>IF(AND(tblTarget[[#This Row],[Qualifies for exception]]="Flagged",tblTarget[[#This Row],[Target to PiN (%)]]&gt;Targ_severity5),"Flagged","")</f>
        <v/>
      </c>
      <c r="AL209" s="68" t="str">
        <f>IFERROR(IF(AND(tblTarget[[#This Row],[Intercluser Severity]]=4,tblTarget[[#This Row],[Qualifies for exception]]="Flagged",(tblTarget[[#This Row],[Cluster Target]]-tblTarget[[#This Row],[2024 Response capacity up to December]])/tblTarget[[#This Row],[Cluster Target]]&gt;Diff_severity4),"Flagged",""),"No target")</f>
        <v>Flagged</v>
      </c>
      <c r="AM209" s="68" t="str">
        <f>IFERROR(IF(AND(tblTarget[[#This Row],[Intercluser Severity]]=3,tblTarget[[#This Row],[Qualifies for exception]]="Flagged",(tblTarget[[#This Row],[Cluster Target]]-tblTarget[[#This Row],[2024 Response capacity up to December]])/tblTarget[[#This Row],[Cluster Target]]&gt;Diff_severity3),"Flagged",""),"No target")</f>
        <v/>
      </c>
      <c r="AN209" s="81" t="s">
        <v>1099</v>
      </c>
      <c r="AO209" s="81"/>
      <c r="AP209" s="81" t="s">
        <v>1099</v>
      </c>
      <c r="AQ209" s="81" t="s">
        <v>1107</v>
      </c>
    </row>
    <row r="210" spans="1:43" ht="15.95" customHeight="1" x14ac:dyDescent="0.2">
      <c r="A210" s="62" t="s">
        <v>647</v>
      </c>
      <c r="B210" s="63" t="s">
        <v>42</v>
      </c>
      <c r="C210" s="64" t="s">
        <v>43</v>
      </c>
      <c r="D210" s="63" t="s">
        <v>60</v>
      </c>
      <c r="E210" s="64" t="s">
        <v>61</v>
      </c>
      <c r="F210" s="65">
        <v>13232</v>
      </c>
      <c r="G210" s="66" t="s">
        <v>436</v>
      </c>
      <c r="H210" s="67">
        <v>3734</v>
      </c>
      <c r="I210" s="68">
        <v>3</v>
      </c>
      <c r="J210" s="68">
        <v>4</v>
      </c>
      <c r="K210" s="91">
        <v>187</v>
      </c>
      <c r="L210" s="91">
        <v>95.566181859180347</v>
      </c>
      <c r="M210" s="91">
        <v>91.433818140819668</v>
      </c>
      <c r="N210" s="91">
        <v>102.85000000000001</v>
      </c>
      <c r="O210" s="91">
        <v>72.930000000000007</v>
      </c>
      <c r="P210" s="91">
        <v>11.219999999999999</v>
      </c>
      <c r="Q210" s="85">
        <v>28.05</v>
      </c>
      <c r="R210" s="68" t="s">
        <v>436</v>
      </c>
      <c r="S210" s="86">
        <v>27</v>
      </c>
      <c r="T210" s="68">
        <v>7</v>
      </c>
      <c r="U210" s="68">
        <v>1</v>
      </c>
      <c r="V210" s="68">
        <v>2</v>
      </c>
      <c r="W210" s="68">
        <v>2</v>
      </c>
      <c r="X210" s="68">
        <v>4</v>
      </c>
      <c r="Y210" s="68">
        <v>6</v>
      </c>
      <c r="Z210" s="68">
        <v>4</v>
      </c>
      <c r="AA210" s="68">
        <v>0</v>
      </c>
      <c r="AB210" s="69">
        <v>0</v>
      </c>
      <c r="AC210" s="69">
        <v>0</v>
      </c>
      <c r="AD210" s="70">
        <f>IFERROR(tblTarget[[#This Row],[Cluster Target]]/tblTarget[[#This Row],[Cluster PiN]],0)</f>
        <v>5.0080342795929302E-2</v>
      </c>
      <c r="AE210" s="79">
        <f>_xlfn.XLOOKUP(tblTarget[[#This Row],[ID]],tblResponse[ID],tblResponse[2024 Projected reached (Dec 2024)])</f>
        <v>0</v>
      </c>
      <c r="AF210" s="79">
        <f>_xlfn.XLOOKUP(tblTarget[[#This Row],[ID]],tblResponse[ID],tblResponse[2024 Intercluster reached -August RPM])</f>
        <v>1084.2343298357523</v>
      </c>
      <c r="AG210" s="79">
        <v>1</v>
      </c>
      <c r="AH210" s="79"/>
      <c r="AI210" s="79"/>
      <c r="AJ210" s="70" t="str">
        <f>IF(tblTarget[[#This Row],[Target to PiN (%)]]&gt;Targ_vs_PiN,"Flagged","")</f>
        <v/>
      </c>
      <c r="AK210" s="69" t="str">
        <f>IF(AND(tblTarget[[#This Row],[Qualifies for exception]]="Flagged",tblTarget[[#This Row],[Target to PiN (%)]]&gt;Targ_severity5),"Flagged","")</f>
        <v/>
      </c>
      <c r="AL210" s="68" t="str">
        <f>IFERROR(IF(AND(tblTarget[[#This Row],[Intercluser Severity]]=4,tblTarget[[#This Row],[Qualifies for exception]]="Flagged",(tblTarget[[#This Row],[Cluster Target]]-tblTarget[[#This Row],[2024 Response capacity up to December]])/tblTarget[[#This Row],[Cluster Target]]&gt;Diff_severity4),"Flagged",""),"No target")</f>
        <v>Flagged</v>
      </c>
      <c r="AM210" s="68" t="str">
        <f>IFERROR(IF(AND(tblTarget[[#This Row],[Intercluser Severity]]=3,tblTarget[[#This Row],[Qualifies for exception]]="Flagged",(tblTarget[[#This Row],[Cluster Target]]-tblTarget[[#This Row],[2024 Response capacity up to December]])/tblTarget[[#This Row],[Cluster Target]]&gt;Diff_severity3),"Flagged",""),"No target")</f>
        <v/>
      </c>
      <c r="AN210" s="81" t="s">
        <v>1099</v>
      </c>
      <c r="AO210" s="81"/>
      <c r="AP210" s="81" t="s">
        <v>1099</v>
      </c>
      <c r="AQ210" s="81" t="s">
        <v>1107</v>
      </c>
    </row>
    <row r="211" spans="1:43" ht="15.95" customHeight="1" x14ac:dyDescent="0.2">
      <c r="A211" s="62" t="s">
        <v>648</v>
      </c>
      <c r="B211" s="63" t="s">
        <v>42</v>
      </c>
      <c r="C211" s="64" t="s">
        <v>43</v>
      </c>
      <c r="D211" s="63" t="s">
        <v>62</v>
      </c>
      <c r="E211" s="64" t="s">
        <v>63</v>
      </c>
      <c r="F211" s="65">
        <v>155003</v>
      </c>
      <c r="G211" s="66" t="s">
        <v>436</v>
      </c>
      <c r="H211" s="66">
        <v>137738</v>
      </c>
      <c r="I211" s="68">
        <v>3</v>
      </c>
      <c r="J211" s="68">
        <v>4</v>
      </c>
      <c r="K211" s="91">
        <v>6887</v>
      </c>
      <c r="L211" s="91">
        <v>3488.8706862113518</v>
      </c>
      <c r="M211" s="91">
        <v>3398.1293137886482</v>
      </c>
      <c r="N211" s="91">
        <v>3787.8500000000004</v>
      </c>
      <c r="O211" s="91">
        <v>2685.9300000000003</v>
      </c>
      <c r="P211" s="91">
        <v>413.21999999999997</v>
      </c>
      <c r="Q211" s="85">
        <v>1033.05</v>
      </c>
      <c r="R211" s="68" t="s">
        <v>15</v>
      </c>
      <c r="S211" s="86">
        <v>992</v>
      </c>
      <c r="T211" s="68">
        <v>248</v>
      </c>
      <c r="U211" s="68">
        <v>46</v>
      </c>
      <c r="V211" s="68">
        <v>62</v>
      </c>
      <c r="W211" s="68">
        <v>69</v>
      </c>
      <c r="X211" s="68">
        <v>138</v>
      </c>
      <c r="Y211" s="68">
        <v>207</v>
      </c>
      <c r="Z211" s="68">
        <v>138</v>
      </c>
      <c r="AA211" s="68">
        <v>0</v>
      </c>
      <c r="AB211" s="69">
        <v>20</v>
      </c>
      <c r="AC211" s="69">
        <v>37.669527532706297</v>
      </c>
      <c r="AD211" s="70">
        <f>IFERROR(tblTarget[[#This Row],[Cluster Target]]/tblTarget[[#This Row],[Cluster PiN]],0)</f>
        <v>5.0000726016059475E-2</v>
      </c>
      <c r="AE211" s="79">
        <f>_xlfn.XLOOKUP(tblTarget[[#This Row],[ID]],tblResponse[ID],tblResponse[2024 Projected reached (Dec 2024)])</f>
        <v>0</v>
      </c>
      <c r="AF211" s="79">
        <f>_xlfn.XLOOKUP(tblTarget[[#This Row],[ID]],tblResponse[ID],tblResponse[2024 Intercluster reached -August RPM])</f>
        <v>5126.2758980675626</v>
      </c>
      <c r="AG211" s="79">
        <v>1</v>
      </c>
      <c r="AH211" s="79"/>
      <c r="AI211" s="79"/>
      <c r="AJ211" s="70" t="str">
        <f>IF(tblTarget[[#This Row],[Target to PiN (%)]]&gt;Targ_vs_PiN,"Flagged","")</f>
        <v/>
      </c>
      <c r="AK211" s="69" t="str">
        <f>IF(AND(tblTarget[[#This Row],[Qualifies for exception]]="Flagged",tblTarget[[#This Row],[Target to PiN (%)]]&gt;Targ_severity5),"Flagged","")</f>
        <v/>
      </c>
      <c r="AL211" s="68" t="str">
        <f>IFERROR(IF(AND(tblTarget[[#This Row],[Intercluser Severity]]=4,tblTarget[[#This Row],[Qualifies for exception]]="Flagged",(tblTarget[[#This Row],[Cluster Target]]-tblTarget[[#This Row],[2024 Response capacity up to December]])/tblTarget[[#This Row],[Cluster Target]]&gt;Diff_severity4),"Flagged",""),"No target")</f>
        <v/>
      </c>
      <c r="AM211" s="68" t="str">
        <f>IFERROR(IF(AND(tblTarget[[#This Row],[Intercluser Severity]]=3,tblTarget[[#This Row],[Qualifies for exception]]="Flagged",(tblTarget[[#This Row],[Cluster Target]]-tblTarget[[#This Row],[2024 Response capacity up to December]])/tblTarget[[#This Row],[Cluster Target]]&gt;Diff_severity3),"Flagged",""),"No target")</f>
        <v/>
      </c>
      <c r="AN211" s="81" t="s">
        <v>1099</v>
      </c>
      <c r="AO211" s="81"/>
      <c r="AP211" s="81" t="s">
        <v>15</v>
      </c>
      <c r="AQ211" s="81" t="s">
        <v>1098</v>
      </c>
    </row>
    <row r="212" spans="1:43" ht="15.95" customHeight="1" x14ac:dyDescent="0.2">
      <c r="A212" s="62" t="s">
        <v>649</v>
      </c>
      <c r="B212" s="63" t="s">
        <v>42</v>
      </c>
      <c r="C212" s="64" t="s">
        <v>43</v>
      </c>
      <c r="D212" s="63" t="s">
        <v>64</v>
      </c>
      <c r="E212" s="64" t="s">
        <v>65</v>
      </c>
      <c r="F212" s="65">
        <v>46779</v>
      </c>
      <c r="G212" s="66" t="s">
        <v>436</v>
      </c>
      <c r="H212" s="67">
        <v>23827</v>
      </c>
      <c r="I212" s="68">
        <v>3</v>
      </c>
      <c r="J212" s="68">
        <v>4</v>
      </c>
      <c r="K212" s="91">
        <v>1191</v>
      </c>
      <c r="L212" s="91">
        <v>601.23455165651171</v>
      </c>
      <c r="M212" s="91">
        <v>589.76544834348829</v>
      </c>
      <c r="N212" s="91">
        <v>655.05000000000007</v>
      </c>
      <c r="O212" s="91">
        <v>464.49</v>
      </c>
      <c r="P212" s="91">
        <v>71.459999999999994</v>
      </c>
      <c r="Q212" s="85">
        <v>178.65</v>
      </c>
      <c r="R212" s="68" t="s">
        <v>436</v>
      </c>
      <c r="S212" s="86">
        <v>172</v>
      </c>
      <c r="T212" s="68">
        <v>43</v>
      </c>
      <c r="U212" s="68">
        <v>8</v>
      </c>
      <c r="V212" s="68">
        <v>11</v>
      </c>
      <c r="W212" s="68">
        <v>12</v>
      </c>
      <c r="X212" s="68">
        <v>24</v>
      </c>
      <c r="Y212" s="68">
        <v>36</v>
      </c>
      <c r="Z212" s="68">
        <v>24</v>
      </c>
      <c r="AA212" s="68">
        <v>0</v>
      </c>
      <c r="AB212" s="69">
        <v>4</v>
      </c>
      <c r="AC212" s="69">
        <v>0</v>
      </c>
      <c r="AD212" s="70">
        <f>IFERROR(tblTarget[[#This Row],[Cluster Target]]/tblTarget[[#This Row],[Cluster PiN]],0)</f>
        <v>4.9985310781886096E-2</v>
      </c>
      <c r="AE212" s="79">
        <f>_xlfn.XLOOKUP(tblTarget[[#This Row],[ID]],tblResponse[ID],tblResponse[2024 Projected reached (Dec 2024)])</f>
        <v>0</v>
      </c>
      <c r="AF212" s="79">
        <f>_xlfn.XLOOKUP(tblTarget[[#This Row],[ID]],tblResponse[ID],tblResponse[2024 Intercluster reached -August RPM])</f>
        <v>24222.274526654488</v>
      </c>
      <c r="AG212" s="79">
        <v>1</v>
      </c>
      <c r="AH212" s="79"/>
      <c r="AI212" s="79"/>
      <c r="AJ212" s="70" t="str">
        <f>IF(tblTarget[[#This Row],[Target to PiN (%)]]&gt;Targ_vs_PiN,"Flagged","")</f>
        <v/>
      </c>
      <c r="AK212" s="69" t="str">
        <f>IF(AND(tblTarget[[#This Row],[Qualifies for exception]]="Flagged",tblTarget[[#This Row],[Target to PiN (%)]]&gt;Targ_severity5),"Flagged","")</f>
        <v/>
      </c>
      <c r="AL212" s="68" t="str">
        <f>IFERROR(IF(AND(tblTarget[[#This Row],[Intercluser Severity]]=4,tblTarget[[#This Row],[Qualifies for exception]]="Flagged",(tblTarget[[#This Row],[Cluster Target]]-tblTarget[[#This Row],[2024 Response capacity up to December]])/tblTarget[[#This Row],[Cluster Target]]&gt;Diff_severity4),"Flagged",""),"No target")</f>
        <v>Flagged</v>
      </c>
      <c r="AM212" s="68" t="str">
        <f>IFERROR(IF(AND(tblTarget[[#This Row],[Intercluser Severity]]=3,tblTarget[[#This Row],[Qualifies for exception]]="Flagged",(tblTarget[[#This Row],[Cluster Target]]-tblTarget[[#This Row],[2024 Response capacity up to December]])/tblTarget[[#This Row],[Cluster Target]]&gt;Diff_severity3),"Flagged",""),"No target")</f>
        <v/>
      </c>
      <c r="AN212" s="81" t="s">
        <v>1099</v>
      </c>
      <c r="AO212" s="81"/>
      <c r="AP212" s="81" t="s">
        <v>1099</v>
      </c>
      <c r="AQ212" s="81" t="s">
        <v>1107</v>
      </c>
    </row>
    <row r="213" spans="1:43" ht="15.95" customHeight="1" x14ac:dyDescent="0.2">
      <c r="A213" s="62" t="s">
        <v>650</v>
      </c>
      <c r="B213" s="63" t="s">
        <v>42</v>
      </c>
      <c r="C213" s="64" t="s">
        <v>43</v>
      </c>
      <c r="D213" s="63" t="s">
        <v>66</v>
      </c>
      <c r="E213" s="64" t="s">
        <v>67</v>
      </c>
      <c r="F213" s="65">
        <v>65012</v>
      </c>
      <c r="G213" s="66" t="s">
        <v>436</v>
      </c>
      <c r="H213" s="67">
        <v>52519</v>
      </c>
      <c r="I213" s="68">
        <v>3</v>
      </c>
      <c r="J213" s="68">
        <v>4</v>
      </c>
      <c r="K213" s="91">
        <v>21008</v>
      </c>
      <c r="L213" s="91">
        <v>10601.383150133708</v>
      </c>
      <c r="M213" s="91">
        <v>10406.61684986629</v>
      </c>
      <c r="N213" s="91">
        <v>11554.400000000001</v>
      </c>
      <c r="O213" s="91">
        <v>8193.1200000000008</v>
      </c>
      <c r="P213" s="91">
        <v>1260.48</v>
      </c>
      <c r="Q213" s="85">
        <v>3151.2</v>
      </c>
      <c r="R213" s="68" t="s">
        <v>436</v>
      </c>
      <c r="S213" s="86">
        <v>3025</v>
      </c>
      <c r="T213" s="68">
        <v>756</v>
      </c>
      <c r="U213" s="68">
        <v>142</v>
      </c>
      <c r="V213" s="68">
        <v>189</v>
      </c>
      <c r="W213" s="68">
        <v>210</v>
      </c>
      <c r="X213" s="68">
        <v>420</v>
      </c>
      <c r="Y213" s="68">
        <v>630</v>
      </c>
      <c r="Z213" s="68">
        <v>420</v>
      </c>
      <c r="AA213" s="68">
        <v>0</v>
      </c>
      <c r="AB213" s="69">
        <v>62</v>
      </c>
      <c r="AC213" s="69">
        <v>113.00858259811889</v>
      </c>
      <c r="AD213" s="70">
        <f>IFERROR(tblTarget[[#This Row],[Cluster Target]]/tblTarget[[#This Row],[Cluster PiN]],0)</f>
        <v>0.40000761629124698</v>
      </c>
      <c r="AE213" s="79">
        <f>_xlfn.XLOOKUP(tblTarget[[#This Row],[ID]],tblResponse[ID],tblResponse[2024 Projected reached (Dec 2024)])</f>
        <v>0</v>
      </c>
      <c r="AF213" s="79">
        <f>_xlfn.XLOOKUP(tblTarget[[#This Row],[ID]],tblResponse[ID],tblResponse[2024 Intercluster reached -August RPM])</f>
        <v>2740.5607073257561</v>
      </c>
      <c r="AG213" s="79">
        <v>1</v>
      </c>
      <c r="AH213" s="79"/>
      <c r="AI213" s="79"/>
      <c r="AJ213" s="70" t="str">
        <f>IF(tblTarget[[#This Row],[Target to PiN (%)]]&gt;Targ_vs_PiN,"Flagged","")</f>
        <v/>
      </c>
      <c r="AK213" s="69" t="str">
        <f>IF(AND(tblTarget[[#This Row],[Qualifies for exception]]="Flagged",tblTarget[[#This Row],[Target to PiN (%)]]&gt;Targ_severity5),"Flagged","")</f>
        <v/>
      </c>
      <c r="AL213" s="68" t="str">
        <f>IFERROR(IF(AND(tblTarget[[#This Row],[Intercluser Severity]]=4,tblTarget[[#This Row],[Qualifies for exception]]="Flagged",(tblTarget[[#This Row],[Cluster Target]]-tblTarget[[#This Row],[2024 Response capacity up to December]])/tblTarget[[#This Row],[Cluster Target]]&gt;Diff_severity4),"Flagged",""),"No target")</f>
        <v>Flagged</v>
      </c>
      <c r="AM213" s="68" t="str">
        <f>IFERROR(IF(AND(tblTarget[[#This Row],[Intercluser Severity]]=3,tblTarget[[#This Row],[Qualifies for exception]]="Flagged",(tblTarget[[#This Row],[Cluster Target]]-tblTarget[[#This Row],[2024 Response capacity up to December]])/tblTarget[[#This Row],[Cluster Target]]&gt;Diff_severity3),"Flagged",""),"No target")</f>
        <v/>
      </c>
      <c r="AN213" s="81" t="s">
        <v>1099</v>
      </c>
      <c r="AO213" s="81"/>
      <c r="AP213" s="81" t="s">
        <v>1099</v>
      </c>
      <c r="AQ213" s="81" t="s">
        <v>1107</v>
      </c>
    </row>
    <row r="214" spans="1:43" ht="15.95" customHeight="1" x14ac:dyDescent="0.2">
      <c r="A214" s="62" t="s">
        <v>651</v>
      </c>
      <c r="B214" s="63" t="s">
        <v>42</v>
      </c>
      <c r="C214" s="64" t="s">
        <v>43</v>
      </c>
      <c r="D214" s="63" t="s">
        <v>68</v>
      </c>
      <c r="E214" s="64" t="s">
        <v>69</v>
      </c>
      <c r="F214" s="65">
        <v>38640</v>
      </c>
      <c r="G214" s="66" t="s">
        <v>436</v>
      </c>
      <c r="H214" s="67">
        <v>19288</v>
      </c>
      <c r="I214" s="68">
        <v>3</v>
      </c>
      <c r="J214" s="68">
        <v>4</v>
      </c>
      <c r="K214" s="91">
        <v>7715</v>
      </c>
      <c r="L214" s="91">
        <v>3981.2963238103325</v>
      </c>
      <c r="M214" s="91">
        <v>3733.7036761896675</v>
      </c>
      <c r="N214" s="91">
        <v>4243.25</v>
      </c>
      <c r="O214" s="91">
        <v>3008.85</v>
      </c>
      <c r="P214" s="91">
        <v>462.9</v>
      </c>
      <c r="Q214" s="85">
        <v>1157.25</v>
      </c>
      <c r="R214" s="68" t="s">
        <v>15</v>
      </c>
      <c r="S214" s="86">
        <v>1111</v>
      </c>
      <c r="T214" s="68">
        <v>278</v>
      </c>
      <c r="U214" s="68">
        <v>52</v>
      </c>
      <c r="V214" s="68">
        <v>69</v>
      </c>
      <c r="W214" s="68">
        <v>77</v>
      </c>
      <c r="X214" s="68">
        <v>154</v>
      </c>
      <c r="Y214" s="68">
        <v>231</v>
      </c>
      <c r="Z214" s="68">
        <v>154</v>
      </c>
      <c r="AA214" s="68">
        <v>0</v>
      </c>
      <c r="AB214" s="69">
        <v>22</v>
      </c>
      <c r="AC214" s="69">
        <v>37.669527532706297</v>
      </c>
      <c r="AD214" s="70">
        <f>IFERROR(tblTarget[[#This Row],[Cluster Target]]/tblTarget[[#This Row],[Cluster PiN]],0)</f>
        <v>0.39998963085856493</v>
      </c>
      <c r="AE214" s="79">
        <f>_xlfn.XLOOKUP(tblTarget[[#This Row],[ID]],tblResponse[ID],tblResponse[2024 Projected reached (Dec 2024)])</f>
        <v>0</v>
      </c>
      <c r="AF214" s="79">
        <f>_xlfn.XLOOKUP(tblTarget[[#This Row],[ID]],tblResponse[ID],tblResponse[2024 Intercluster reached -August RPM])</f>
        <v>793.90617990343003</v>
      </c>
      <c r="AG214" s="79">
        <v>1</v>
      </c>
      <c r="AH214" s="79"/>
      <c r="AI214" s="79"/>
      <c r="AJ214" s="70" t="str">
        <f>IF(tblTarget[[#This Row],[Target to PiN (%)]]&gt;Targ_vs_PiN,"Flagged","")</f>
        <v/>
      </c>
      <c r="AK214" s="69" t="str">
        <f>IF(AND(tblTarget[[#This Row],[Qualifies for exception]]="Flagged",tblTarget[[#This Row],[Target to PiN (%)]]&gt;Targ_severity5),"Flagged","")</f>
        <v/>
      </c>
      <c r="AL214" s="68" t="str">
        <f>IFERROR(IF(AND(tblTarget[[#This Row],[Intercluser Severity]]=4,tblTarget[[#This Row],[Qualifies for exception]]="Flagged",(tblTarget[[#This Row],[Cluster Target]]-tblTarget[[#This Row],[2024 Response capacity up to December]])/tblTarget[[#This Row],[Cluster Target]]&gt;Diff_severity4),"Flagged",""),"No target")</f>
        <v/>
      </c>
      <c r="AM214" s="68" t="str">
        <f>IFERROR(IF(AND(tblTarget[[#This Row],[Intercluser Severity]]=3,tblTarget[[#This Row],[Qualifies for exception]]="Flagged",(tblTarget[[#This Row],[Cluster Target]]-tblTarget[[#This Row],[2024 Response capacity up to December]])/tblTarget[[#This Row],[Cluster Target]]&gt;Diff_severity3),"Flagged",""),"No target")</f>
        <v/>
      </c>
      <c r="AN214" s="81" t="s">
        <v>1099</v>
      </c>
      <c r="AO214" s="81" t="s">
        <v>15</v>
      </c>
      <c r="AP214" s="81" t="s">
        <v>15</v>
      </c>
      <c r="AQ214" s="81" t="s">
        <v>1098</v>
      </c>
    </row>
    <row r="215" spans="1:43" ht="15.95" customHeight="1" x14ac:dyDescent="0.2">
      <c r="A215" s="62" t="s">
        <v>652</v>
      </c>
      <c r="B215" s="63" t="s">
        <v>42</v>
      </c>
      <c r="C215" s="64" t="s">
        <v>43</v>
      </c>
      <c r="D215" s="63" t="s">
        <v>70</v>
      </c>
      <c r="E215" s="64" t="s">
        <v>71</v>
      </c>
      <c r="F215" s="65">
        <v>1605</v>
      </c>
      <c r="G215" s="66" t="s">
        <v>436</v>
      </c>
      <c r="H215" s="67">
        <v>436</v>
      </c>
      <c r="I215" s="68">
        <v>3</v>
      </c>
      <c r="J215" s="68">
        <v>4</v>
      </c>
      <c r="K215" s="91">
        <v>174</v>
      </c>
      <c r="L215" s="91">
        <v>88.668788755684162</v>
      </c>
      <c r="M215" s="91">
        <v>85.331211244315824</v>
      </c>
      <c r="N215" s="91">
        <v>95.7</v>
      </c>
      <c r="O215" s="91">
        <v>67.86</v>
      </c>
      <c r="P215" s="91">
        <v>10.44</v>
      </c>
      <c r="Q215" s="85">
        <v>26.099999999999998</v>
      </c>
      <c r="R215" s="68" t="s">
        <v>436</v>
      </c>
      <c r="S215" s="86">
        <v>25</v>
      </c>
      <c r="T215" s="68">
        <v>6</v>
      </c>
      <c r="U215" s="68">
        <v>1</v>
      </c>
      <c r="V215" s="68">
        <v>2</v>
      </c>
      <c r="W215" s="68">
        <v>2</v>
      </c>
      <c r="X215" s="68">
        <v>3</v>
      </c>
      <c r="Y215" s="68">
        <v>5</v>
      </c>
      <c r="Z215" s="68">
        <v>3</v>
      </c>
      <c r="AA215" s="68">
        <v>0</v>
      </c>
      <c r="AB215" s="69">
        <v>0</v>
      </c>
      <c r="AC215" s="69">
        <v>0</v>
      </c>
      <c r="AD215" s="70">
        <f>IFERROR(tblTarget[[#This Row],[Cluster Target]]/tblTarget[[#This Row],[Cluster PiN]],0)</f>
        <v>0.39908256880733944</v>
      </c>
      <c r="AE215" s="79">
        <f>_xlfn.XLOOKUP(tblTarget[[#This Row],[ID]],tblResponse[ID],tblResponse[2024 Projected reached (Dec 2024)])</f>
        <v>8285</v>
      </c>
      <c r="AF215" s="79">
        <f>_xlfn.XLOOKUP(tblTarget[[#This Row],[ID]],tblResponse[ID],tblResponse[2024 Intercluster reached -August RPM])</f>
        <v>678.00329998944494</v>
      </c>
      <c r="AG215" s="79">
        <v>2</v>
      </c>
      <c r="AH215" s="79"/>
      <c r="AI215" s="79"/>
      <c r="AJ215" s="70" t="str">
        <f>IF(tblTarget[[#This Row],[Target to PiN (%)]]&gt;Targ_vs_PiN,"Flagged","")</f>
        <v/>
      </c>
      <c r="AK215" s="69" t="str">
        <f>IF(AND(tblTarget[[#This Row],[Qualifies for exception]]="Flagged",tblTarget[[#This Row],[Target to PiN (%)]]&gt;Targ_severity5),"Flagged","")</f>
        <v/>
      </c>
      <c r="AL215" s="68" t="str">
        <f>IFERROR(IF(AND(tblTarget[[#This Row],[Intercluser Severity]]=4,tblTarget[[#This Row],[Qualifies for exception]]="Flagged",(tblTarget[[#This Row],[Cluster Target]]-tblTarget[[#This Row],[2024 Response capacity up to December]])/tblTarget[[#This Row],[Cluster Target]]&gt;Diff_severity4),"Flagged",""),"No target")</f>
        <v/>
      </c>
      <c r="AM215" s="68" t="str">
        <f>IFERROR(IF(AND(tblTarget[[#This Row],[Intercluser Severity]]=3,tblTarget[[#This Row],[Qualifies for exception]]="Flagged",(tblTarget[[#This Row],[Cluster Target]]-tblTarget[[#This Row],[2024 Response capacity up to December]])/tblTarget[[#This Row],[Cluster Target]]&gt;Diff_severity3),"Flagged",""),"No target")</f>
        <v/>
      </c>
      <c r="AN215" s="81" t="s">
        <v>1099</v>
      </c>
      <c r="AO215" s="81"/>
      <c r="AP215" s="81" t="s">
        <v>1099</v>
      </c>
      <c r="AQ215" s="81" t="s">
        <v>1107</v>
      </c>
    </row>
    <row r="216" spans="1:43" ht="15.95" customHeight="1" x14ac:dyDescent="0.2">
      <c r="A216" s="62" t="s">
        <v>653</v>
      </c>
      <c r="B216" s="63" t="s">
        <v>42</v>
      </c>
      <c r="C216" s="64" t="s">
        <v>43</v>
      </c>
      <c r="D216" s="63" t="s">
        <v>72</v>
      </c>
      <c r="E216" s="64" t="s">
        <v>73</v>
      </c>
      <c r="F216" s="65">
        <v>13663</v>
      </c>
      <c r="G216" s="66" t="s">
        <v>436</v>
      </c>
      <c r="H216" s="67">
        <v>8544</v>
      </c>
      <c r="I216" s="68">
        <v>3</v>
      </c>
      <c r="J216" s="68">
        <v>4</v>
      </c>
      <c r="K216" s="91">
        <v>3418</v>
      </c>
      <c r="L216" s="91">
        <v>1744.0135345454933</v>
      </c>
      <c r="M216" s="91">
        <v>1673.9864654545067</v>
      </c>
      <c r="N216" s="91">
        <v>1879.9</v>
      </c>
      <c r="O216" s="91">
        <v>1333.02</v>
      </c>
      <c r="P216" s="91">
        <v>205.07999999999998</v>
      </c>
      <c r="Q216" s="85">
        <v>512.69999999999993</v>
      </c>
      <c r="R216" s="68" t="s">
        <v>15</v>
      </c>
      <c r="S216" s="86">
        <v>492</v>
      </c>
      <c r="T216" s="68">
        <v>123</v>
      </c>
      <c r="U216" s="68">
        <v>23</v>
      </c>
      <c r="V216" s="68">
        <v>31</v>
      </c>
      <c r="W216" s="68">
        <v>34</v>
      </c>
      <c r="X216" s="68">
        <v>68</v>
      </c>
      <c r="Y216" s="68">
        <v>103</v>
      </c>
      <c r="Z216" s="68">
        <v>68</v>
      </c>
      <c r="AA216" s="68">
        <v>0</v>
      </c>
      <c r="AB216" s="69">
        <v>10</v>
      </c>
      <c r="AC216" s="69">
        <v>37.669527532706297</v>
      </c>
      <c r="AD216" s="70">
        <f>IFERROR(tblTarget[[#This Row],[Cluster Target]]/tblTarget[[#This Row],[Cluster PiN]],0)</f>
        <v>0.40004681647940077</v>
      </c>
      <c r="AE216" s="79">
        <f>_xlfn.XLOOKUP(tblTarget[[#This Row],[ID]],tblResponse[ID],tblResponse[2024 Projected reached (Dec 2024)])</f>
        <v>13525</v>
      </c>
      <c r="AF216" s="79">
        <f>_xlfn.XLOOKUP(tblTarget[[#This Row],[ID]],tblResponse[ID],tblResponse[2024 Intercluster reached -August RPM])</f>
        <v>1211.8416877706079</v>
      </c>
      <c r="AG216" s="79">
        <v>3</v>
      </c>
      <c r="AH216" s="79"/>
      <c r="AI216" s="79"/>
      <c r="AJ216" s="70" t="str">
        <f>IF(tblTarget[[#This Row],[Target to PiN (%)]]&gt;Targ_vs_PiN,"Flagged","")</f>
        <v/>
      </c>
      <c r="AK216" s="69" t="str">
        <f>IF(AND(tblTarget[[#This Row],[Qualifies for exception]]="Flagged",tblTarget[[#This Row],[Target to PiN (%)]]&gt;Targ_severity5),"Flagged","")</f>
        <v/>
      </c>
      <c r="AL216" s="68" t="str">
        <f>IFERROR(IF(AND(tblTarget[[#This Row],[Intercluser Severity]]=4,tblTarget[[#This Row],[Qualifies for exception]]="Flagged",(tblTarget[[#This Row],[Cluster Target]]-tblTarget[[#This Row],[2024 Response capacity up to December]])/tblTarget[[#This Row],[Cluster Target]]&gt;Diff_severity4),"Flagged",""),"No target")</f>
        <v/>
      </c>
      <c r="AM216" s="68" t="str">
        <f>IFERROR(IF(AND(tblTarget[[#This Row],[Intercluser Severity]]=3,tblTarget[[#This Row],[Qualifies for exception]]="Flagged",(tblTarget[[#This Row],[Cluster Target]]-tblTarget[[#This Row],[2024 Response capacity up to December]])/tblTarget[[#This Row],[Cluster Target]]&gt;Diff_severity3),"Flagged",""),"No target")</f>
        <v/>
      </c>
      <c r="AN216" s="81" t="s">
        <v>1099</v>
      </c>
      <c r="AO216" s="81" t="s">
        <v>15</v>
      </c>
      <c r="AP216" s="81" t="s">
        <v>1099</v>
      </c>
      <c r="AQ216" s="81" t="s">
        <v>1098</v>
      </c>
    </row>
    <row r="217" spans="1:43" ht="15.95" customHeight="1" x14ac:dyDescent="0.2">
      <c r="A217" s="62" t="s">
        <v>654</v>
      </c>
      <c r="B217" s="63" t="s">
        <v>42</v>
      </c>
      <c r="C217" s="64" t="s">
        <v>43</v>
      </c>
      <c r="D217" s="63" t="s">
        <v>74</v>
      </c>
      <c r="E217" s="64" t="s">
        <v>75</v>
      </c>
      <c r="F217" s="65">
        <v>215994</v>
      </c>
      <c r="G217" s="66" t="s">
        <v>436</v>
      </c>
      <c r="H217" s="66">
        <v>160932</v>
      </c>
      <c r="I217" s="68">
        <v>4</v>
      </c>
      <c r="J217" s="68">
        <v>5</v>
      </c>
      <c r="K217" s="91">
        <v>96559.5</v>
      </c>
      <c r="L217" s="91">
        <v>49109.589162872056</v>
      </c>
      <c r="M217" s="91">
        <v>47449.910837127944</v>
      </c>
      <c r="N217" s="91">
        <v>53107.725000000006</v>
      </c>
      <c r="O217" s="91">
        <v>37658.205000000002</v>
      </c>
      <c r="P217" s="91">
        <v>5793.57</v>
      </c>
      <c r="Q217" s="85">
        <v>14483.924999999999</v>
      </c>
      <c r="R217" s="68" t="s">
        <v>15</v>
      </c>
      <c r="S217" s="86">
        <v>13905</v>
      </c>
      <c r="T217" s="68">
        <v>3476</v>
      </c>
      <c r="U217" s="68">
        <v>652</v>
      </c>
      <c r="V217" s="68">
        <v>869</v>
      </c>
      <c r="W217" s="68">
        <v>966</v>
      </c>
      <c r="X217" s="68">
        <v>1931</v>
      </c>
      <c r="Y217" s="68">
        <v>2897</v>
      </c>
      <c r="Z217" s="68">
        <v>1931</v>
      </c>
      <c r="AA217" s="68">
        <v>959.65629999999999</v>
      </c>
      <c r="AB217" s="69">
        <v>290</v>
      </c>
      <c r="AC217" s="69">
        <v>1205.4248810466015</v>
      </c>
      <c r="AD217" s="70">
        <f>IFERROR(tblTarget[[#This Row],[Cluster Target]]/tblTarget[[#This Row],[Cluster PiN]],0)</f>
        <v>0.60000186414137646</v>
      </c>
      <c r="AE217" s="79">
        <f>_xlfn.XLOOKUP(tblTarget[[#This Row],[ID]],tblResponse[ID],tblResponse[2024 Projected reached (Dec 2024)])</f>
        <v>0</v>
      </c>
      <c r="AF217" s="79">
        <f>_xlfn.XLOOKUP(tblTarget[[#This Row],[ID]],tblResponse[ID],tblResponse[2024 Intercluster reached -August RPM])</f>
        <v>3944.9800431806902</v>
      </c>
      <c r="AG217" s="79">
        <v>2</v>
      </c>
      <c r="AH217" s="79"/>
      <c r="AI217" s="79"/>
      <c r="AJ217" s="70" t="str">
        <f>IF(tblTarget[[#This Row],[Target to PiN (%)]]&gt;Targ_vs_PiN,"Flagged","")</f>
        <v/>
      </c>
      <c r="AK217" s="69" t="str">
        <f>IF(AND(tblTarget[[#This Row],[Qualifies for exception]]="Flagged",tblTarget[[#This Row],[Target to PiN (%)]]&gt;Targ_severity5),"Flagged","")</f>
        <v/>
      </c>
      <c r="AL217" s="68" t="str">
        <f>IFERROR(IF(AND(tblTarget[[#This Row],[Intercluser Severity]]=4,tblTarget[[#This Row],[Qualifies for exception]]="Flagged",(tblTarget[[#This Row],[Cluster Target]]-tblTarget[[#This Row],[2024 Response capacity up to December]])/tblTarget[[#This Row],[Cluster Target]]&gt;Diff_severity4),"Flagged",""),"No target")</f>
        <v/>
      </c>
      <c r="AM217" s="68" t="str">
        <f>IFERROR(IF(AND(tblTarget[[#This Row],[Intercluser Severity]]=3,tblTarget[[#This Row],[Qualifies for exception]]="Flagged",(tblTarget[[#This Row],[Cluster Target]]-tblTarget[[#This Row],[2024 Response capacity up to December]])/tblTarget[[#This Row],[Cluster Target]]&gt;Diff_severity3),"Flagged",""),"No target")</f>
        <v/>
      </c>
      <c r="AN217" s="81" t="s">
        <v>1099</v>
      </c>
      <c r="AO217" s="81"/>
      <c r="AP217" s="81" t="s">
        <v>1099</v>
      </c>
      <c r="AQ217" s="81" t="s">
        <v>1107</v>
      </c>
    </row>
    <row r="218" spans="1:43" ht="15.95" customHeight="1" x14ac:dyDescent="0.2">
      <c r="A218" s="62" t="s">
        <v>655</v>
      </c>
      <c r="B218" s="63" t="s">
        <v>42</v>
      </c>
      <c r="C218" s="64" t="s">
        <v>43</v>
      </c>
      <c r="D218" s="63" t="s">
        <v>76</v>
      </c>
      <c r="E218" s="64" t="s">
        <v>77</v>
      </c>
      <c r="F218" s="65">
        <v>5385</v>
      </c>
      <c r="G218" s="66" t="s">
        <v>436</v>
      </c>
      <c r="H218" s="67">
        <v>4559</v>
      </c>
      <c r="I218" s="68">
        <v>3</v>
      </c>
      <c r="J218" s="68">
        <v>4</v>
      </c>
      <c r="K218" s="91">
        <v>1824</v>
      </c>
      <c r="L218" s="91">
        <v>925.11614546429462</v>
      </c>
      <c r="M218" s="91">
        <v>898.88385453570538</v>
      </c>
      <c r="N218" s="91">
        <v>1003.2</v>
      </c>
      <c r="O218" s="91">
        <v>711.36</v>
      </c>
      <c r="P218" s="91">
        <v>109.44</v>
      </c>
      <c r="Q218" s="85">
        <v>273.59999999999997</v>
      </c>
      <c r="R218" s="68" t="s">
        <v>436</v>
      </c>
      <c r="S218" s="86">
        <v>263</v>
      </c>
      <c r="T218" s="68">
        <v>66</v>
      </c>
      <c r="U218" s="68">
        <v>12</v>
      </c>
      <c r="V218" s="68">
        <v>16</v>
      </c>
      <c r="W218" s="68">
        <v>18</v>
      </c>
      <c r="X218" s="68">
        <v>36</v>
      </c>
      <c r="Y218" s="68">
        <v>55</v>
      </c>
      <c r="Z218" s="68">
        <v>36</v>
      </c>
      <c r="AA218" s="68">
        <v>0</v>
      </c>
      <c r="AB218" s="69">
        <v>6</v>
      </c>
      <c r="AC218" s="69">
        <v>0</v>
      </c>
      <c r="AD218" s="70">
        <f>IFERROR(tblTarget[[#This Row],[Cluster Target]]/tblTarget[[#This Row],[Cluster PiN]],0)</f>
        <v>0.4000877385391533</v>
      </c>
      <c r="AE218" s="79">
        <f>_xlfn.XLOOKUP(tblTarget[[#This Row],[ID]],tblResponse[ID],tblResponse[2024 Projected reached (Dec 2024)])</f>
        <v>915</v>
      </c>
      <c r="AF218" s="79">
        <f>_xlfn.XLOOKUP(tblTarget[[#This Row],[ID]],tblResponse[ID],tblResponse[2024 Intercluster reached -August RPM])</f>
        <v>515.28250799197815</v>
      </c>
      <c r="AG218" s="79">
        <v>3</v>
      </c>
      <c r="AH218" s="79"/>
      <c r="AI218" s="79"/>
      <c r="AJ218" s="70" t="str">
        <f>IF(tblTarget[[#This Row],[Target to PiN (%)]]&gt;Targ_vs_PiN,"Flagged","")</f>
        <v/>
      </c>
      <c r="AK218" s="69" t="str">
        <f>IF(AND(tblTarget[[#This Row],[Qualifies for exception]]="Flagged",tblTarget[[#This Row],[Target to PiN (%)]]&gt;Targ_severity5),"Flagged","")</f>
        <v/>
      </c>
      <c r="AL218" s="68" t="str">
        <f>IFERROR(IF(AND(tblTarget[[#This Row],[Intercluser Severity]]=4,tblTarget[[#This Row],[Qualifies for exception]]="Flagged",(tblTarget[[#This Row],[Cluster Target]]-tblTarget[[#This Row],[2024 Response capacity up to December]])/tblTarget[[#This Row],[Cluster Target]]&gt;Diff_severity4),"Flagged",""),"No target")</f>
        <v>Flagged</v>
      </c>
      <c r="AM218" s="68" t="str">
        <f>IFERROR(IF(AND(tblTarget[[#This Row],[Intercluser Severity]]=3,tblTarget[[#This Row],[Qualifies for exception]]="Flagged",(tblTarget[[#This Row],[Cluster Target]]-tblTarget[[#This Row],[2024 Response capacity up to December]])/tblTarget[[#This Row],[Cluster Target]]&gt;Diff_severity3),"Flagged",""),"No target")</f>
        <v/>
      </c>
      <c r="AN218" s="81" t="s">
        <v>1099</v>
      </c>
      <c r="AO218" s="81"/>
      <c r="AP218" s="81" t="s">
        <v>1099</v>
      </c>
      <c r="AQ218" s="81" t="s">
        <v>1107</v>
      </c>
    </row>
    <row r="219" spans="1:43" ht="15.95" customHeight="1" x14ac:dyDescent="0.2">
      <c r="A219" s="62" t="s">
        <v>656</v>
      </c>
      <c r="B219" s="63" t="s">
        <v>78</v>
      </c>
      <c r="C219" s="64" t="s">
        <v>79</v>
      </c>
      <c r="D219" s="63" t="s">
        <v>80</v>
      </c>
      <c r="E219" s="64" t="s">
        <v>81</v>
      </c>
      <c r="F219" s="65">
        <v>37790</v>
      </c>
      <c r="G219" s="66" t="s">
        <v>436</v>
      </c>
      <c r="H219" s="67">
        <v>9559</v>
      </c>
      <c r="I219" s="68">
        <v>3</v>
      </c>
      <c r="J219" s="68">
        <v>3</v>
      </c>
      <c r="K219" s="91">
        <v>0</v>
      </c>
      <c r="L219" s="91">
        <v>0</v>
      </c>
      <c r="M219" s="91">
        <v>0</v>
      </c>
      <c r="N219" s="91">
        <v>0</v>
      </c>
      <c r="O219" s="91">
        <v>0</v>
      </c>
      <c r="P219" s="91">
        <v>0</v>
      </c>
      <c r="Q219" s="85">
        <v>0</v>
      </c>
      <c r="R219" s="68" t="s">
        <v>436</v>
      </c>
      <c r="S219" s="86">
        <v>0</v>
      </c>
      <c r="T219" s="68">
        <v>0</v>
      </c>
      <c r="U219" s="68">
        <v>0</v>
      </c>
      <c r="V219" s="68">
        <v>0</v>
      </c>
      <c r="W219" s="68">
        <v>0</v>
      </c>
      <c r="X219" s="68">
        <v>0</v>
      </c>
      <c r="Y219" s="68">
        <v>0</v>
      </c>
      <c r="Z219" s="68">
        <v>0</v>
      </c>
      <c r="AA219" s="68">
        <v>0</v>
      </c>
      <c r="AB219" s="69">
        <v>0</v>
      </c>
      <c r="AC219" s="69">
        <v>0</v>
      </c>
      <c r="AD219" s="70">
        <f>IFERROR(tblTarget[[#This Row],[Cluster Target]]/tblTarget[[#This Row],[Cluster PiN]],0)</f>
        <v>0</v>
      </c>
      <c r="AE219" s="79">
        <f>_xlfn.XLOOKUP(tblTarget[[#This Row],[ID]],tblResponse[ID],tblResponse[2024 Projected reached (Dec 2024)])</f>
        <v>0</v>
      </c>
      <c r="AF219" s="79">
        <f>_xlfn.XLOOKUP(tblTarget[[#This Row],[ID]],tblResponse[ID],tblResponse[2024 Intercluster reached -August RPM])</f>
        <v>8.5642522103929881</v>
      </c>
      <c r="AG219" s="79">
        <v>1</v>
      </c>
      <c r="AH219" s="79"/>
      <c r="AI219" s="79"/>
      <c r="AJ219" s="70" t="str">
        <f>IF(tblTarget[[#This Row],[Target to PiN (%)]]&gt;Targ_vs_PiN,"Flagged","")</f>
        <v/>
      </c>
      <c r="AK219" s="69" t="str">
        <f>IF(AND(tblTarget[[#This Row],[Qualifies for exception]]="Flagged",tblTarget[[#This Row],[Target to PiN (%)]]&gt;Targ_severity5),"Flagged","")</f>
        <v/>
      </c>
      <c r="AL219" s="68" t="str">
        <f>IFERROR(IF(AND(tblTarget[[#This Row],[Intercluser Severity]]=4,tblTarget[[#This Row],[Qualifies for exception]]="Flagged",(tblTarget[[#This Row],[Cluster Target]]-tblTarget[[#This Row],[2024 Response capacity up to December]])/tblTarget[[#This Row],[Cluster Target]]&gt;Diff_severity4),"Flagged",""),"No target")</f>
        <v>No target</v>
      </c>
      <c r="AM219" s="68" t="str">
        <f>IFERROR(IF(AND(tblTarget[[#This Row],[Intercluser Severity]]=3,tblTarget[[#This Row],[Qualifies for exception]]="Flagged",(tblTarget[[#This Row],[Cluster Target]]-tblTarget[[#This Row],[2024 Response capacity up to December]])/tblTarget[[#This Row],[Cluster Target]]&gt;Diff_severity3),"Flagged",""),"No target")</f>
        <v>No target</v>
      </c>
      <c r="AN219" s="81" t="s">
        <v>1099</v>
      </c>
      <c r="AO219" s="81"/>
      <c r="AP219" s="81" t="s">
        <v>1099</v>
      </c>
      <c r="AQ219" s="81" t="s">
        <v>1107</v>
      </c>
    </row>
    <row r="220" spans="1:43" ht="15.95" customHeight="1" x14ac:dyDescent="0.2">
      <c r="A220" s="62" t="s">
        <v>657</v>
      </c>
      <c r="B220" s="63" t="s">
        <v>78</v>
      </c>
      <c r="C220" s="64" t="s">
        <v>79</v>
      </c>
      <c r="D220" s="63" t="s">
        <v>82</v>
      </c>
      <c r="E220" s="64" t="s">
        <v>83</v>
      </c>
      <c r="F220" s="65">
        <v>33541</v>
      </c>
      <c r="G220" s="66" t="s">
        <v>436</v>
      </c>
      <c r="H220" s="67">
        <v>18038</v>
      </c>
      <c r="I220" s="68">
        <v>3</v>
      </c>
      <c r="J220" s="68">
        <v>4</v>
      </c>
      <c r="K220" s="91">
        <v>902</v>
      </c>
      <c r="L220" s="91">
        <v>447.52417472804609</v>
      </c>
      <c r="M220" s="91">
        <v>454.47582527195397</v>
      </c>
      <c r="N220" s="91">
        <v>496.1</v>
      </c>
      <c r="O220" s="91">
        <v>351.78000000000003</v>
      </c>
      <c r="P220" s="91">
        <v>54.12</v>
      </c>
      <c r="Q220" s="85">
        <v>135.29999999999998</v>
      </c>
      <c r="R220" s="68" t="s">
        <v>436</v>
      </c>
      <c r="S220" s="86">
        <v>130</v>
      </c>
      <c r="T220" s="68">
        <v>32</v>
      </c>
      <c r="U220" s="68">
        <v>6</v>
      </c>
      <c r="V220" s="68">
        <v>8</v>
      </c>
      <c r="W220" s="68">
        <v>9</v>
      </c>
      <c r="X220" s="68">
        <v>18</v>
      </c>
      <c r="Y220" s="68">
        <v>27</v>
      </c>
      <c r="Z220" s="68">
        <v>18</v>
      </c>
      <c r="AA220" s="68">
        <v>0</v>
      </c>
      <c r="AB220" s="69">
        <v>2</v>
      </c>
      <c r="AC220" s="69">
        <v>0</v>
      </c>
      <c r="AD220" s="70">
        <f>IFERROR(tblTarget[[#This Row],[Cluster Target]]/tblTarget[[#This Row],[Cluster PiN]],0)</f>
        <v>5.0005543851868277E-2</v>
      </c>
      <c r="AE220" s="79">
        <f>_xlfn.XLOOKUP(tblTarget[[#This Row],[ID]],tblResponse[ID],tblResponse[2024 Projected reached (Dec 2024)])</f>
        <v>0</v>
      </c>
      <c r="AF220" s="79">
        <f>_xlfn.XLOOKUP(tblTarget[[#This Row],[ID]],tblResponse[ID],tblResponse[2024 Intercluster reached -August RPM])</f>
        <v>0</v>
      </c>
      <c r="AG220" s="79">
        <v>1</v>
      </c>
      <c r="AH220" s="79"/>
      <c r="AI220" s="79"/>
      <c r="AJ220" s="70" t="str">
        <f>IF(tblTarget[[#This Row],[Target to PiN (%)]]&gt;Targ_vs_PiN,"Flagged","")</f>
        <v/>
      </c>
      <c r="AK220" s="69" t="str">
        <f>IF(AND(tblTarget[[#This Row],[Qualifies for exception]]="Flagged",tblTarget[[#This Row],[Target to PiN (%)]]&gt;Targ_severity5),"Flagged","")</f>
        <v/>
      </c>
      <c r="AL220" s="68" t="str">
        <f>IFERROR(IF(AND(tblTarget[[#This Row],[Intercluser Severity]]=4,tblTarget[[#This Row],[Qualifies for exception]]="Flagged",(tblTarget[[#This Row],[Cluster Target]]-tblTarget[[#This Row],[2024 Response capacity up to December]])/tblTarget[[#This Row],[Cluster Target]]&gt;Diff_severity4),"Flagged",""),"No target")</f>
        <v>Flagged</v>
      </c>
      <c r="AM220" s="68" t="str">
        <f>IFERROR(IF(AND(tblTarget[[#This Row],[Intercluser Severity]]=3,tblTarget[[#This Row],[Qualifies for exception]]="Flagged",(tblTarget[[#This Row],[Cluster Target]]-tblTarget[[#This Row],[2024 Response capacity up to December]])/tblTarget[[#This Row],[Cluster Target]]&gt;Diff_severity3),"Flagged",""),"No target")</f>
        <v/>
      </c>
      <c r="AN220" s="81" t="s">
        <v>1099</v>
      </c>
      <c r="AO220" s="81"/>
      <c r="AP220" s="81" t="s">
        <v>1099</v>
      </c>
      <c r="AQ220" s="81" t="s">
        <v>1107</v>
      </c>
    </row>
    <row r="221" spans="1:43" ht="15.95" customHeight="1" x14ac:dyDescent="0.2">
      <c r="A221" s="62" t="s">
        <v>658</v>
      </c>
      <c r="B221" s="63" t="s">
        <v>78</v>
      </c>
      <c r="C221" s="64" t="s">
        <v>79</v>
      </c>
      <c r="D221" s="63" t="s">
        <v>84</v>
      </c>
      <c r="E221" s="64" t="s">
        <v>85</v>
      </c>
      <c r="F221" s="65">
        <v>153958</v>
      </c>
      <c r="G221" s="66" t="s">
        <v>436</v>
      </c>
      <c r="H221" s="67">
        <v>102181</v>
      </c>
      <c r="I221" s="68">
        <v>4</v>
      </c>
      <c r="J221" s="68">
        <v>4</v>
      </c>
      <c r="K221" s="91">
        <v>40872</v>
      </c>
      <c r="L221" s="91">
        <v>20410.179280578192</v>
      </c>
      <c r="M221" s="91">
        <v>20461.820719421808</v>
      </c>
      <c r="N221" s="91">
        <v>22479.600000000002</v>
      </c>
      <c r="O221" s="91">
        <v>15940.08</v>
      </c>
      <c r="P221" s="91">
        <v>2452.3199999999997</v>
      </c>
      <c r="Q221" s="85">
        <v>6130.8</v>
      </c>
      <c r="R221" s="68" t="s">
        <v>436</v>
      </c>
      <c r="S221" s="86">
        <v>5886</v>
      </c>
      <c r="T221" s="68">
        <v>1471</v>
      </c>
      <c r="U221" s="68">
        <v>276</v>
      </c>
      <c r="V221" s="68">
        <v>368</v>
      </c>
      <c r="W221" s="68">
        <v>409</v>
      </c>
      <c r="X221" s="68">
        <v>817</v>
      </c>
      <c r="Y221" s="68">
        <v>1226</v>
      </c>
      <c r="Z221" s="68">
        <v>817</v>
      </c>
      <c r="AA221" s="68">
        <v>0</v>
      </c>
      <c r="AB221" s="69">
        <v>120</v>
      </c>
      <c r="AC221" s="69">
        <v>263.68669272894408</v>
      </c>
      <c r="AD221" s="70">
        <f>IFERROR(tblTarget[[#This Row],[Cluster Target]]/tblTarget[[#This Row],[Cluster PiN]],0)</f>
        <v>0.39999608537790782</v>
      </c>
      <c r="AE221" s="79">
        <f>_xlfn.XLOOKUP(tblTarget[[#This Row],[ID]],tblResponse[ID],tblResponse[2024 Projected reached (Dec 2024)])</f>
        <v>0</v>
      </c>
      <c r="AF221" s="79">
        <f>_xlfn.XLOOKUP(tblTarget[[#This Row],[ID]],tblResponse[ID],tblResponse[2024 Intercluster reached -August RPM])</f>
        <v>16348.301044419175</v>
      </c>
      <c r="AG221" s="79">
        <v>2</v>
      </c>
      <c r="AH221" s="79"/>
      <c r="AI221" s="79"/>
      <c r="AJ221" s="70" t="str">
        <f>IF(tblTarget[[#This Row],[Target to PiN (%)]]&gt;Targ_vs_PiN,"Flagged","")</f>
        <v/>
      </c>
      <c r="AK221" s="69" t="str">
        <f>IF(AND(tblTarget[[#This Row],[Qualifies for exception]]="Flagged",tblTarget[[#This Row],[Target to PiN (%)]]&gt;Targ_severity5),"Flagged","")</f>
        <v/>
      </c>
      <c r="AL221" s="68" t="str">
        <f>IFERROR(IF(AND(tblTarget[[#This Row],[Intercluser Severity]]=4,tblTarget[[#This Row],[Qualifies for exception]]="Flagged",(tblTarget[[#This Row],[Cluster Target]]-tblTarget[[#This Row],[2024 Response capacity up to December]])/tblTarget[[#This Row],[Cluster Target]]&gt;Diff_severity4),"Flagged",""),"No target")</f>
        <v>Flagged</v>
      </c>
      <c r="AM221" s="68" t="str">
        <f>IFERROR(IF(AND(tblTarget[[#This Row],[Intercluser Severity]]=3,tblTarget[[#This Row],[Qualifies for exception]]="Flagged",(tblTarget[[#This Row],[Cluster Target]]-tblTarget[[#This Row],[2024 Response capacity up to December]])/tblTarget[[#This Row],[Cluster Target]]&gt;Diff_severity3),"Flagged",""),"No target")</f>
        <v/>
      </c>
      <c r="AN221" s="81" t="s">
        <v>1099</v>
      </c>
      <c r="AO221" s="81"/>
      <c r="AP221" s="81" t="s">
        <v>1099</v>
      </c>
      <c r="AQ221" s="81" t="s">
        <v>1107</v>
      </c>
    </row>
    <row r="222" spans="1:43" ht="15.95" customHeight="1" x14ac:dyDescent="0.2">
      <c r="A222" s="62" t="s">
        <v>659</v>
      </c>
      <c r="B222" s="63" t="s">
        <v>78</v>
      </c>
      <c r="C222" s="64" t="s">
        <v>79</v>
      </c>
      <c r="D222" s="63" t="s">
        <v>86</v>
      </c>
      <c r="E222" s="64" t="s">
        <v>87</v>
      </c>
      <c r="F222" s="65">
        <v>80145</v>
      </c>
      <c r="G222" s="66" t="s">
        <v>436</v>
      </c>
      <c r="H222" s="67">
        <v>42474</v>
      </c>
      <c r="I222" s="68">
        <v>4</v>
      </c>
      <c r="J222" s="68">
        <v>4</v>
      </c>
      <c r="K222" s="91">
        <v>16990</v>
      </c>
      <c r="L222" s="91">
        <v>8056.5076236519153</v>
      </c>
      <c r="M222" s="91">
        <v>8933.4923763480838</v>
      </c>
      <c r="N222" s="91">
        <v>9344.5</v>
      </c>
      <c r="O222" s="91">
        <v>6626.1</v>
      </c>
      <c r="P222" s="91">
        <v>1019.4</v>
      </c>
      <c r="Q222" s="85">
        <v>2548.5</v>
      </c>
      <c r="R222" s="68" t="s">
        <v>15</v>
      </c>
      <c r="S222" s="86">
        <v>2447</v>
      </c>
      <c r="T222" s="68">
        <v>612</v>
      </c>
      <c r="U222" s="68">
        <v>115</v>
      </c>
      <c r="V222" s="68">
        <v>153</v>
      </c>
      <c r="W222" s="68">
        <v>170</v>
      </c>
      <c r="X222" s="68">
        <v>340</v>
      </c>
      <c r="Y222" s="68">
        <v>510</v>
      </c>
      <c r="Z222" s="68">
        <v>340</v>
      </c>
      <c r="AA222" s="68">
        <v>0</v>
      </c>
      <c r="AB222" s="69">
        <v>50</v>
      </c>
      <c r="AC222" s="69">
        <v>113.00858259811889</v>
      </c>
      <c r="AD222" s="70">
        <f>IFERROR(tblTarget[[#This Row],[Cluster Target]]/tblTarget[[#This Row],[Cluster PiN]],0)</f>
        <v>0.40000941752601593</v>
      </c>
      <c r="AE222" s="79">
        <f>_xlfn.XLOOKUP(tblTarget[[#This Row],[ID]],tblResponse[ID],tblResponse[2024 Projected reached (Dec 2024)])</f>
        <v>0</v>
      </c>
      <c r="AF222" s="79">
        <f>_xlfn.XLOOKUP(tblTarget[[#This Row],[ID]],tblResponse[ID],tblResponse[2024 Intercluster reached -August RPM])</f>
        <v>231.23480968061068</v>
      </c>
      <c r="AG222" s="79">
        <v>1</v>
      </c>
      <c r="AH222" s="79"/>
      <c r="AI222" s="79"/>
      <c r="AJ222" s="70" t="str">
        <f>IF(tblTarget[[#This Row],[Target to PiN (%)]]&gt;Targ_vs_PiN,"Flagged","")</f>
        <v/>
      </c>
      <c r="AK222" s="69" t="str">
        <f>IF(AND(tblTarget[[#This Row],[Qualifies for exception]]="Flagged",tblTarget[[#This Row],[Target to PiN (%)]]&gt;Targ_severity5),"Flagged","")</f>
        <v/>
      </c>
      <c r="AL222" s="68" t="str">
        <f>IFERROR(IF(AND(tblTarget[[#This Row],[Intercluser Severity]]=4,tblTarget[[#This Row],[Qualifies for exception]]="Flagged",(tblTarget[[#This Row],[Cluster Target]]-tblTarget[[#This Row],[2024 Response capacity up to December]])/tblTarget[[#This Row],[Cluster Target]]&gt;Diff_severity4),"Flagged",""),"No target")</f>
        <v/>
      </c>
      <c r="AM222" s="68" t="str">
        <f>IFERROR(IF(AND(tblTarget[[#This Row],[Intercluser Severity]]=3,tblTarget[[#This Row],[Qualifies for exception]]="Flagged",(tblTarget[[#This Row],[Cluster Target]]-tblTarget[[#This Row],[2024 Response capacity up to December]])/tblTarget[[#This Row],[Cluster Target]]&gt;Diff_severity3),"Flagged",""),"No target")</f>
        <v/>
      </c>
      <c r="AN222" s="81" t="s">
        <v>1099</v>
      </c>
      <c r="AO222" s="81"/>
      <c r="AP222" s="81" t="s">
        <v>15</v>
      </c>
      <c r="AQ222" s="81" t="s">
        <v>1098</v>
      </c>
    </row>
    <row r="223" spans="1:43" ht="15.95" customHeight="1" x14ac:dyDescent="0.2">
      <c r="A223" s="62" t="s">
        <v>660</v>
      </c>
      <c r="B223" s="63" t="s">
        <v>78</v>
      </c>
      <c r="C223" s="64" t="s">
        <v>79</v>
      </c>
      <c r="D223" s="63" t="s">
        <v>88</v>
      </c>
      <c r="E223" s="64" t="s">
        <v>89</v>
      </c>
      <c r="F223" s="65">
        <v>3835</v>
      </c>
      <c r="G223" s="66" t="s">
        <v>436</v>
      </c>
      <c r="H223" s="67">
        <v>2866</v>
      </c>
      <c r="I223" s="68">
        <v>3</v>
      </c>
      <c r="J223" s="68">
        <v>3</v>
      </c>
      <c r="K223" s="91">
        <v>0</v>
      </c>
      <c r="L223" s="91">
        <v>0</v>
      </c>
      <c r="M223" s="91">
        <v>0</v>
      </c>
      <c r="N223" s="91">
        <v>0</v>
      </c>
      <c r="O223" s="91">
        <v>0</v>
      </c>
      <c r="P223" s="91">
        <v>0</v>
      </c>
      <c r="Q223" s="85">
        <v>0</v>
      </c>
      <c r="R223" s="68" t="s">
        <v>436</v>
      </c>
      <c r="S223" s="86">
        <v>0</v>
      </c>
      <c r="T223" s="68">
        <v>0</v>
      </c>
      <c r="U223" s="68">
        <v>0</v>
      </c>
      <c r="V223" s="68">
        <v>0</v>
      </c>
      <c r="W223" s="68">
        <v>0</v>
      </c>
      <c r="X223" s="68">
        <v>0</v>
      </c>
      <c r="Y223" s="68">
        <v>0</v>
      </c>
      <c r="Z223" s="68">
        <v>0</v>
      </c>
      <c r="AA223" s="68">
        <v>0</v>
      </c>
      <c r="AB223" s="69">
        <v>0</v>
      </c>
      <c r="AC223" s="69">
        <v>0</v>
      </c>
      <c r="AD223" s="70">
        <f>IFERROR(tblTarget[[#This Row],[Cluster Target]]/tblTarget[[#This Row],[Cluster PiN]],0)</f>
        <v>0</v>
      </c>
      <c r="AE223" s="79">
        <f>_xlfn.XLOOKUP(tblTarget[[#This Row],[ID]],tblResponse[ID],tblResponse[2024 Projected reached (Dec 2024)])</f>
        <v>0</v>
      </c>
      <c r="AF223" s="79">
        <f>_xlfn.XLOOKUP(tblTarget[[#This Row],[ID]],tblResponse[ID],tblResponse[2024 Intercluster reached -August RPM])</f>
        <v>0</v>
      </c>
      <c r="AG223" s="79">
        <v>1</v>
      </c>
      <c r="AH223" s="79"/>
      <c r="AI223" s="79"/>
      <c r="AJ223" s="70" t="str">
        <f>IF(tblTarget[[#This Row],[Target to PiN (%)]]&gt;Targ_vs_PiN,"Flagged","")</f>
        <v/>
      </c>
      <c r="AK223" s="69" t="str">
        <f>IF(AND(tblTarget[[#This Row],[Qualifies for exception]]="Flagged",tblTarget[[#This Row],[Target to PiN (%)]]&gt;Targ_severity5),"Flagged","")</f>
        <v/>
      </c>
      <c r="AL223" s="68" t="str">
        <f>IFERROR(IF(AND(tblTarget[[#This Row],[Intercluser Severity]]=4,tblTarget[[#This Row],[Qualifies for exception]]="Flagged",(tblTarget[[#This Row],[Cluster Target]]-tblTarget[[#This Row],[2024 Response capacity up to December]])/tblTarget[[#This Row],[Cluster Target]]&gt;Diff_severity4),"Flagged",""),"No target")</f>
        <v>No target</v>
      </c>
      <c r="AM223" s="68" t="str">
        <f>IFERROR(IF(AND(tblTarget[[#This Row],[Intercluser Severity]]=3,tblTarget[[#This Row],[Qualifies for exception]]="Flagged",(tblTarget[[#This Row],[Cluster Target]]-tblTarget[[#This Row],[2024 Response capacity up to December]])/tblTarget[[#This Row],[Cluster Target]]&gt;Diff_severity3),"Flagged",""),"No target")</f>
        <v>No target</v>
      </c>
      <c r="AN223" s="81" t="s">
        <v>1099</v>
      </c>
      <c r="AO223" s="81"/>
      <c r="AP223" s="81" t="s">
        <v>1099</v>
      </c>
      <c r="AQ223" s="81" t="s">
        <v>1107</v>
      </c>
    </row>
    <row r="224" spans="1:43" ht="15.95" customHeight="1" x14ac:dyDescent="0.2">
      <c r="A224" s="62" t="s">
        <v>661</v>
      </c>
      <c r="B224" s="63" t="s">
        <v>78</v>
      </c>
      <c r="C224" s="64" t="s">
        <v>79</v>
      </c>
      <c r="D224" s="63" t="s">
        <v>90</v>
      </c>
      <c r="E224" s="64" t="s">
        <v>91</v>
      </c>
      <c r="F224" s="65">
        <v>42045</v>
      </c>
      <c r="G224" s="66" t="s">
        <v>436</v>
      </c>
      <c r="H224" s="67">
        <v>19635</v>
      </c>
      <c r="I224" s="68">
        <v>3</v>
      </c>
      <c r="J224" s="68">
        <v>4</v>
      </c>
      <c r="K224" s="91">
        <v>982</v>
      </c>
      <c r="L224" s="91">
        <v>491.93455344070276</v>
      </c>
      <c r="M224" s="91">
        <v>490.06544655929724</v>
      </c>
      <c r="N224" s="91">
        <v>540.1</v>
      </c>
      <c r="O224" s="91">
        <v>382.98</v>
      </c>
      <c r="P224" s="91">
        <v>58.919999999999995</v>
      </c>
      <c r="Q224" s="85">
        <v>147.29999999999998</v>
      </c>
      <c r="R224" s="68" t="s">
        <v>15</v>
      </c>
      <c r="S224" s="86">
        <v>141</v>
      </c>
      <c r="T224" s="68">
        <v>35</v>
      </c>
      <c r="U224" s="68">
        <v>7</v>
      </c>
      <c r="V224" s="68">
        <v>9</v>
      </c>
      <c r="W224" s="68">
        <v>10</v>
      </c>
      <c r="X224" s="68">
        <v>20</v>
      </c>
      <c r="Y224" s="68">
        <v>29</v>
      </c>
      <c r="Z224" s="68">
        <v>20</v>
      </c>
      <c r="AA224" s="68">
        <v>0</v>
      </c>
      <c r="AB224" s="69">
        <v>2</v>
      </c>
      <c r="AC224" s="69">
        <v>0</v>
      </c>
      <c r="AD224" s="70">
        <f>IFERROR(tblTarget[[#This Row],[Cluster Target]]/tblTarget[[#This Row],[Cluster PiN]],0)</f>
        <v>5.0012732365673544E-2</v>
      </c>
      <c r="AE224" s="79">
        <f>_xlfn.XLOOKUP(tblTarget[[#This Row],[ID]],tblResponse[ID],tblResponse[2024 Projected reached (Dec 2024)])</f>
        <v>0</v>
      </c>
      <c r="AF224" s="79">
        <f>_xlfn.XLOOKUP(tblTarget[[#This Row],[ID]],tblResponse[ID],tblResponse[2024 Intercluster reached -August RPM])</f>
        <v>13039.073990323324</v>
      </c>
      <c r="AG224" s="79">
        <v>1</v>
      </c>
      <c r="AH224" s="79"/>
      <c r="AI224" s="79"/>
      <c r="AJ224" s="70" t="str">
        <f>IF(tblTarget[[#This Row],[Target to PiN (%)]]&gt;Targ_vs_PiN,"Flagged","")</f>
        <v/>
      </c>
      <c r="AK224" s="69" t="str">
        <f>IF(AND(tblTarget[[#This Row],[Qualifies for exception]]="Flagged",tblTarget[[#This Row],[Target to PiN (%)]]&gt;Targ_severity5),"Flagged","")</f>
        <v/>
      </c>
      <c r="AL224" s="68" t="str">
        <f>IFERROR(IF(AND(tblTarget[[#This Row],[Intercluser Severity]]=4,tblTarget[[#This Row],[Qualifies for exception]]="Flagged",(tblTarget[[#This Row],[Cluster Target]]-tblTarget[[#This Row],[2024 Response capacity up to December]])/tblTarget[[#This Row],[Cluster Target]]&gt;Diff_severity4),"Flagged",""),"No target")</f>
        <v/>
      </c>
      <c r="AM224" s="68" t="str">
        <f>IFERROR(IF(AND(tblTarget[[#This Row],[Intercluser Severity]]=3,tblTarget[[#This Row],[Qualifies for exception]]="Flagged",(tblTarget[[#This Row],[Cluster Target]]-tblTarget[[#This Row],[2024 Response capacity up to December]])/tblTarget[[#This Row],[Cluster Target]]&gt;Diff_severity3),"Flagged",""),"No target")</f>
        <v/>
      </c>
      <c r="AN224" s="81" t="s">
        <v>1099</v>
      </c>
      <c r="AO224" s="81"/>
      <c r="AP224" s="81" t="s">
        <v>15</v>
      </c>
      <c r="AQ224" s="81" t="s">
        <v>1098</v>
      </c>
    </row>
    <row r="225" spans="1:43" ht="15.95" customHeight="1" x14ac:dyDescent="0.2">
      <c r="A225" s="62" t="s">
        <v>662</v>
      </c>
      <c r="B225" s="63" t="s">
        <v>78</v>
      </c>
      <c r="C225" s="64" t="s">
        <v>79</v>
      </c>
      <c r="D225" s="63" t="s">
        <v>92</v>
      </c>
      <c r="E225" s="64" t="s">
        <v>93</v>
      </c>
      <c r="F225" s="65">
        <v>20775</v>
      </c>
      <c r="G225" s="66" t="s">
        <v>436</v>
      </c>
      <c r="H225" s="67">
        <v>4415</v>
      </c>
      <c r="I225" s="68">
        <v>3</v>
      </c>
      <c r="J225" s="68">
        <v>4</v>
      </c>
      <c r="K225" s="91">
        <v>221</v>
      </c>
      <c r="L225" s="91">
        <v>104.39067857459803</v>
      </c>
      <c r="M225" s="91">
        <v>116.60932142540197</v>
      </c>
      <c r="N225" s="91">
        <v>121.55000000000001</v>
      </c>
      <c r="O225" s="91">
        <v>86.19</v>
      </c>
      <c r="P225" s="91">
        <v>13.26</v>
      </c>
      <c r="Q225" s="85">
        <v>33.15</v>
      </c>
      <c r="R225" s="68" t="s">
        <v>436</v>
      </c>
      <c r="S225" s="86">
        <v>32</v>
      </c>
      <c r="T225" s="68">
        <v>8</v>
      </c>
      <c r="U225" s="68">
        <v>1</v>
      </c>
      <c r="V225" s="68">
        <v>2</v>
      </c>
      <c r="W225" s="68">
        <v>2</v>
      </c>
      <c r="X225" s="68">
        <v>4</v>
      </c>
      <c r="Y225" s="68">
        <v>7</v>
      </c>
      <c r="Z225" s="68">
        <v>4</v>
      </c>
      <c r="AA225" s="68">
        <v>0</v>
      </c>
      <c r="AB225" s="69">
        <v>0</v>
      </c>
      <c r="AC225" s="69">
        <v>0</v>
      </c>
      <c r="AD225" s="70">
        <f>IFERROR(tblTarget[[#This Row],[Cluster Target]]/tblTarget[[#This Row],[Cluster PiN]],0)</f>
        <v>5.0056625141562852E-2</v>
      </c>
      <c r="AE225" s="79">
        <f>_xlfn.XLOOKUP(tblTarget[[#This Row],[ID]],tblResponse[ID],tblResponse[2024 Projected reached (Dec 2024)])</f>
        <v>0</v>
      </c>
      <c r="AF225" s="79">
        <f>_xlfn.XLOOKUP(tblTarget[[#This Row],[ID]],tblResponse[ID],tblResponse[2024 Intercluster reached -August RPM])</f>
        <v>0</v>
      </c>
      <c r="AG225" s="79">
        <v>1</v>
      </c>
      <c r="AH225" s="79"/>
      <c r="AI225" s="79"/>
      <c r="AJ225" s="70" t="str">
        <f>IF(tblTarget[[#This Row],[Target to PiN (%)]]&gt;Targ_vs_PiN,"Flagged","")</f>
        <v/>
      </c>
      <c r="AK225" s="69" t="str">
        <f>IF(AND(tblTarget[[#This Row],[Qualifies for exception]]="Flagged",tblTarget[[#This Row],[Target to PiN (%)]]&gt;Targ_severity5),"Flagged","")</f>
        <v/>
      </c>
      <c r="AL225" s="68" t="str">
        <f>IFERROR(IF(AND(tblTarget[[#This Row],[Intercluser Severity]]=4,tblTarget[[#This Row],[Qualifies for exception]]="Flagged",(tblTarget[[#This Row],[Cluster Target]]-tblTarget[[#This Row],[2024 Response capacity up to December]])/tblTarget[[#This Row],[Cluster Target]]&gt;Diff_severity4),"Flagged",""),"No target")</f>
        <v>Flagged</v>
      </c>
      <c r="AM225" s="68" t="str">
        <f>IFERROR(IF(AND(tblTarget[[#This Row],[Intercluser Severity]]=3,tblTarget[[#This Row],[Qualifies for exception]]="Flagged",(tblTarget[[#This Row],[Cluster Target]]-tblTarget[[#This Row],[2024 Response capacity up to December]])/tblTarget[[#This Row],[Cluster Target]]&gt;Diff_severity3),"Flagged",""),"No target")</f>
        <v/>
      </c>
      <c r="AN225" s="81" t="s">
        <v>1099</v>
      </c>
      <c r="AO225" s="81"/>
      <c r="AP225" s="81" t="s">
        <v>1099</v>
      </c>
      <c r="AQ225" s="81" t="s">
        <v>1107</v>
      </c>
    </row>
    <row r="226" spans="1:43" ht="15.95" customHeight="1" x14ac:dyDescent="0.2">
      <c r="A226" s="62" t="s">
        <v>663</v>
      </c>
      <c r="B226" s="63" t="s">
        <v>78</v>
      </c>
      <c r="C226" s="64" t="s">
        <v>79</v>
      </c>
      <c r="D226" s="63" t="s">
        <v>94</v>
      </c>
      <c r="E226" s="64" t="s">
        <v>95</v>
      </c>
      <c r="F226" s="65">
        <v>3945</v>
      </c>
      <c r="G226" s="66" t="s">
        <v>436</v>
      </c>
      <c r="H226" s="67">
        <v>2119</v>
      </c>
      <c r="I226" s="68">
        <v>3</v>
      </c>
      <c r="J226" s="68">
        <v>4</v>
      </c>
      <c r="K226" s="91">
        <v>106</v>
      </c>
      <c r="L226" s="91">
        <v>50.665091798251069</v>
      </c>
      <c r="M226" s="91">
        <v>55.334908201748938</v>
      </c>
      <c r="N226" s="91">
        <v>58.300000000000004</v>
      </c>
      <c r="O226" s="91">
        <v>41.34</v>
      </c>
      <c r="P226" s="91">
        <v>6.3599999999999994</v>
      </c>
      <c r="Q226" s="85">
        <v>15.899999999999999</v>
      </c>
      <c r="R226" s="68" t="s">
        <v>436</v>
      </c>
      <c r="S226" s="86">
        <v>15</v>
      </c>
      <c r="T226" s="68">
        <v>4</v>
      </c>
      <c r="U226" s="68">
        <v>1</v>
      </c>
      <c r="V226" s="68">
        <v>1</v>
      </c>
      <c r="W226" s="68">
        <v>1</v>
      </c>
      <c r="X226" s="68">
        <v>2</v>
      </c>
      <c r="Y226" s="68">
        <v>3</v>
      </c>
      <c r="Z226" s="68">
        <v>2</v>
      </c>
      <c r="AA226" s="68">
        <v>0</v>
      </c>
      <c r="AB226" s="69">
        <v>0</v>
      </c>
      <c r="AC226" s="69">
        <v>0</v>
      </c>
      <c r="AD226" s="70">
        <f>IFERROR(tblTarget[[#This Row],[Cluster Target]]/tblTarget[[#This Row],[Cluster PiN]],0)</f>
        <v>5.0023596035865973E-2</v>
      </c>
      <c r="AE226" s="79">
        <f>_xlfn.XLOOKUP(tblTarget[[#This Row],[ID]],tblResponse[ID],tblResponse[2024 Projected reached (Dec 2024)])</f>
        <v>0</v>
      </c>
      <c r="AF226" s="79">
        <f>_xlfn.XLOOKUP(tblTarget[[#This Row],[ID]],tblResponse[ID],tblResponse[2024 Intercluster reached -August RPM])</f>
        <v>1352.5808990947326</v>
      </c>
      <c r="AG226" s="79">
        <v>1</v>
      </c>
      <c r="AH226" s="79"/>
      <c r="AI226" s="79"/>
      <c r="AJ226" s="70" t="str">
        <f>IF(tblTarget[[#This Row],[Target to PiN (%)]]&gt;Targ_vs_PiN,"Flagged","")</f>
        <v/>
      </c>
      <c r="AK226" s="69" t="str">
        <f>IF(AND(tblTarget[[#This Row],[Qualifies for exception]]="Flagged",tblTarget[[#This Row],[Target to PiN (%)]]&gt;Targ_severity5),"Flagged","")</f>
        <v/>
      </c>
      <c r="AL226" s="68" t="str">
        <f>IFERROR(IF(AND(tblTarget[[#This Row],[Intercluser Severity]]=4,tblTarget[[#This Row],[Qualifies for exception]]="Flagged",(tblTarget[[#This Row],[Cluster Target]]-tblTarget[[#This Row],[2024 Response capacity up to December]])/tblTarget[[#This Row],[Cluster Target]]&gt;Diff_severity4),"Flagged",""),"No target")</f>
        <v>Flagged</v>
      </c>
      <c r="AM226" s="68" t="str">
        <f>IFERROR(IF(AND(tblTarget[[#This Row],[Intercluser Severity]]=3,tblTarget[[#This Row],[Qualifies for exception]]="Flagged",(tblTarget[[#This Row],[Cluster Target]]-tblTarget[[#This Row],[2024 Response capacity up to December]])/tblTarget[[#This Row],[Cluster Target]]&gt;Diff_severity3),"Flagged",""),"No target")</f>
        <v/>
      </c>
      <c r="AN226" s="81" t="s">
        <v>1099</v>
      </c>
      <c r="AO226" s="81"/>
      <c r="AP226" s="81" t="s">
        <v>1099</v>
      </c>
      <c r="AQ226" s="81" t="s">
        <v>1107</v>
      </c>
    </row>
    <row r="227" spans="1:43" ht="15.95" customHeight="1" x14ac:dyDescent="0.2">
      <c r="A227" s="62" t="s">
        <v>664</v>
      </c>
      <c r="B227" s="63" t="s">
        <v>78</v>
      </c>
      <c r="C227" s="64" t="s">
        <v>79</v>
      </c>
      <c r="D227" s="63" t="s">
        <v>96</v>
      </c>
      <c r="E227" s="64" t="s">
        <v>97</v>
      </c>
      <c r="F227" s="65">
        <v>28505</v>
      </c>
      <c r="G227" s="66" t="s">
        <v>436</v>
      </c>
      <c r="H227" s="67">
        <v>23295</v>
      </c>
      <c r="I227" s="68">
        <v>3</v>
      </c>
      <c r="J227" s="68">
        <v>4</v>
      </c>
      <c r="K227" s="91">
        <v>4659</v>
      </c>
      <c r="L227" s="91">
        <v>2241.9834111660975</v>
      </c>
      <c r="M227" s="91">
        <v>2417.0165888339025</v>
      </c>
      <c r="N227" s="91">
        <v>2562.4500000000003</v>
      </c>
      <c r="O227" s="91">
        <v>1817.01</v>
      </c>
      <c r="P227" s="91">
        <v>279.53999999999996</v>
      </c>
      <c r="Q227" s="85">
        <v>698.85</v>
      </c>
      <c r="R227" s="68" t="s">
        <v>15</v>
      </c>
      <c r="S227" s="86">
        <v>671</v>
      </c>
      <c r="T227" s="68">
        <v>168</v>
      </c>
      <c r="U227" s="68">
        <v>31</v>
      </c>
      <c r="V227" s="68">
        <v>42</v>
      </c>
      <c r="W227" s="68">
        <v>47</v>
      </c>
      <c r="X227" s="68">
        <v>93</v>
      </c>
      <c r="Y227" s="68">
        <v>140</v>
      </c>
      <c r="Z227" s="68">
        <v>93</v>
      </c>
      <c r="AA227" s="68">
        <v>0</v>
      </c>
      <c r="AB227" s="69">
        <v>14</v>
      </c>
      <c r="AC227" s="69">
        <v>37.669527532706297</v>
      </c>
      <c r="AD227" s="70">
        <f>IFERROR(tblTarget[[#This Row],[Cluster Target]]/tblTarget[[#This Row],[Cluster PiN]],0)</f>
        <v>0.2</v>
      </c>
      <c r="AE227" s="79">
        <f>_xlfn.XLOOKUP(tblTarget[[#This Row],[ID]],tblResponse[ID],tblResponse[2024 Projected reached (Dec 2024)])</f>
        <v>0</v>
      </c>
      <c r="AF227" s="79">
        <f>_xlfn.XLOOKUP(tblTarget[[#This Row],[ID]],tblResponse[ID],tblResponse[2024 Intercluster reached -August RPM])</f>
        <v>1312.0434386322058</v>
      </c>
      <c r="AG227" s="79">
        <v>1</v>
      </c>
      <c r="AH227" s="79"/>
      <c r="AI227" s="79"/>
      <c r="AJ227" s="70" t="str">
        <f>IF(tblTarget[[#This Row],[Target to PiN (%)]]&gt;Targ_vs_PiN,"Flagged","")</f>
        <v/>
      </c>
      <c r="AK227" s="69" t="str">
        <f>IF(AND(tblTarget[[#This Row],[Qualifies for exception]]="Flagged",tblTarget[[#This Row],[Target to PiN (%)]]&gt;Targ_severity5),"Flagged","")</f>
        <v/>
      </c>
      <c r="AL227" s="68" t="str">
        <f>IFERROR(IF(AND(tblTarget[[#This Row],[Intercluser Severity]]=4,tblTarget[[#This Row],[Qualifies for exception]]="Flagged",(tblTarget[[#This Row],[Cluster Target]]-tblTarget[[#This Row],[2024 Response capacity up to December]])/tblTarget[[#This Row],[Cluster Target]]&gt;Diff_severity4),"Flagged",""),"No target")</f>
        <v/>
      </c>
      <c r="AM227" s="68" t="str">
        <f>IFERROR(IF(AND(tblTarget[[#This Row],[Intercluser Severity]]=3,tblTarget[[#This Row],[Qualifies for exception]]="Flagged",(tblTarget[[#This Row],[Cluster Target]]-tblTarget[[#This Row],[2024 Response capacity up to December]])/tblTarget[[#This Row],[Cluster Target]]&gt;Diff_severity3),"Flagged",""),"No target")</f>
        <v/>
      </c>
      <c r="AN227" s="81" t="s">
        <v>1099</v>
      </c>
      <c r="AO227" s="81"/>
      <c r="AP227" s="81" t="s">
        <v>15</v>
      </c>
      <c r="AQ227" s="81" t="s">
        <v>1098</v>
      </c>
    </row>
    <row r="228" spans="1:43" ht="15.95" customHeight="1" x14ac:dyDescent="0.2">
      <c r="A228" s="62" t="s">
        <v>665</v>
      </c>
      <c r="B228" s="63" t="s">
        <v>78</v>
      </c>
      <c r="C228" s="64" t="s">
        <v>79</v>
      </c>
      <c r="D228" s="63" t="s">
        <v>98</v>
      </c>
      <c r="E228" s="64" t="s">
        <v>99</v>
      </c>
      <c r="F228" s="65">
        <v>139642</v>
      </c>
      <c r="G228" s="66" t="s">
        <v>436</v>
      </c>
      <c r="H228" s="67">
        <v>126105</v>
      </c>
      <c r="I228" s="68">
        <v>3</v>
      </c>
      <c r="J228" s="68">
        <v>4</v>
      </c>
      <c r="K228" s="91">
        <v>6305</v>
      </c>
      <c r="L228" s="91">
        <v>3038.6979752130792</v>
      </c>
      <c r="M228" s="91">
        <v>3266.3020247869208</v>
      </c>
      <c r="N228" s="91">
        <v>3467.7500000000005</v>
      </c>
      <c r="O228" s="91">
        <v>2458.9500000000003</v>
      </c>
      <c r="P228" s="91">
        <v>378.3</v>
      </c>
      <c r="Q228" s="85">
        <v>945.75</v>
      </c>
      <c r="R228" s="68" t="s">
        <v>436</v>
      </c>
      <c r="S228" s="86">
        <v>908</v>
      </c>
      <c r="T228" s="68">
        <v>227</v>
      </c>
      <c r="U228" s="68">
        <v>43</v>
      </c>
      <c r="V228" s="68">
        <v>57</v>
      </c>
      <c r="W228" s="68">
        <v>63</v>
      </c>
      <c r="X228" s="68">
        <v>126</v>
      </c>
      <c r="Y228" s="68">
        <v>189</v>
      </c>
      <c r="Z228" s="68">
        <v>126</v>
      </c>
      <c r="AA228" s="68">
        <v>0</v>
      </c>
      <c r="AB228" s="69">
        <v>18</v>
      </c>
      <c r="AC228" s="69">
        <v>37.669527532706297</v>
      </c>
      <c r="AD228" s="70">
        <f>IFERROR(tblTarget[[#This Row],[Cluster Target]]/tblTarget[[#This Row],[Cluster PiN]],0)</f>
        <v>4.9998017525078306E-2</v>
      </c>
      <c r="AE228" s="79">
        <f>_xlfn.XLOOKUP(tblTarget[[#This Row],[ID]],tblResponse[ID],tblResponse[2024 Projected reached (Dec 2024)])</f>
        <v>0</v>
      </c>
      <c r="AF228" s="79">
        <f>_xlfn.XLOOKUP(tblTarget[[#This Row],[ID]],tblResponse[ID],tblResponse[2024 Intercluster reached -August RPM])</f>
        <v>25496.064305413605</v>
      </c>
      <c r="AG228" s="79">
        <v>2</v>
      </c>
      <c r="AH228" s="79"/>
      <c r="AI228" s="79"/>
      <c r="AJ228" s="70" t="str">
        <f>IF(tblTarget[[#This Row],[Target to PiN (%)]]&gt;Targ_vs_PiN,"Flagged","")</f>
        <v/>
      </c>
      <c r="AK228" s="69" t="str">
        <f>IF(AND(tblTarget[[#This Row],[Qualifies for exception]]="Flagged",tblTarget[[#This Row],[Target to PiN (%)]]&gt;Targ_severity5),"Flagged","")</f>
        <v/>
      </c>
      <c r="AL228" s="68" t="str">
        <f>IFERROR(IF(AND(tblTarget[[#This Row],[Intercluser Severity]]=4,tblTarget[[#This Row],[Qualifies for exception]]="Flagged",(tblTarget[[#This Row],[Cluster Target]]-tblTarget[[#This Row],[2024 Response capacity up to December]])/tblTarget[[#This Row],[Cluster Target]]&gt;Diff_severity4),"Flagged",""),"No target")</f>
        <v>Flagged</v>
      </c>
      <c r="AM228" s="68" t="str">
        <f>IFERROR(IF(AND(tblTarget[[#This Row],[Intercluser Severity]]=3,tblTarget[[#This Row],[Qualifies for exception]]="Flagged",(tblTarget[[#This Row],[Cluster Target]]-tblTarget[[#This Row],[2024 Response capacity up to December]])/tblTarget[[#This Row],[Cluster Target]]&gt;Diff_severity3),"Flagged",""),"No target")</f>
        <v/>
      </c>
      <c r="AN228" s="81" t="s">
        <v>1099</v>
      </c>
      <c r="AO228" s="81"/>
      <c r="AP228" s="81" t="s">
        <v>1099</v>
      </c>
      <c r="AQ228" s="81" t="s">
        <v>1107</v>
      </c>
    </row>
    <row r="229" spans="1:43" ht="15.95" customHeight="1" x14ac:dyDescent="0.2">
      <c r="A229" s="62" t="s">
        <v>666</v>
      </c>
      <c r="B229" s="63" t="s">
        <v>78</v>
      </c>
      <c r="C229" s="64" t="s">
        <v>79</v>
      </c>
      <c r="D229" s="63" t="s">
        <v>100</v>
      </c>
      <c r="E229" s="64" t="s">
        <v>101</v>
      </c>
      <c r="F229" s="65">
        <v>0</v>
      </c>
      <c r="G229" s="66" t="s">
        <v>436</v>
      </c>
      <c r="H229" s="67">
        <v>0</v>
      </c>
      <c r="I229" s="68">
        <v>3</v>
      </c>
      <c r="J229" s="68">
        <v>5</v>
      </c>
      <c r="K229" s="91">
        <v>0</v>
      </c>
      <c r="L229" s="91">
        <v>0</v>
      </c>
      <c r="M229" s="91">
        <v>0</v>
      </c>
      <c r="N229" s="91">
        <v>0</v>
      </c>
      <c r="O229" s="91">
        <v>0</v>
      </c>
      <c r="P229" s="91">
        <v>0</v>
      </c>
      <c r="Q229" s="85">
        <v>0</v>
      </c>
      <c r="R229" s="68" t="s">
        <v>15</v>
      </c>
      <c r="S229" s="86">
        <v>0</v>
      </c>
      <c r="T229" s="68">
        <v>0</v>
      </c>
      <c r="U229" s="68">
        <v>0</v>
      </c>
      <c r="V229" s="68">
        <v>0</v>
      </c>
      <c r="W229" s="68">
        <v>0</v>
      </c>
      <c r="X229" s="68">
        <v>0</v>
      </c>
      <c r="Y229" s="68">
        <v>0</v>
      </c>
      <c r="Z229" s="68">
        <v>0</v>
      </c>
      <c r="AA229" s="68">
        <v>0</v>
      </c>
      <c r="AB229" s="69">
        <v>0</v>
      </c>
      <c r="AC229" s="69">
        <v>0</v>
      </c>
      <c r="AD229" s="70">
        <f>IFERROR(tblTarget[[#This Row],[Cluster Target]]/tblTarget[[#This Row],[Cluster PiN]],0)</f>
        <v>0</v>
      </c>
      <c r="AE229" s="79">
        <f>_xlfn.XLOOKUP(tblTarget[[#This Row],[ID]],tblResponse[ID],tblResponse[2024 Projected reached (Dec 2024)])</f>
        <v>0</v>
      </c>
      <c r="AF229" s="79">
        <f>_xlfn.XLOOKUP(tblTarget[[#This Row],[ID]],tblResponse[ID],tblResponse[2024 Intercluster reached -August RPM])</f>
        <v>1602.3715885645281</v>
      </c>
      <c r="AG229" s="79">
        <v>1</v>
      </c>
      <c r="AH229" s="79"/>
      <c r="AI229" s="79"/>
      <c r="AJ229" s="70" t="str">
        <f>IF(tblTarget[[#This Row],[Target to PiN (%)]]&gt;Targ_vs_PiN,"Flagged","")</f>
        <v/>
      </c>
      <c r="AK229" s="69" t="str">
        <f>IF(AND(tblTarget[[#This Row],[Qualifies for exception]]="Flagged",tblTarget[[#This Row],[Target to PiN (%)]]&gt;Targ_severity5),"Flagged","")</f>
        <v/>
      </c>
      <c r="AL229" s="68" t="str">
        <f>IFERROR(IF(AND(tblTarget[[#This Row],[Intercluser Severity]]=4,tblTarget[[#This Row],[Qualifies for exception]]="Flagged",(tblTarget[[#This Row],[Cluster Target]]-tblTarget[[#This Row],[2024 Response capacity up to December]])/tblTarget[[#This Row],[Cluster Target]]&gt;Diff_severity4),"Flagged",""),"No target")</f>
        <v>No target</v>
      </c>
      <c r="AM229" s="68" t="str">
        <f>IFERROR(IF(AND(tblTarget[[#This Row],[Intercluser Severity]]=3,tblTarget[[#This Row],[Qualifies for exception]]="Flagged",(tblTarget[[#This Row],[Cluster Target]]-tblTarget[[#This Row],[2024 Response capacity up to December]])/tblTarget[[#This Row],[Cluster Target]]&gt;Diff_severity3),"Flagged",""),"No target")</f>
        <v>No target</v>
      </c>
      <c r="AN229" s="81" t="s">
        <v>1099</v>
      </c>
      <c r="AO229" s="81"/>
      <c r="AP229" s="81" t="s">
        <v>1099</v>
      </c>
      <c r="AQ229" s="81" t="s">
        <v>1098</v>
      </c>
    </row>
    <row r="230" spans="1:43" ht="15.95" customHeight="1" x14ac:dyDescent="0.2">
      <c r="A230" s="62" t="s">
        <v>667</v>
      </c>
      <c r="B230" s="63" t="s">
        <v>78</v>
      </c>
      <c r="C230" s="64" t="s">
        <v>79</v>
      </c>
      <c r="D230" s="63" t="s">
        <v>102</v>
      </c>
      <c r="E230" s="64" t="s">
        <v>103</v>
      </c>
      <c r="F230" s="65">
        <v>100380</v>
      </c>
      <c r="G230" s="66" t="s">
        <v>436</v>
      </c>
      <c r="H230" s="67">
        <v>34647</v>
      </c>
      <c r="I230" s="68">
        <v>3</v>
      </c>
      <c r="J230" s="68">
        <v>4</v>
      </c>
      <c r="K230" s="91">
        <v>1732</v>
      </c>
      <c r="L230" s="91">
        <v>866.1568740276623</v>
      </c>
      <c r="M230" s="91">
        <v>865.84312597233759</v>
      </c>
      <c r="N230" s="91">
        <v>952.6</v>
      </c>
      <c r="O230" s="91">
        <v>675.48</v>
      </c>
      <c r="P230" s="91">
        <v>103.92</v>
      </c>
      <c r="Q230" s="85">
        <v>259.8</v>
      </c>
      <c r="R230" s="68" t="s">
        <v>15</v>
      </c>
      <c r="S230" s="86">
        <v>249</v>
      </c>
      <c r="T230" s="68">
        <v>62</v>
      </c>
      <c r="U230" s="68">
        <v>12</v>
      </c>
      <c r="V230" s="68">
        <v>16</v>
      </c>
      <c r="W230" s="68">
        <v>17</v>
      </c>
      <c r="X230" s="68">
        <v>35</v>
      </c>
      <c r="Y230" s="68">
        <v>52</v>
      </c>
      <c r="Z230" s="68">
        <v>35</v>
      </c>
      <c r="AA230" s="68">
        <v>0</v>
      </c>
      <c r="AB230" s="69">
        <v>6</v>
      </c>
      <c r="AC230" s="69">
        <v>0</v>
      </c>
      <c r="AD230" s="70">
        <f>IFERROR(tblTarget[[#This Row],[Cluster Target]]/tblTarget[[#This Row],[Cluster PiN]],0)</f>
        <v>4.9989898115276939E-2</v>
      </c>
      <c r="AE230" s="79">
        <f>_xlfn.XLOOKUP(tblTarget[[#This Row],[ID]],tblResponse[ID],tblResponse[2024 Projected reached (Dec 2024)])</f>
        <v>0</v>
      </c>
      <c r="AF230" s="79">
        <f>_xlfn.XLOOKUP(tblTarget[[#This Row],[ID]],tblResponse[ID],tblResponse[2024 Intercluster reached -August RPM])</f>
        <v>0</v>
      </c>
      <c r="AG230" s="79">
        <v>1</v>
      </c>
      <c r="AH230" s="79"/>
      <c r="AI230" s="79"/>
      <c r="AJ230" s="70" t="str">
        <f>IF(tblTarget[[#This Row],[Target to PiN (%)]]&gt;Targ_vs_PiN,"Flagged","")</f>
        <v/>
      </c>
      <c r="AK230" s="69" t="str">
        <f>IF(AND(tblTarget[[#This Row],[Qualifies for exception]]="Flagged",tblTarget[[#This Row],[Target to PiN (%)]]&gt;Targ_severity5),"Flagged","")</f>
        <v/>
      </c>
      <c r="AL230" s="68" t="str">
        <f>IFERROR(IF(AND(tblTarget[[#This Row],[Intercluser Severity]]=4,tblTarget[[#This Row],[Qualifies for exception]]="Flagged",(tblTarget[[#This Row],[Cluster Target]]-tblTarget[[#This Row],[2024 Response capacity up to December]])/tblTarget[[#This Row],[Cluster Target]]&gt;Diff_severity4),"Flagged",""),"No target")</f>
        <v/>
      </c>
      <c r="AM230" s="68" t="str">
        <f>IFERROR(IF(AND(tblTarget[[#This Row],[Intercluser Severity]]=3,tblTarget[[#This Row],[Qualifies for exception]]="Flagged",(tblTarget[[#This Row],[Cluster Target]]-tblTarget[[#This Row],[2024 Response capacity up to December]])/tblTarget[[#This Row],[Cluster Target]]&gt;Diff_severity3),"Flagged",""),"No target")</f>
        <v/>
      </c>
      <c r="AN230" s="81" t="s">
        <v>1099</v>
      </c>
      <c r="AO230" s="81"/>
      <c r="AP230" s="81" t="s">
        <v>15</v>
      </c>
      <c r="AQ230" s="81" t="s">
        <v>1098</v>
      </c>
    </row>
    <row r="231" spans="1:43" ht="15.95" customHeight="1" x14ac:dyDescent="0.2">
      <c r="A231" s="62" t="s">
        <v>668</v>
      </c>
      <c r="B231" s="63" t="s">
        <v>78</v>
      </c>
      <c r="C231" s="64" t="s">
        <v>79</v>
      </c>
      <c r="D231" s="63" t="s">
        <v>104</v>
      </c>
      <c r="E231" s="64" t="s">
        <v>105</v>
      </c>
      <c r="F231" s="65">
        <v>9090</v>
      </c>
      <c r="G231" s="66" t="s">
        <v>436</v>
      </c>
      <c r="H231" s="67">
        <v>4553</v>
      </c>
      <c r="I231" s="68">
        <v>3</v>
      </c>
      <c r="J231" s="68">
        <v>4</v>
      </c>
      <c r="K231" s="91">
        <v>228</v>
      </c>
      <c r="L231" s="91">
        <v>115.98479911270839</v>
      </c>
      <c r="M231" s="91">
        <v>112.01520088729161</v>
      </c>
      <c r="N231" s="91">
        <v>125.4</v>
      </c>
      <c r="O231" s="91">
        <v>88.92</v>
      </c>
      <c r="P231" s="91">
        <v>13.68</v>
      </c>
      <c r="Q231" s="85">
        <v>34.199999999999996</v>
      </c>
      <c r="R231" s="68" t="s">
        <v>436</v>
      </c>
      <c r="S231" s="86">
        <v>33</v>
      </c>
      <c r="T231" s="68">
        <v>8</v>
      </c>
      <c r="U231" s="68">
        <v>2</v>
      </c>
      <c r="V231" s="68">
        <v>2</v>
      </c>
      <c r="W231" s="68">
        <v>2</v>
      </c>
      <c r="X231" s="68">
        <v>5</v>
      </c>
      <c r="Y231" s="68">
        <v>7</v>
      </c>
      <c r="Z231" s="68">
        <v>5</v>
      </c>
      <c r="AA231" s="68">
        <v>0</v>
      </c>
      <c r="AB231" s="69">
        <v>0</v>
      </c>
      <c r="AC231" s="69">
        <v>0</v>
      </c>
      <c r="AD231" s="70">
        <f>IFERROR(tblTarget[[#This Row],[Cluster Target]]/tblTarget[[#This Row],[Cluster PiN]],0)</f>
        <v>5.0076872391829563E-2</v>
      </c>
      <c r="AE231" s="79">
        <f>_xlfn.XLOOKUP(tblTarget[[#This Row],[ID]],tblResponse[ID],tblResponse[2024 Projected reached (Dec 2024)])</f>
        <v>0</v>
      </c>
      <c r="AF231" s="79">
        <f>_xlfn.XLOOKUP(tblTarget[[#This Row],[ID]],tblResponse[ID],tblResponse[2024 Intercluster reached -August RPM])</f>
        <v>225.23983313333559</v>
      </c>
      <c r="AG231" s="79">
        <v>1</v>
      </c>
      <c r="AH231" s="79"/>
      <c r="AI231" s="79"/>
      <c r="AJ231" s="70" t="str">
        <f>IF(tblTarget[[#This Row],[Target to PiN (%)]]&gt;Targ_vs_PiN,"Flagged","")</f>
        <v/>
      </c>
      <c r="AK231" s="69" t="str">
        <f>IF(AND(tblTarget[[#This Row],[Qualifies for exception]]="Flagged",tblTarget[[#This Row],[Target to PiN (%)]]&gt;Targ_severity5),"Flagged","")</f>
        <v/>
      </c>
      <c r="AL231" s="68" t="str">
        <f>IFERROR(IF(AND(tblTarget[[#This Row],[Intercluser Severity]]=4,tblTarget[[#This Row],[Qualifies for exception]]="Flagged",(tblTarget[[#This Row],[Cluster Target]]-tblTarget[[#This Row],[2024 Response capacity up to December]])/tblTarget[[#This Row],[Cluster Target]]&gt;Diff_severity4),"Flagged",""),"No target")</f>
        <v>Flagged</v>
      </c>
      <c r="AM231" s="68" t="str">
        <f>IFERROR(IF(AND(tblTarget[[#This Row],[Intercluser Severity]]=3,tblTarget[[#This Row],[Qualifies for exception]]="Flagged",(tblTarget[[#This Row],[Cluster Target]]-tblTarget[[#This Row],[2024 Response capacity up to December]])/tblTarget[[#This Row],[Cluster Target]]&gt;Diff_severity3),"Flagged",""),"No target")</f>
        <v/>
      </c>
      <c r="AN231" s="81" t="s">
        <v>1099</v>
      </c>
      <c r="AO231" s="81"/>
      <c r="AP231" s="81" t="s">
        <v>1099</v>
      </c>
      <c r="AQ231" s="81" t="s">
        <v>1107</v>
      </c>
    </row>
    <row r="232" spans="1:43" ht="15.95" customHeight="1" x14ac:dyDescent="0.2">
      <c r="A232" s="62" t="s">
        <v>669</v>
      </c>
      <c r="B232" s="63" t="s">
        <v>78</v>
      </c>
      <c r="C232" s="64" t="s">
        <v>79</v>
      </c>
      <c r="D232" s="63" t="s">
        <v>106</v>
      </c>
      <c r="E232" s="64" t="s">
        <v>107</v>
      </c>
      <c r="F232" s="65">
        <v>30621</v>
      </c>
      <c r="G232" s="66" t="s">
        <v>436</v>
      </c>
      <c r="H232" s="67">
        <v>18534</v>
      </c>
      <c r="I232" s="68">
        <v>4</v>
      </c>
      <c r="J232" s="68">
        <v>4</v>
      </c>
      <c r="K232" s="91">
        <v>11120</v>
      </c>
      <c r="L232" s="91">
        <v>5634.2455439519072</v>
      </c>
      <c r="M232" s="91">
        <v>5485.7544560480928</v>
      </c>
      <c r="N232" s="91">
        <v>6116.0000000000009</v>
      </c>
      <c r="O232" s="91">
        <v>4336.8</v>
      </c>
      <c r="P232" s="91">
        <v>667.19999999999993</v>
      </c>
      <c r="Q232" s="85">
        <v>1668</v>
      </c>
      <c r="R232" s="68" t="s">
        <v>15</v>
      </c>
      <c r="S232" s="86">
        <v>1601</v>
      </c>
      <c r="T232" s="68">
        <v>400</v>
      </c>
      <c r="U232" s="68">
        <v>75</v>
      </c>
      <c r="V232" s="68">
        <v>100</v>
      </c>
      <c r="W232" s="68">
        <v>111</v>
      </c>
      <c r="X232" s="68">
        <v>222</v>
      </c>
      <c r="Y232" s="68">
        <v>334</v>
      </c>
      <c r="Z232" s="68">
        <v>222</v>
      </c>
      <c r="AA232" s="68">
        <v>110.15572781837216</v>
      </c>
      <c r="AB232" s="69">
        <v>32</v>
      </c>
      <c r="AC232" s="69">
        <v>75.339055065412595</v>
      </c>
      <c r="AD232" s="70">
        <f>IFERROR(tblTarget[[#This Row],[Cluster Target]]/tblTarget[[#This Row],[Cluster PiN]],0)</f>
        <v>0.5999784180425165</v>
      </c>
      <c r="AE232" s="79">
        <f>_xlfn.XLOOKUP(tblTarget[[#This Row],[ID]],tblResponse[ID],tblResponse[2024 Projected reached (Dec 2024)])</f>
        <v>0</v>
      </c>
      <c r="AF232" s="79">
        <f>_xlfn.XLOOKUP(tblTarget[[#This Row],[ID]],tblResponse[ID],tblResponse[2024 Intercluster reached -August RPM])</f>
        <v>0</v>
      </c>
      <c r="AG232" s="79">
        <v>1</v>
      </c>
      <c r="AH232" s="79"/>
      <c r="AI232" s="79"/>
      <c r="AJ232" s="70" t="str">
        <f>IF(tblTarget[[#This Row],[Target to PiN (%)]]&gt;Targ_vs_PiN,"Flagged","")</f>
        <v/>
      </c>
      <c r="AK232" s="69" t="str">
        <f>IF(AND(tblTarget[[#This Row],[Qualifies for exception]]="Flagged",tblTarget[[#This Row],[Target to PiN (%)]]&gt;Targ_severity5),"Flagged","")</f>
        <v/>
      </c>
      <c r="AL232" s="68" t="str">
        <f>IFERROR(IF(AND(tblTarget[[#This Row],[Intercluser Severity]]=4,tblTarget[[#This Row],[Qualifies for exception]]="Flagged",(tblTarget[[#This Row],[Cluster Target]]-tblTarget[[#This Row],[2024 Response capacity up to December]])/tblTarget[[#This Row],[Cluster Target]]&gt;Diff_severity4),"Flagged",""),"No target")</f>
        <v/>
      </c>
      <c r="AM232" s="68" t="str">
        <f>IFERROR(IF(AND(tblTarget[[#This Row],[Intercluser Severity]]=3,tblTarget[[#This Row],[Qualifies for exception]]="Flagged",(tblTarget[[#This Row],[Cluster Target]]-tblTarget[[#This Row],[2024 Response capacity up to December]])/tblTarget[[#This Row],[Cluster Target]]&gt;Diff_severity3),"Flagged",""),"No target")</f>
        <v/>
      </c>
      <c r="AN232" s="81" t="s">
        <v>1099</v>
      </c>
      <c r="AO232" s="81"/>
      <c r="AP232" s="81" t="s">
        <v>15</v>
      </c>
      <c r="AQ232" s="81" t="s">
        <v>1098</v>
      </c>
    </row>
    <row r="233" spans="1:43" ht="15.95" customHeight="1" x14ac:dyDescent="0.2">
      <c r="A233" s="62" t="s">
        <v>670</v>
      </c>
      <c r="B233" s="63" t="s">
        <v>78</v>
      </c>
      <c r="C233" s="64" t="s">
        <v>79</v>
      </c>
      <c r="D233" s="63" t="s">
        <v>108</v>
      </c>
      <c r="E233" s="64" t="s">
        <v>109</v>
      </c>
      <c r="F233" s="65">
        <v>43133</v>
      </c>
      <c r="G233" s="66" t="s">
        <v>436</v>
      </c>
      <c r="H233" s="67">
        <v>16791</v>
      </c>
      <c r="I233" s="68">
        <v>3</v>
      </c>
      <c r="J233" s="68">
        <v>3</v>
      </c>
      <c r="K233" s="91">
        <v>0</v>
      </c>
      <c r="L233" s="91">
        <v>0</v>
      </c>
      <c r="M233" s="91">
        <v>0</v>
      </c>
      <c r="N233" s="91">
        <v>0</v>
      </c>
      <c r="O233" s="91">
        <v>0</v>
      </c>
      <c r="P233" s="91">
        <v>0</v>
      </c>
      <c r="Q233" s="85">
        <v>0</v>
      </c>
      <c r="R233" s="68" t="s">
        <v>436</v>
      </c>
      <c r="S233" s="86">
        <v>0</v>
      </c>
      <c r="T233" s="68">
        <v>0</v>
      </c>
      <c r="U233" s="68">
        <v>0</v>
      </c>
      <c r="V233" s="68">
        <v>0</v>
      </c>
      <c r="W233" s="68">
        <v>0</v>
      </c>
      <c r="X233" s="68">
        <v>0</v>
      </c>
      <c r="Y233" s="68">
        <v>0</v>
      </c>
      <c r="Z233" s="68">
        <v>0</v>
      </c>
      <c r="AA233" s="68">
        <v>0</v>
      </c>
      <c r="AB233" s="69">
        <v>0</v>
      </c>
      <c r="AC233" s="69">
        <v>0</v>
      </c>
      <c r="AD233" s="70">
        <f>IFERROR(tblTarget[[#This Row],[Cluster Target]]/tblTarget[[#This Row],[Cluster PiN]],0)</f>
        <v>0</v>
      </c>
      <c r="AE233" s="79">
        <f>_xlfn.XLOOKUP(tblTarget[[#This Row],[ID]],tblResponse[ID],tblResponse[2024 Projected reached (Dec 2024)])</f>
        <v>0</v>
      </c>
      <c r="AF233" s="79">
        <f>_xlfn.XLOOKUP(tblTarget[[#This Row],[ID]],tblResponse[ID],tblResponse[2024 Intercluster reached -August RPM])</f>
        <v>1427.3753683988314</v>
      </c>
      <c r="AG233" s="79">
        <v>1</v>
      </c>
      <c r="AH233" s="79"/>
      <c r="AI233" s="79"/>
      <c r="AJ233" s="70" t="str">
        <f>IF(tblTarget[[#This Row],[Target to PiN (%)]]&gt;Targ_vs_PiN,"Flagged","")</f>
        <v/>
      </c>
      <c r="AK233" s="69" t="str">
        <f>IF(AND(tblTarget[[#This Row],[Qualifies for exception]]="Flagged",tblTarget[[#This Row],[Target to PiN (%)]]&gt;Targ_severity5),"Flagged","")</f>
        <v/>
      </c>
      <c r="AL233" s="68" t="str">
        <f>IFERROR(IF(AND(tblTarget[[#This Row],[Intercluser Severity]]=4,tblTarget[[#This Row],[Qualifies for exception]]="Flagged",(tblTarget[[#This Row],[Cluster Target]]-tblTarget[[#This Row],[2024 Response capacity up to December]])/tblTarget[[#This Row],[Cluster Target]]&gt;Diff_severity4),"Flagged",""),"No target")</f>
        <v>No target</v>
      </c>
      <c r="AM233" s="68" t="str">
        <f>IFERROR(IF(AND(tblTarget[[#This Row],[Intercluser Severity]]=3,tblTarget[[#This Row],[Qualifies for exception]]="Flagged",(tblTarget[[#This Row],[Cluster Target]]-tblTarget[[#This Row],[2024 Response capacity up to December]])/tblTarget[[#This Row],[Cluster Target]]&gt;Diff_severity3),"Flagged",""),"No target")</f>
        <v>No target</v>
      </c>
      <c r="AN233" s="81" t="s">
        <v>1099</v>
      </c>
      <c r="AO233" s="81"/>
      <c r="AP233" s="81" t="s">
        <v>1099</v>
      </c>
      <c r="AQ233" s="81" t="s">
        <v>1107</v>
      </c>
    </row>
    <row r="234" spans="1:43" ht="15.95" customHeight="1" x14ac:dyDescent="0.2">
      <c r="A234" s="62" t="s">
        <v>671</v>
      </c>
      <c r="B234" s="63" t="s">
        <v>78</v>
      </c>
      <c r="C234" s="64" t="s">
        <v>79</v>
      </c>
      <c r="D234" s="63" t="s">
        <v>110</v>
      </c>
      <c r="E234" s="64" t="s">
        <v>111</v>
      </c>
      <c r="F234" s="65">
        <v>194660</v>
      </c>
      <c r="G234" s="66" t="s">
        <v>436</v>
      </c>
      <c r="H234" s="67">
        <v>117705</v>
      </c>
      <c r="I234" s="68">
        <v>3</v>
      </c>
      <c r="J234" s="68">
        <v>4</v>
      </c>
      <c r="K234" s="91">
        <v>5885</v>
      </c>
      <c r="L234" s="91">
        <v>2915.0390117553297</v>
      </c>
      <c r="M234" s="91">
        <v>2969.9609882446703</v>
      </c>
      <c r="N234" s="91">
        <v>3236.7500000000005</v>
      </c>
      <c r="O234" s="91">
        <v>2295.15</v>
      </c>
      <c r="P234" s="91">
        <v>353.09999999999997</v>
      </c>
      <c r="Q234" s="85">
        <v>882.75</v>
      </c>
      <c r="R234" s="68" t="s">
        <v>436</v>
      </c>
      <c r="S234" s="86">
        <v>847</v>
      </c>
      <c r="T234" s="68">
        <v>212</v>
      </c>
      <c r="U234" s="68">
        <v>40</v>
      </c>
      <c r="V234" s="68">
        <v>53</v>
      </c>
      <c r="W234" s="68">
        <v>59</v>
      </c>
      <c r="X234" s="68">
        <v>118</v>
      </c>
      <c r="Y234" s="68">
        <v>177</v>
      </c>
      <c r="Z234" s="68">
        <v>118</v>
      </c>
      <c r="AA234" s="68">
        <v>0</v>
      </c>
      <c r="AB234" s="69">
        <v>18</v>
      </c>
      <c r="AC234" s="69">
        <v>37.669527532706297</v>
      </c>
      <c r="AD234" s="70">
        <f>IFERROR(tblTarget[[#This Row],[Cluster Target]]/tblTarget[[#This Row],[Cluster PiN]],0)</f>
        <v>4.9997876046047322E-2</v>
      </c>
      <c r="AE234" s="79">
        <f>_xlfn.XLOOKUP(tblTarget[[#This Row],[ID]],tblResponse[ID],tblResponse[2024 Projected reached (Dec 2024)])</f>
        <v>0</v>
      </c>
      <c r="AF234" s="79">
        <f>_xlfn.XLOOKUP(tblTarget[[#This Row],[ID]],tblResponse[ID],tblResponse[2024 Intercluster reached -August RPM])</f>
        <v>2426.823601351693</v>
      </c>
      <c r="AG234" s="79">
        <v>1</v>
      </c>
      <c r="AH234" s="79"/>
      <c r="AI234" s="79"/>
      <c r="AJ234" s="70" t="str">
        <f>IF(tblTarget[[#This Row],[Target to PiN (%)]]&gt;Targ_vs_PiN,"Flagged","")</f>
        <v/>
      </c>
      <c r="AK234" s="69" t="str">
        <f>IF(AND(tblTarget[[#This Row],[Qualifies for exception]]="Flagged",tblTarget[[#This Row],[Target to PiN (%)]]&gt;Targ_severity5),"Flagged","")</f>
        <v/>
      </c>
      <c r="AL234" s="68" t="str">
        <f>IFERROR(IF(AND(tblTarget[[#This Row],[Intercluser Severity]]=4,tblTarget[[#This Row],[Qualifies for exception]]="Flagged",(tblTarget[[#This Row],[Cluster Target]]-tblTarget[[#This Row],[2024 Response capacity up to December]])/tblTarget[[#This Row],[Cluster Target]]&gt;Diff_severity4),"Flagged",""),"No target")</f>
        <v>Flagged</v>
      </c>
      <c r="AM234" s="68" t="str">
        <f>IFERROR(IF(AND(tblTarget[[#This Row],[Intercluser Severity]]=3,tblTarget[[#This Row],[Qualifies for exception]]="Flagged",(tblTarget[[#This Row],[Cluster Target]]-tblTarget[[#This Row],[2024 Response capacity up to December]])/tblTarget[[#This Row],[Cluster Target]]&gt;Diff_severity3),"Flagged",""),"No target")</f>
        <v/>
      </c>
      <c r="AN234" s="81" t="s">
        <v>1099</v>
      </c>
      <c r="AO234" s="81"/>
      <c r="AP234" s="81" t="s">
        <v>1099</v>
      </c>
      <c r="AQ234" s="81" t="s">
        <v>1107</v>
      </c>
    </row>
    <row r="235" spans="1:43" ht="15.95" customHeight="1" x14ac:dyDescent="0.2">
      <c r="A235" s="62" t="s">
        <v>672</v>
      </c>
      <c r="B235" s="63" t="s">
        <v>78</v>
      </c>
      <c r="C235" s="64" t="s">
        <v>79</v>
      </c>
      <c r="D235" s="63" t="s">
        <v>112</v>
      </c>
      <c r="E235" s="64" t="s">
        <v>113</v>
      </c>
      <c r="F235" s="65">
        <v>473048</v>
      </c>
      <c r="G235" s="66" t="s">
        <v>436</v>
      </c>
      <c r="H235" s="67">
        <v>319611</v>
      </c>
      <c r="I235" s="68">
        <v>4</v>
      </c>
      <c r="J235" s="68">
        <v>4</v>
      </c>
      <c r="K235" s="91">
        <v>255689</v>
      </c>
      <c r="L235" s="91">
        <v>128694.56633889605</v>
      </c>
      <c r="M235" s="91">
        <v>126994.43366110395</v>
      </c>
      <c r="N235" s="91">
        <v>140628.95000000001</v>
      </c>
      <c r="O235" s="91">
        <v>99718.71</v>
      </c>
      <c r="P235" s="91">
        <v>15341.34</v>
      </c>
      <c r="Q235" s="85">
        <v>38353.35</v>
      </c>
      <c r="R235" s="68" t="s">
        <v>15</v>
      </c>
      <c r="S235" s="86">
        <v>36819</v>
      </c>
      <c r="T235" s="68">
        <v>9205</v>
      </c>
      <c r="U235" s="68">
        <v>1726</v>
      </c>
      <c r="V235" s="68">
        <v>2301</v>
      </c>
      <c r="W235" s="68">
        <v>2557</v>
      </c>
      <c r="X235" s="68">
        <v>5114</v>
      </c>
      <c r="Y235" s="68">
        <v>7671</v>
      </c>
      <c r="Z235" s="68">
        <v>5114</v>
      </c>
      <c r="AA235" s="68">
        <v>0</v>
      </c>
      <c r="AB235" s="69">
        <v>752</v>
      </c>
      <c r="AC235" s="69">
        <v>1582.1201563736645</v>
      </c>
      <c r="AD235" s="70">
        <f>IFERROR(tblTarget[[#This Row],[Cluster Target]]/tblTarget[[#This Row],[Cluster PiN]],0)</f>
        <v>0.80000062576069031</v>
      </c>
      <c r="AE235" s="79">
        <f>_xlfn.XLOOKUP(tblTarget[[#This Row],[ID]],tblResponse[ID],tblResponse[2024 Projected reached (Dec 2024)])</f>
        <v>0</v>
      </c>
      <c r="AF235" s="79">
        <f>_xlfn.XLOOKUP(tblTarget[[#This Row],[ID]],tblResponse[ID],tblResponse[2024 Intercluster reached -August RPM])</f>
        <v>35903.058116409484</v>
      </c>
      <c r="AG235" s="79">
        <v>2</v>
      </c>
      <c r="AH235" s="79"/>
      <c r="AI235" s="79"/>
      <c r="AJ235" s="70" t="str">
        <f>IF(tblTarget[[#This Row],[Target to PiN (%)]]&gt;Targ_vs_PiN,"Flagged","")</f>
        <v/>
      </c>
      <c r="AK235" s="69" t="str">
        <f>IF(AND(tblTarget[[#This Row],[Qualifies for exception]]="Flagged",tblTarget[[#This Row],[Target to PiN (%)]]&gt;Targ_severity5),"Flagged","")</f>
        <v/>
      </c>
      <c r="AL235" s="68" t="str">
        <f>IFERROR(IF(AND(tblTarget[[#This Row],[Intercluser Severity]]=4,tblTarget[[#This Row],[Qualifies for exception]]="Flagged",(tblTarget[[#This Row],[Cluster Target]]-tblTarget[[#This Row],[2024 Response capacity up to December]])/tblTarget[[#This Row],[Cluster Target]]&gt;Diff_severity4),"Flagged",""),"No target")</f>
        <v/>
      </c>
      <c r="AM235" s="68" t="str">
        <f>IFERROR(IF(AND(tblTarget[[#This Row],[Intercluser Severity]]=3,tblTarget[[#This Row],[Qualifies for exception]]="Flagged",(tblTarget[[#This Row],[Cluster Target]]-tblTarget[[#This Row],[2024 Response capacity up to December]])/tblTarget[[#This Row],[Cluster Target]]&gt;Diff_severity3),"Flagged",""),"No target")</f>
        <v/>
      </c>
      <c r="AN235" s="81" t="s">
        <v>15</v>
      </c>
      <c r="AO235" s="81"/>
      <c r="AP235" s="81" t="s">
        <v>1099</v>
      </c>
      <c r="AQ235" s="81" t="s">
        <v>1098</v>
      </c>
    </row>
    <row r="236" spans="1:43" ht="15.95" customHeight="1" x14ac:dyDescent="0.2">
      <c r="A236" s="62" t="s">
        <v>673</v>
      </c>
      <c r="B236" s="63" t="s">
        <v>78</v>
      </c>
      <c r="C236" s="64" t="s">
        <v>79</v>
      </c>
      <c r="D236" s="63" t="s">
        <v>114</v>
      </c>
      <c r="E236" s="64" t="s">
        <v>115</v>
      </c>
      <c r="F236" s="65">
        <v>327705</v>
      </c>
      <c r="G236" s="66" t="s">
        <v>436</v>
      </c>
      <c r="H236" s="67">
        <v>237768</v>
      </c>
      <c r="I236" s="68">
        <v>4</v>
      </c>
      <c r="J236" s="68">
        <v>5</v>
      </c>
      <c r="K236" s="91">
        <v>95108</v>
      </c>
      <c r="L236" s="91">
        <v>48421.009547074202</v>
      </c>
      <c r="M236" s="91">
        <v>46686.990452925798</v>
      </c>
      <c r="N236" s="91">
        <v>52309.4</v>
      </c>
      <c r="O236" s="91">
        <v>37092.120000000003</v>
      </c>
      <c r="P236" s="91">
        <v>5706.48</v>
      </c>
      <c r="Q236" s="85">
        <v>14266.199999999999</v>
      </c>
      <c r="R236" s="68" t="s">
        <v>15</v>
      </c>
      <c r="S236" s="86">
        <v>13696</v>
      </c>
      <c r="T236" s="68">
        <v>3424</v>
      </c>
      <c r="U236" s="68">
        <v>642</v>
      </c>
      <c r="V236" s="68">
        <v>856</v>
      </c>
      <c r="W236" s="68">
        <v>951</v>
      </c>
      <c r="X236" s="68">
        <v>1902</v>
      </c>
      <c r="Y236" s="68">
        <v>2853</v>
      </c>
      <c r="Z236" s="68">
        <v>1902</v>
      </c>
      <c r="AA236" s="68">
        <v>0</v>
      </c>
      <c r="AB236" s="69">
        <v>280</v>
      </c>
      <c r="AC236" s="69">
        <v>565.04291299059446</v>
      </c>
      <c r="AD236" s="70">
        <f>IFERROR(tblTarget[[#This Row],[Cluster Target]]/tblTarget[[#This Row],[Cluster PiN]],0)</f>
        <v>0.40000336462433972</v>
      </c>
      <c r="AE236" s="79">
        <f>_xlfn.XLOOKUP(tblTarget[[#This Row],[ID]],tblResponse[ID],tblResponse[2024 Projected reached (Dec 2024)])</f>
        <v>1665</v>
      </c>
      <c r="AF236" s="79">
        <f>_xlfn.XLOOKUP(tblTarget[[#This Row],[ID]],tblResponse[ID],tblResponse[2024 Intercluster reached -August RPM])</f>
        <v>6762.6190203999831</v>
      </c>
      <c r="AG236" s="79">
        <v>3</v>
      </c>
      <c r="AH236" s="79"/>
      <c r="AI236" s="79"/>
      <c r="AJ236" s="70" t="str">
        <f>IF(tblTarget[[#This Row],[Target to PiN (%)]]&gt;Targ_vs_PiN,"Flagged","")</f>
        <v/>
      </c>
      <c r="AK236" s="69" t="str">
        <f>IF(AND(tblTarget[[#This Row],[Qualifies for exception]]="Flagged",tblTarget[[#This Row],[Target to PiN (%)]]&gt;Targ_severity5),"Flagged","")</f>
        <v/>
      </c>
      <c r="AL236" s="68" t="str">
        <f>IFERROR(IF(AND(tblTarget[[#This Row],[Intercluser Severity]]=4,tblTarget[[#This Row],[Qualifies for exception]]="Flagged",(tblTarget[[#This Row],[Cluster Target]]-tblTarget[[#This Row],[2024 Response capacity up to December]])/tblTarget[[#This Row],[Cluster Target]]&gt;Diff_severity4),"Flagged",""),"No target")</f>
        <v/>
      </c>
      <c r="AM236" s="68" t="str">
        <f>IFERROR(IF(AND(tblTarget[[#This Row],[Intercluser Severity]]=3,tblTarget[[#This Row],[Qualifies for exception]]="Flagged",(tblTarget[[#This Row],[Cluster Target]]-tblTarget[[#This Row],[2024 Response capacity up to December]])/tblTarget[[#This Row],[Cluster Target]]&gt;Diff_severity3),"Flagged",""),"No target")</f>
        <v/>
      </c>
      <c r="AN236" s="81" t="s">
        <v>15</v>
      </c>
      <c r="AO236" s="81"/>
      <c r="AP236" s="81" t="s">
        <v>1099</v>
      </c>
      <c r="AQ236" s="81" t="s">
        <v>1098</v>
      </c>
    </row>
    <row r="237" spans="1:43" ht="15.95" customHeight="1" x14ac:dyDescent="0.2">
      <c r="A237" s="62" t="s">
        <v>674</v>
      </c>
      <c r="B237" s="63" t="s">
        <v>78</v>
      </c>
      <c r="C237" s="64" t="s">
        <v>79</v>
      </c>
      <c r="D237" s="63" t="s">
        <v>116</v>
      </c>
      <c r="E237" s="64" t="s">
        <v>117</v>
      </c>
      <c r="F237" s="65">
        <v>16250</v>
      </c>
      <c r="G237" s="66" t="s">
        <v>436</v>
      </c>
      <c r="H237" s="67">
        <v>9865</v>
      </c>
      <c r="I237" s="68">
        <v>3</v>
      </c>
      <c r="J237" s="68">
        <v>4</v>
      </c>
      <c r="K237" s="91">
        <v>1973</v>
      </c>
      <c r="L237" s="91">
        <v>995.30101222360861</v>
      </c>
      <c r="M237" s="91">
        <v>977.6989877763915</v>
      </c>
      <c r="N237" s="91">
        <v>1085.1500000000001</v>
      </c>
      <c r="O237" s="91">
        <v>769.47</v>
      </c>
      <c r="P237" s="91">
        <v>118.38</v>
      </c>
      <c r="Q237" s="85">
        <v>295.95</v>
      </c>
      <c r="R237" s="68" t="s">
        <v>436</v>
      </c>
      <c r="S237" s="86">
        <v>284</v>
      </c>
      <c r="T237" s="68">
        <v>71</v>
      </c>
      <c r="U237" s="68">
        <v>13</v>
      </c>
      <c r="V237" s="68">
        <v>18</v>
      </c>
      <c r="W237" s="68">
        <v>20</v>
      </c>
      <c r="X237" s="68">
        <v>39</v>
      </c>
      <c r="Y237" s="68">
        <v>59</v>
      </c>
      <c r="Z237" s="68">
        <v>39</v>
      </c>
      <c r="AA237" s="68">
        <v>0</v>
      </c>
      <c r="AB237" s="69">
        <v>6</v>
      </c>
      <c r="AC237" s="69">
        <v>0</v>
      </c>
      <c r="AD237" s="70">
        <f>IFERROR(tblTarget[[#This Row],[Cluster Target]]/tblTarget[[#This Row],[Cluster PiN]],0)</f>
        <v>0.2</v>
      </c>
      <c r="AE237" s="79">
        <f>_xlfn.XLOOKUP(tblTarget[[#This Row],[ID]],tblResponse[ID],tblResponse[2024 Projected reached (Dec 2024)])</f>
        <v>7065</v>
      </c>
      <c r="AF237" s="79">
        <f>_xlfn.XLOOKUP(tblTarget[[#This Row],[ID]],tblResponse[ID],tblResponse[2024 Intercluster reached -August RPM])</f>
        <v>9725.5648101222778</v>
      </c>
      <c r="AG237" s="79">
        <v>3</v>
      </c>
      <c r="AH237" s="79"/>
      <c r="AI237" s="79"/>
      <c r="AJ237" s="70" t="str">
        <f>IF(tblTarget[[#This Row],[Target to PiN (%)]]&gt;Targ_vs_PiN,"Flagged","")</f>
        <v/>
      </c>
      <c r="AK237" s="69" t="str">
        <f>IF(AND(tblTarget[[#This Row],[Qualifies for exception]]="Flagged",tblTarget[[#This Row],[Target to PiN (%)]]&gt;Targ_severity5),"Flagged","")</f>
        <v/>
      </c>
      <c r="AL237" s="68" t="str">
        <f>IFERROR(IF(AND(tblTarget[[#This Row],[Intercluser Severity]]=4,tblTarget[[#This Row],[Qualifies for exception]]="Flagged",(tblTarget[[#This Row],[Cluster Target]]-tblTarget[[#This Row],[2024 Response capacity up to December]])/tblTarget[[#This Row],[Cluster Target]]&gt;Diff_severity4),"Flagged",""),"No target")</f>
        <v/>
      </c>
      <c r="AM237" s="68" t="str">
        <f>IFERROR(IF(AND(tblTarget[[#This Row],[Intercluser Severity]]=3,tblTarget[[#This Row],[Qualifies for exception]]="Flagged",(tblTarget[[#This Row],[Cluster Target]]-tblTarget[[#This Row],[2024 Response capacity up to December]])/tblTarget[[#This Row],[Cluster Target]]&gt;Diff_severity3),"Flagged",""),"No target")</f>
        <v/>
      </c>
      <c r="AN237" s="81" t="s">
        <v>1099</v>
      </c>
      <c r="AO237" s="81"/>
      <c r="AP237" s="81" t="s">
        <v>1099</v>
      </c>
      <c r="AQ237" s="81" t="s">
        <v>1107</v>
      </c>
    </row>
    <row r="238" spans="1:43" ht="15.95" customHeight="1" x14ac:dyDescent="0.2">
      <c r="A238" s="62" t="s">
        <v>675</v>
      </c>
      <c r="B238" s="63" t="s">
        <v>78</v>
      </c>
      <c r="C238" s="64" t="s">
        <v>79</v>
      </c>
      <c r="D238" s="63" t="s">
        <v>118</v>
      </c>
      <c r="E238" s="64" t="s">
        <v>119</v>
      </c>
      <c r="F238" s="65">
        <v>78632</v>
      </c>
      <c r="G238" s="66" t="s">
        <v>436</v>
      </c>
      <c r="H238" s="66">
        <v>39954</v>
      </c>
      <c r="I238" s="68">
        <v>3</v>
      </c>
      <c r="J238" s="68">
        <v>4</v>
      </c>
      <c r="K238" s="91">
        <v>7991</v>
      </c>
      <c r="L238" s="91">
        <v>4068.6998458544967</v>
      </c>
      <c r="M238" s="91">
        <v>3922.3001541455033</v>
      </c>
      <c r="N238" s="91">
        <v>4395.05</v>
      </c>
      <c r="O238" s="91">
        <v>3116.4900000000002</v>
      </c>
      <c r="P238" s="91">
        <v>479.46</v>
      </c>
      <c r="Q238" s="85">
        <v>1198.6499999999999</v>
      </c>
      <c r="R238" s="68" t="s">
        <v>15</v>
      </c>
      <c r="S238" s="86">
        <v>1151</v>
      </c>
      <c r="T238" s="68">
        <v>288</v>
      </c>
      <c r="U238" s="68">
        <v>54</v>
      </c>
      <c r="V238" s="68">
        <v>72</v>
      </c>
      <c r="W238" s="68">
        <v>80</v>
      </c>
      <c r="X238" s="68">
        <v>160</v>
      </c>
      <c r="Y238" s="68">
        <v>240</v>
      </c>
      <c r="Z238" s="68">
        <v>160</v>
      </c>
      <c r="AA238" s="68">
        <v>0</v>
      </c>
      <c r="AB238" s="69">
        <v>24</v>
      </c>
      <c r="AC238" s="69">
        <v>37.669527532706297</v>
      </c>
      <c r="AD238" s="70">
        <f>IFERROR(tblTarget[[#This Row],[Cluster Target]]/tblTarget[[#This Row],[Cluster PiN]],0)</f>
        <v>0.20000500575662011</v>
      </c>
      <c r="AE238" s="79">
        <f>_xlfn.XLOOKUP(tblTarget[[#This Row],[ID]],tblResponse[ID],tblResponse[2024 Projected reached (Dec 2024)])</f>
        <v>10995</v>
      </c>
      <c r="AF238" s="79">
        <f>_xlfn.XLOOKUP(tblTarget[[#This Row],[ID]],tblResponse[ID],tblResponse[2024 Intercluster reached -August RPM])</f>
        <v>4235.0227180393322</v>
      </c>
      <c r="AG238" s="79">
        <v>4</v>
      </c>
      <c r="AH238" s="79"/>
      <c r="AI238" s="79"/>
      <c r="AJ238" s="70" t="str">
        <f>IF(tblTarget[[#This Row],[Target to PiN (%)]]&gt;Targ_vs_PiN,"Flagged","")</f>
        <v/>
      </c>
      <c r="AK238" s="69" t="str">
        <f>IF(AND(tblTarget[[#This Row],[Qualifies for exception]]="Flagged",tblTarget[[#This Row],[Target to PiN (%)]]&gt;Targ_severity5),"Flagged","")</f>
        <v/>
      </c>
      <c r="AL238" s="68" t="str">
        <f>IFERROR(IF(AND(tblTarget[[#This Row],[Intercluser Severity]]=4,tblTarget[[#This Row],[Qualifies for exception]]="Flagged",(tblTarget[[#This Row],[Cluster Target]]-tblTarget[[#This Row],[2024 Response capacity up to December]])/tblTarget[[#This Row],[Cluster Target]]&gt;Diff_severity4),"Flagged",""),"No target")</f>
        <v/>
      </c>
      <c r="AM238" s="68" t="str">
        <f>IFERROR(IF(AND(tblTarget[[#This Row],[Intercluser Severity]]=3,tblTarget[[#This Row],[Qualifies for exception]]="Flagged",(tblTarget[[#This Row],[Cluster Target]]-tblTarget[[#This Row],[2024 Response capacity up to December]])/tblTarget[[#This Row],[Cluster Target]]&gt;Diff_severity3),"Flagged",""),"No target")</f>
        <v/>
      </c>
      <c r="AN238" s="81" t="s">
        <v>15</v>
      </c>
      <c r="AO238" s="81"/>
      <c r="AP238" s="81" t="s">
        <v>1099</v>
      </c>
      <c r="AQ238" s="81" t="s">
        <v>1098</v>
      </c>
    </row>
    <row r="239" spans="1:43" ht="15.95" customHeight="1" x14ac:dyDescent="0.2">
      <c r="A239" s="62" t="s">
        <v>676</v>
      </c>
      <c r="B239" s="63" t="s">
        <v>78</v>
      </c>
      <c r="C239" s="64" t="s">
        <v>79</v>
      </c>
      <c r="D239" s="63" t="s">
        <v>120</v>
      </c>
      <c r="E239" s="64" t="s">
        <v>121</v>
      </c>
      <c r="F239" s="65">
        <v>7370</v>
      </c>
      <c r="G239" s="66" t="s">
        <v>436</v>
      </c>
      <c r="H239" s="67">
        <v>2806</v>
      </c>
      <c r="I239" s="68">
        <v>3</v>
      </c>
      <c r="J239" s="68">
        <v>3</v>
      </c>
      <c r="K239" s="91">
        <v>0</v>
      </c>
      <c r="L239" s="91">
        <v>0</v>
      </c>
      <c r="M239" s="91">
        <v>0</v>
      </c>
      <c r="N239" s="91">
        <v>0</v>
      </c>
      <c r="O239" s="91">
        <v>0</v>
      </c>
      <c r="P239" s="91">
        <v>0</v>
      </c>
      <c r="Q239" s="85">
        <v>0</v>
      </c>
      <c r="R239" s="68" t="s">
        <v>436</v>
      </c>
      <c r="S239" s="86">
        <v>0</v>
      </c>
      <c r="T239" s="68">
        <v>0</v>
      </c>
      <c r="U239" s="68">
        <v>0</v>
      </c>
      <c r="V239" s="68">
        <v>0</v>
      </c>
      <c r="W239" s="68">
        <v>0</v>
      </c>
      <c r="X239" s="68">
        <v>0</v>
      </c>
      <c r="Y239" s="68">
        <v>0</v>
      </c>
      <c r="Z239" s="68">
        <v>0</v>
      </c>
      <c r="AA239" s="68">
        <v>0</v>
      </c>
      <c r="AB239" s="69">
        <v>0</v>
      </c>
      <c r="AC239" s="69">
        <v>0</v>
      </c>
      <c r="AD239" s="70">
        <f>IFERROR(tblTarget[[#This Row],[Cluster Target]]/tblTarget[[#This Row],[Cluster PiN]],0)</f>
        <v>0</v>
      </c>
      <c r="AE239" s="79">
        <f>_xlfn.XLOOKUP(tblTarget[[#This Row],[ID]],tblResponse[ID],tblResponse[2024 Projected reached (Dec 2024)])</f>
        <v>0</v>
      </c>
      <c r="AF239" s="79">
        <f>_xlfn.XLOOKUP(tblTarget[[#This Row],[ID]],tblResponse[ID],tblResponse[2024 Intercluster reached -August RPM])</f>
        <v>197.26327591271848</v>
      </c>
      <c r="AG239" s="79">
        <v>1</v>
      </c>
      <c r="AH239" s="79"/>
      <c r="AI239" s="79"/>
      <c r="AJ239" s="70" t="str">
        <f>IF(tblTarget[[#This Row],[Target to PiN (%)]]&gt;Targ_vs_PiN,"Flagged","")</f>
        <v/>
      </c>
      <c r="AK239" s="69" t="str">
        <f>IF(AND(tblTarget[[#This Row],[Qualifies for exception]]="Flagged",tblTarget[[#This Row],[Target to PiN (%)]]&gt;Targ_severity5),"Flagged","")</f>
        <v/>
      </c>
      <c r="AL239" s="68" t="str">
        <f>IFERROR(IF(AND(tblTarget[[#This Row],[Intercluser Severity]]=4,tblTarget[[#This Row],[Qualifies for exception]]="Flagged",(tblTarget[[#This Row],[Cluster Target]]-tblTarget[[#This Row],[2024 Response capacity up to December]])/tblTarget[[#This Row],[Cluster Target]]&gt;Diff_severity4),"Flagged",""),"No target")</f>
        <v>No target</v>
      </c>
      <c r="AM239" s="68" t="str">
        <f>IFERROR(IF(AND(tblTarget[[#This Row],[Intercluser Severity]]=3,tblTarget[[#This Row],[Qualifies for exception]]="Flagged",(tblTarget[[#This Row],[Cluster Target]]-tblTarget[[#This Row],[2024 Response capacity up to December]])/tblTarget[[#This Row],[Cluster Target]]&gt;Diff_severity3),"Flagged",""),"No target")</f>
        <v>No target</v>
      </c>
      <c r="AN239" s="81" t="s">
        <v>1099</v>
      </c>
      <c r="AO239" s="81"/>
      <c r="AP239" s="81" t="s">
        <v>1099</v>
      </c>
      <c r="AQ239" s="81" t="s">
        <v>1107</v>
      </c>
    </row>
    <row r="240" spans="1:43" ht="15.95" customHeight="1" x14ac:dyDescent="0.2">
      <c r="A240" s="62" t="s">
        <v>677</v>
      </c>
      <c r="B240" s="63" t="s">
        <v>122</v>
      </c>
      <c r="C240" s="64" t="s">
        <v>123</v>
      </c>
      <c r="D240" s="63" t="s">
        <v>124</v>
      </c>
      <c r="E240" s="64" t="s">
        <v>125</v>
      </c>
      <c r="F240" s="65">
        <v>3105</v>
      </c>
      <c r="G240" s="66" t="s">
        <v>436</v>
      </c>
      <c r="H240" s="67">
        <v>2423</v>
      </c>
      <c r="I240" s="68">
        <v>3</v>
      </c>
      <c r="J240" s="68">
        <v>4</v>
      </c>
      <c r="K240" s="91">
        <v>485</v>
      </c>
      <c r="L240" s="91">
        <v>246.97488409223493</v>
      </c>
      <c r="M240" s="91">
        <v>238.02511590776507</v>
      </c>
      <c r="N240" s="91">
        <v>266.75</v>
      </c>
      <c r="O240" s="91">
        <v>189.15</v>
      </c>
      <c r="P240" s="91">
        <v>29.099999999999998</v>
      </c>
      <c r="Q240" s="85">
        <v>72.75</v>
      </c>
      <c r="R240" s="68" t="s">
        <v>436</v>
      </c>
      <c r="S240" s="86">
        <v>70</v>
      </c>
      <c r="T240" s="68">
        <v>17</v>
      </c>
      <c r="U240" s="68">
        <v>3</v>
      </c>
      <c r="V240" s="68">
        <v>4</v>
      </c>
      <c r="W240" s="68">
        <v>5</v>
      </c>
      <c r="X240" s="68">
        <v>10</v>
      </c>
      <c r="Y240" s="68">
        <v>15</v>
      </c>
      <c r="Z240" s="68">
        <v>10</v>
      </c>
      <c r="AA240" s="68">
        <v>0</v>
      </c>
      <c r="AB240" s="69">
        <v>2</v>
      </c>
      <c r="AC240" s="69">
        <v>0</v>
      </c>
      <c r="AD240" s="70">
        <f>IFERROR(tblTarget[[#This Row],[Cluster Target]]/tblTarget[[#This Row],[Cluster PiN]],0)</f>
        <v>0.20016508460586049</v>
      </c>
      <c r="AE240" s="79">
        <f>_xlfn.XLOOKUP(tblTarget[[#This Row],[ID]],tblResponse[ID],tblResponse[2024 Projected reached (Dec 2024)])</f>
        <v>0</v>
      </c>
      <c r="AF240" s="79">
        <f>_xlfn.XLOOKUP(tblTarget[[#This Row],[ID]],tblResponse[ID],tblResponse[2024 Intercluster reached -August RPM])</f>
        <v>695.41727948391065</v>
      </c>
      <c r="AG240" s="79">
        <v>1</v>
      </c>
      <c r="AH240" s="79"/>
      <c r="AI240" s="79"/>
      <c r="AJ240" s="70" t="str">
        <f>IF(tblTarget[[#This Row],[Target to PiN (%)]]&gt;Targ_vs_PiN,"Flagged","")</f>
        <v/>
      </c>
      <c r="AK240" s="69" t="str">
        <f>IF(AND(tblTarget[[#This Row],[Qualifies for exception]]="Flagged",tblTarget[[#This Row],[Target to PiN (%)]]&gt;Targ_severity5),"Flagged","")</f>
        <v/>
      </c>
      <c r="AL240" s="68" t="str">
        <f>IFERROR(IF(AND(tblTarget[[#This Row],[Intercluser Severity]]=4,tblTarget[[#This Row],[Qualifies for exception]]="Flagged",(tblTarget[[#This Row],[Cluster Target]]-tblTarget[[#This Row],[2024 Response capacity up to December]])/tblTarget[[#This Row],[Cluster Target]]&gt;Diff_severity4),"Flagged",""),"No target")</f>
        <v>Flagged</v>
      </c>
      <c r="AM240" s="68" t="str">
        <f>IFERROR(IF(AND(tblTarget[[#This Row],[Intercluser Severity]]=3,tblTarget[[#This Row],[Qualifies for exception]]="Flagged",(tblTarget[[#This Row],[Cluster Target]]-tblTarget[[#This Row],[2024 Response capacity up to December]])/tblTarget[[#This Row],[Cluster Target]]&gt;Diff_severity3),"Flagged",""),"No target")</f>
        <v/>
      </c>
      <c r="AN240" s="81" t="s">
        <v>1099</v>
      </c>
      <c r="AO240" s="81"/>
      <c r="AP240" s="81" t="s">
        <v>1099</v>
      </c>
      <c r="AQ240" s="81" t="s">
        <v>1107</v>
      </c>
    </row>
    <row r="241" spans="1:43" ht="15.95" customHeight="1" x14ac:dyDescent="0.2">
      <c r="A241" s="62" t="s">
        <v>678</v>
      </c>
      <c r="B241" s="63" t="s">
        <v>122</v>
      </c>
      <c r="C241" s="64" t="s">
        <v>123</v>
      </c>
      <c r="D241" s="63" t="s">
        <v>126</v>
      </c>
      <c r="E241" s="64" t="s">
        <v>127</v>
      </c>
      <c r="F241" s="65">
        <v>70495</v>
      </c>
      <c r="G241" s="66" t="s">
        <v>436</v>
      </c>
      <c r="H241" s="67">
        <v>23927</v>
      </c>
      <c r="I241" s="68">
        <v>3</v>
      </c>
      <c r="J241" s="68">
        <v>4</v>
      </c>
      <c r="K241" s="91">
        <v>9571</v>
      </c>
      <c r="L241" s="91">
        <v>4734.3794548300948</v>
      </c>
      <c r="M241" s="91">
        <v>4836.6205451699052</v>
      </c>
      <c r="N241" s="91">
        <v>5264.05</v>
      </c>
      <c r="O241" s="91">
        <v>3732.69</v>
      </c>
      <c r="P241" s="91">
        <v>574.26</v>
      </c>
      <c r="Q241" s="85">
        <v>1435.6499999999999</v>
      </c>
      <c r="R241" s="68" t="s">
        <v>436</v>
      </c>
      <c r="S241" s="86">
        <v>1378</v>
      </c>
      <c r="T241" s="68">
        <v>345</v>
      </c>
      <c r="U241" s="68">
        <v>65</v>
      </c>
      <c r="V241" s="68">
        <v>86</v>
      </c>
      <c r="W241" s="68">
        <v>96</v>
      </c>
      <c r="X241" s="68">
        <v>191</v>
      </c>
      <c r="Y241" s="68">
        <v>287</v>
      </c>
      <c r="Z241" s="68">
        <v>191</v>
      </c>
      <c r="AA241" s="68">
        <v>0</v>
      </c>
      <c r="AB241" s="69">
        <v>28</v>
      </c>
      <c r="AC241" s="69">
        <v>75.339055065412595</v>
      </c>
      <c r="AD241" s="70">
        <f>IFERROR(tblTarget[[#This Row],[Cluster Target]]/tblTarget[[#This Row],[Cluster PiN]],0)</f>
        <v>0.40000835875788859</v>
      </c>
      <c r="AE241" s="79">
        <f>_xlfn.XLOOKUP(tblTarget[[#This Row],[ID]],tblResponse[ID],tblResponse[2024 Projected reached (Dec 2024)])</f>
        <v>21955</v>
      </c>
      <c r="AF241" s="79">
        <f>_xlfn.XLOOKUP(tblTarget[[#This Row],[ID]],tblResponse[ID],tblResponse[2024 Intercluster reached -August RPM])</f>
        <v>73498.126994518942</v>
      </c>
      <c r="AG241" s="79">
        <v>5</v>
      </c>
      <c r="AH241" s="79"/>
      <c r="AI241" s="79"/>
      <c r="AJ241" s="70" t="str">
        <f>IF(tblTarget[[#This Row],[Target to PiN (%)]]&gt;Targ_vs_PiN,"Flagged","")</f>
        <v/>
      </c>
      <c r="AK241" s="69" t="str">
        <f>IF(AND(tblTarget[[#This Row],[Qualifies for exception]]="Flagged",tblTarget[[#This Row],[Target to PiN (%)]]&gt;Targ_severity5),"Flagged","")</f>
        <v/>
      </c>
      <c r="AL241" s="68" t="str">
        <f>IFERROR(IF(AND(tblTarget[[#This Row],[Intercluser Severity]]=4,tblTarget[[#This Row],[Qualifies for exception]]="Flagged",(tblTarget[[#This Row],[Cluster Target]]-tblTarget[[#This Row],[2024 Response capacity up to December]])/tblTarget[[#This Row],[Cluster Target]]&gt;Diff_severity4),"Flagged",""),"No target")</f>
        <v/>
      </c>
      <c r="AM241" s="68" t="str">
        <f>IFERROR(IF(AND(tblTarget[[#This Row],[Intercluser Severity]]=3,tblTarget[[#This Row],[Qualifies for exception]]="Flagged",(tblTarget[[#This Row],[Cluster Target]]-tblTarget[[#This Row],[2024 Response capacity up to December]])/tblTarget[[#This Row],[Cluster Target]]&gt;Diff_severity3),"Flagged",""),"No target")</f>
        <v/>
      </c>
      <c r="AN241" s="81" t="s">
        <v>1099</v>
      </c>
      <c r="AO241" s="81"/>
      <c r="AP241" s="81" t="s">
        <v>1099</v>
      </c>
      <c r="AQ241" s="81" t="s">
        <v>1107</v>
      </c>
    </row>
    <row r="242" spans="1:43" ht="15.95" customHeight="1" x14ac:dyDescent="0.2">
      <c r="A242" s="62" t="s">
        <v>679</v>
      </c>
      <c r="B242" s="63" t="s">
        <v>122</v>
      </c>
      <c r="C242" s="64" t="s">
        <v>123</v>
      </c>
      <c r="D242" s="63" t="s">
        <v>128</v>
      </c>
      <c r="E242" s="64" t="s">
        <v>129</v>
      </c>
      <c r="F242" s="65">
        <v>9710</v>
      </c>
      <c r="G242" s="66" t="s">
        <v>436</v>
      </c>
      <c r="H242" s="67">
        <v>4996</v>
      </c>
      <c r="I242" s="68">
        <v>3</v>
      </c>
      <c r="J242" s="68">
        <v>5</v>
      </c>
      <c r="K242" s="91">
        <v>3996</v>
      </c>
      <c r="L242" s="91">
        <v>2004.3883928571431</v>
      </c>
      <c r="M242" s="91">
        <v>1991.6116071428571</v>
      </c>
      <c r="N242" s="91">
        <v>2197.8000000000002</v>
      </c>
      <c r="O242" s="91">
        <v>1558.44</v>
      </c>
      <c r="P242" s="91">
        <v>239.76</v>
      </c>
      <c r="Q242" s="85">
        <v>599.4</v>
      </c>
      <c r="R242" s="68" t="s">
        <v>15</v>
      </c>
      <c r="S242" s="86">
        <v>575</v>
      </c>
      <c r="T242" s="68">
        <v>144</v>
      </c>
      <c r="U242" s="68">
        <v>27</v>
      </c>
      <c r="V242" s="68">
        <v>36</v>
      </c>
      <c r="W242" s="68">
        <v>40</v>
      </c>
      <c r="X242" s="68">
        <v>80</v>
      </c>
      <c r="Y242" s="68">
        <v>120</v>
      </c>
      <c r="Z242" s="68">
        <v>80</v>
      </c>
      <c r="AA242" s="68">
        <v>0</v>
      </c>
      <c r="AB242" s="69">
        <v>12</v>
      </c>
      <c r="AC242" s="69">
        <v>37.669527532706297</v>
      </c>
      <c r="AD242" s="70">
        <f>IFERROR(tblTarget[[#This Row],[Cluster Target]]/tblTarget[[#This Row],[Cluster PiN]],0)</f>
        <v>0.79983987189751804</v>
      </c>
      <c r="AE242" s="79">
        <f>_xlfn.XLOOKUP(tblTarget[[#This Row],[ID]],tblResponse[ID],tblResponse[2024 Projected reached (Dec 2024)])</f>
        <v>10835</v>
      </c>
      <c r="AF242" s="79">
        <f>_xlfn.XLOOKUP(tblTarget[[#This Row],[ID]],tblResponse[ID],tblResponse[2024 Intercluster reached -August RPM])</f>
        <v>15964.337070319889</v>
      </c>
      <c r="AG242" s="79">
        <v>3</v>
      </c>
      <c r="AH242" s="79"/>
      <c r="AI242" s="79"/>
      <c r="AJ242" s="70" t="str">
        <f>IF(tblTarget[[#This Row],[Target to PiN (%)]]&gt;Targ_vs_PiN,"Flagged","")</f>
        <v/>
      </c>
      <c r="AK242" s="69" t="str">
        <f>IF(AND(tblTarget[[#This Row],[Qualifies for exception]]="Flagged",tblTarget[[#This Row],[Target to PiN (%)]]&gt;Targ_severity5),"Flagged","")</f>
        <v/>
      </c>
      <c r="AL242" s="68" t="str">
        <f>IFERROR(IF(AND(tblTarget[[#This Row],[Intercluser Severity]]=4,tblTarget[[#This Row],[Qualifies for exception]]="Flagged",(tblTarget[[#This Row],[Cluster Target]]-tblTarget[[#This Row],[2024 Response capacity up to December]])/tblTarget[[#This Row],[Cluster Target]]&gt;Diff_severity4),"Flagged",""),"No target")</f>
        <v/>
      </c>
      <c r="AM242" s="68" t="str">
        <f>IFERROR(IF(AND(tblTarget[[#This Row],[Intercluser Severity]]=3,tblTarget[[#This Row],[Qualifies for exception]]="Flagged",(tblTarget[[#This Row],[Cluster Target]]-tblTarget[[#This Row],[2024 Response capacity up to December]])/tblTarget[[#This Row],[Cluster Target]]&gt;Diff_severity3),"Flagged",""),"No target")</f>
        <v/>
      </c>
      <c r="AN242" s="81" t="s">
        <v>1099</v>
      </c>
      <c r="AO242" s="81"/>
      <c r="AP242" s="81" t="s">
        <v>1099</v>
      </c>
      <c r="AQ242" s="81" t="s">
        <v>1098</v>
      </c>
    </row>
    <row r="243" spans="1:43" ht="15.95" customHeight="1" x14ac:dyDescent="0.2">
      <c r="A243" s="62" t="s">
        <v>680</v>
      </c>
      <c r="B243" s="63" t="s">
        <v>122</v>
      </c>
      <c r="C243" s="64" t="s">
        <v>123</v>
      </c>
      <c r="D243" s="63" t="s">
        <v>130</v>
      </c>
      <c r="E243" s="64" t="s">
        <v>131</v>
      </c>
      <c r="F243" s="65">
        <v>28260</v>
      </c>
      <c r="G243" s="66" t="s">
        <v>436</v>
      </c>
      <c r="H243" s="67">
        <v>18014</v>
      </c>
      <c r="I243" s="68">
        <v>3</v>
      </c>
      <c r="J243" s="68">
        <v>4</v>
      </c>
      <c r="K243" s="91">
        <v>7206</v>
      </c>
      <c r="L243" s="91">
        <v>3676.9618768328446</v>
      </c>
      <c r="M243" s="91">
        <v>3529.0381231671554</v>
      </c>
      <c r="N243" s="91">
        <v>3963.3</v>
      </c>
      <c r="O243" s="91">
        <v>2810.34</v>
      </c>
      <c r="P243" s="91">
        <v>432.35999999999996</v>
      </c>
      <c r="Q243" s="85">
        <v>1080.8999999999999</v>
      </c>
      <c r="R243" s="68" t="s">
        <v>15</v>
      </c>
      <c r="S243" s="86">
        <v>1038</v>
      </c>
      <c r="T243" s="68">
        <v>259</v>
      </c>
      <c r="U243" s="68">
        <v>49</v>
      </c>
      <c r="V243" s="68">
        <v>65</v>
      </c>
      <c r="W243" s="68">
        <v>72</v>
      </c>
      <c r="X243" s="68">
        <v>144</v>
      </c>
      <c r="Y243" s="68">
        <v>216</v>
      </c>
      <c r="Z243" s="68">
        <v>144</v>
      </c>
      <c r="AA243" s="68">
        <v>0</v>
      </c>
      <c r="AB243" s="69">
        <v>22</v>
      </c>
      <c r="AC243" s="69">
        <v>37.669527532706297</v>
      </c>
      <c r="AD243" s="70">
        <f>IFERROR(tblTarget[[#This Row],[Cluster Target]]/tblTarget[[#This Row],[Cluster PiN]],0)</f>
        <v>0.40002220495170421</v>
      </c>
      <c r="AE243" s="79">
        <f>_xlfn.XLOOKUP(tblTarget[[#This Row],[ID]],tblResponse[ID],tblResponse[2024 Projected reached (Dec 2024)])</f>
        <v>3335</v>
      </c>
      <c r="AF243" s="79">
        <f>_xlfn.XLOOKUP(tblTarget[[#This Row],[ID]],tblResponse[ID],tblResponse[2024 Intercluster reached -August RPM])</f>
        <v>8333.0174007123769</v>
      </c>
      <c r="AG243" s="79">
        <v>2</v>
      </c>
      <c r="AH243" s="79"/>
      <c r="AI243" s="79"/>
      <c r="AJ243" s="70" t="str">
        <f>IF(tblTarget[[#This Row],[Target to PiN (%)]]&gt;Targ_vs_PiN,"Flagged","")</f>
        <v/>
      </c>
      <c r="AK243" s="69" t="str">
        <f>IF(AND(tblTarget[[#This Row],[Qualifies for exception]]="Flagged",tblTarget[[#This Row],[Target to PiN (%)]]&gt;Targ_severity5),"Flagged","")</f>
        <v/>
      </c>
      <c r="AL243" s="68" t="str">
        <f>IFERROR(IF(AND(tblTarget[[#This Row],[Intercluser Severity]]=4,tblTarget[[#This Row],[Qualifies for exception]]="Flagged",(tblTarget[[#This Row],[Cluster Target]]-tblTarget[[#This Row],[2024 Response capacity up to December]])/tblTarget[[#This Row],[Cluster Target]]&gt;Diff_severity4),"Flagged",""),"No target")</f>
        <v/>
      </c>
      <c r="AM243" s="68" t="str">
        <f>IFERROR(IF(AND(tblTarget[[#This Row],[Intercluser Severity]]=3,tblTarget[[#This Row],[Qualifies for exception]]="Flagged",(tblTarget[[#This Row],[Cluster Target]]-tblTarget[[#This Row],[2024 Response capacity up to December]])/tblTarget[[#This Row],[Cluster Target]]&gt;Diff_severity3),"Flagged",""),"No target")</f>
        <v/>
      </c>
      <c r="AN243" s="81" t="s">
        <v>1099</v>
      </c>
      <c r="AO243" s="81"/>
      <c r="AP243" s="81" t="s">
        <v>15</v>
      </c>
      <c r="AQ243" s="81" t="s">
        <v>1098</v>
      </c>
    </row>
    <row r="244" spans="1:43" ht="15.95" customHeight="1" x14ac:dyDescent="0.2">
      <c r="A244" s="62" t="s">
        <v>681</v>
      </c>
      <c r="B244" s="63" t="s">
        <v>122</v>
      </c>
      <c r="C244" s="64" t="s">
        <v>123</v>
      </c>
      <c r="D244" s="63" t="s">
        <v>132</v>
      </c>
      <c r="E244" s="64" t="s">
        <v>133</v>
      </c>
      <c r="F244" s="65">
        <v>70720</v>
      </c>
      <c r="G244" s="66" t="s">
        <v>436</v>
      </c>
      <c r="H244" s="67">
        <v>53316</v>
      </c>
      <c r="I244" s="68">
        <v>3</v>
      </c>
      <c r="J244" s="68">
        <v>5</v>
      </c>
      <c r="K244" s="91">
        <v>5332</v>
      </c>
      <c r="L244" s="91">
        <v>2673.8836228488326</v>
      </c>
      <c r="M244" s="91">
        <v>2658.1163771511674</v>
      </c>
      <c r="N244" s="91">
        <v>2932.6000000000004</v>
      </c>
      <c r="O244" s="91">
        <v>2079.48</v>
      </c>
      <c r="P244" s="91">
        <v>319.92</v>
      </c>
      <c r="Q244" s="85">
        <v>799.8</v>
      </c>
      <c r="R244" s="68" t="s">
        <v>15</v>
      </c>
      <c r="S244" s="86">
        <v>768</v>
      </c>
      <c r="T244" s="68">
        <v>192</v>
      </c>
      <c r="U244" s="68">
        <v>36</v>
      </c>
      <c r="V244" s="68">
        <v>48</v>
      </c>
      <c r="W244" s="68">
        <v>53</v>
      </c>
      <c r="X244" s="68">
        <v>107</v>
      </c>
      <c r="Y244" s="68">
        <v>160</v>
      </c>
      <c r="Z244" s="68">
        <v>107</v>
      </c>
      <c r="AA244" s="68">
        <v>0</v>
      </c>
      <c r="AB244" s="69">
        <v>16</v>
      </c>
      <c r="AC244" s="69">
        <v>37.669527532706297</v>
      </c>
      <c r="AD244" s="70">
        <f>IFERROR(tblTarget[[#This Row],[Cluster Target]]/tblTarget[[#This Row],[Cluster PiN]],0)</f>
        <v>0.10000750243829244</v>
      </c>
      <c r="AE244" s="79">
        <f>_xlfn.XLOOKUP(tblTarget[[#This Row],[ID]],tblResponse[ID],tblResponse[2024 Projected reached (Dec 2024)])</f>
        <v>5635</v>
      </c>
      <c r="AF244" s="79">
        <f>_xlfn.XLOOKUP(tblTarget[[#This Row],[ID]],tblResponse[ID],tblResponse[2024 Intercluster reached -August RPM])</f>
        <v>19197.056804669563</v>
      </c>
      <c r="AG244" s="79">
        <v>2</v>
      </c>
      <c r="AH244" s="79"/>
      <c r="AI244" s="79"/>
      <c r="AJ244" s="70" t="str">
        <f>IF(tblTarget[[#This Row],[Target to PiN (%)]]&gt;Targ_vs_PiN,"Flagged","")</f>
        <v/>
      </c>
      <c r="AK244" s="69" t="str">
        <f>IF(AND(tblTarget[[#This Row],[Qualifies for exception]]="Flagged",tblTarget[[#This Row],[Target to PiN (%)]]&gt;Targ_severity5),"Flagged","")</f>
        <v/>
      </c>
      <c r="AL244" s="68" t="str">
        <f>IFERROR(IF(AND(tblTarget[[#This Row],[Intercluser Severity]]=4,tblTarget[[#This Row],[Qualifies for exception]]="Flagged",(tblTarget[[#This Row],[Cluster Target]]-tblTarget[[#This Row],[2024 Response capacity up to December]])/tblTarget[[#This Row],[Cluster Target]]&gt;Diff_severity4),"Flagged",""),"No target")</f>
        <v/>
      </c>
      <c r="AM244" s="68" t="str">
        <f>IFERROR(IF(AND(tblTarget[[#This Row],[Intercluser Severity]]=3,tblTarget[[#This Row],[Qualifies for exception]]="Flagged",(tblTarget[[#This Row],[Cluster Target]]-tblTarget[[#This Row],[2024 Response capacity up to December]])/tblTarget[[#This Row],[Cluster Target]]&gt;Diff_severity3),"Flagged",""),"No target")</f>
        <v/>
      </c>
      <c r="AN244" s="81" t="s">
        <v>1099</v>
      </c>
      <c r="AO244" s="81"/>
      <c r="AP244" s="81" t="s">
        <v>1099</v>
      </c>
      <c r="AQ244" s="81" t="s">
        <v>1098</v>
      </c>
    </row>
    <row r="245" spans="1:43" ht="15.95" customHeight="1" x14ac:dyDescent="0.2">
      <c r="A245" s="62" t="s">
        <v>682</v>
      </c>
      <c r="B245" s="63" t="s">
        <v>122</v>
      </c>
      <c r="C245" s="64" t="s">
        <v>123</v>
      </c>
      <c r="D245" s="63" t="s">
        <v>134</v>
      </c>
      <c r="E245" s="64" t="s">
        <v>135</v>
      </c>
      <c r="F245" s="65">
        <v>41790</v>
      </c>
      <c r="G245" s="66" t="s">
        <v>436</v>
      </c>
      <c r="H245" s="67">
        <v>25790</v>
      </c>
      <c r="I245" s="68">
        <v>3</v>
      </c>
      <c r="J245" s="68">
        <v>4</v>
      </c>
      <c r="K245" s="91">
        <v>1290</v>
      </c>
      <c r="L245" s="91">
        <v>649.0230352618488</v>
      </c>
      <c r="M245" s="91">
        <v>640.97696473815108</v>
      </c>
      <c r="N245" s="91">
        <v>709.50000000000011</v>
      </c>
      <c r="O245" s="91">
        <v>503.1</v>
      </c>
      <c r="P245" s="91">
        <v>77.399999999999991</v>
      </c>
      <c r="Q245" s="85">
        <v>193.5</v>
      </c>
      <c r="R245" s="68" t="s">
        <v>15</v>
      </c>
      <c r="S245" s="86">
        <v>186</v>
      </c>
      <c r="T245" s="68">
        <v>46</v>
      </c>
      <c r="U245" s="68">
        <v>9</v>
      </c>
      <c r="V245" s="68">
        <v>12</v>
      </c>
      <c r="W245" s="68">
        <v>13</v>
      </c>
      <c r="X245" s="68">
        <v>26</v>
      </c>
      <c r="Y245" s="68">
        <v>39</v>
      </c>
      <c r="Z245" s="68">
        <v>26</v>
      </c>
      <c r="AA245" s="68">
        <v>0</v>
      </c>
      <c r="AB245" s="69">
        <v>4</v>
      </c>
      <c r="AC245" s="69">
        <v>0</v>
      </c>
      <c r="AD245" s="70">
        <f>IFERROR(tblTarget[[#This Row],[Cluster Target]]/tblTarget[[#This Row],[Cluster PiN]],0)</f>
        <v>5.0019387359441642E-2</v>
      </c>
      <c r="AE245" s="79">
        <f>_xlfn.XLOOKUP(tblTarget[[#This Row],[ID]],tblResponse[ID],tblResponse[2024 Projected reached (Dec 2024)])</f>
        <v>0</v>
      </c>
      <c r="AF245" s="79">
        <f>_xlfn.XLOOKUP(tblTarget[[#This Row],[ID]],tblResponse[ID],tblResponse[2024 Intercluster reached -August RPM])</f>
        <v>25821.220414334857</v>
      </c>
      <c r="AG245" s="79">
        <v>3</v>
      </c>
      <c r="AH245" s="79"/>
      <c r="AI245" s="79"/>
      <c r="AJ245" s="70" t="str">
        <f>IF(tblTarget[[#This Row],[Target to PiN (%)]]&gt;Targ_vs_PiN,"Flagged","")</f>
        <v/>
      </c>
      <c r="AK245" s="69" t="str">
        <f>IF(AND(tblTarget[[#This Row],[Qualifies for exception]]="Flagged",tblTarget[[#This Row],[Target to PiN (%)]]&gt;Targ_severity5),"Flagged","")</f>
        <v/>
      </c>
      <c r="AL245" s="68" t="str">
        <f>IFERROR(IF(AND(tblTarget[[#This Row],[Intercluser Severity]]=4,tblTarget[[#This Row],[Qualifies for exception]]="Flagged",(tblTarget[[#This Row],[Cluster Target]]-tblTarget[[#This Row],[2024 Response capacity up to December]])/tblTarget[[#This Row],[Cluster Target]]&gt;Diff_severity4),"Flagged",""),"No target")</f>
        <v/>
      </c>
      <c r="AM245" s="68" t="str">
        <f>IFERROR(IF(AND(tblTarget[[#This Row],[Intercluser Severity]]=3,tblTarget[[#This Row],[Qualifies for exception]]="Flagged",(tblTarget[[#This Row],[Cluster Target]]-tblTarget[[#This Row],[2024 Response capacity up to December]])/tblTarget[[#This Row],[Cluster Target]]&gt;Diff_severity3),"Flagged",""),"No target")</f>
        <v/>
      </c>
      <c r="AN245" s="81" t="s">
        <v>15</v>
      </c>
      <c r="AO245" s="81"/>
      <c r="AP245" s="81" t="s">
        <v>1099</v>
      </c>
      <c r="AQ245" s="81" t="s">
        <v>1098</v>
      </c>
    </row>
    <row r="246" spans="1:43" ht="15.95" customHeight="1" x14ac:dyDescent="0.2">
      <c r="A246" s="62" t="s">
        <v>683</v>
      </c>
      <c r="B246" s="63" t="s">
        <v>122</v>
      </c>
      <c r="C246" s="64" t="s">
        <v>123</v>
      </c>
      <c r="D246" s="63" t="s">
        <v>136</v>
      </c>
      <c r="E246" s="64" t="s">
        <v>137</v>
      </c>
      <c r="F246" s="65">
        <v>44562</v>
      </c>
      <c r="G246" s="66" t="s">
        <v>436</v>
      </c>
      <c r="H246" s="67">
        <v>14122</v>
      </c>
      <c r="I246" s="68">
        <v>3</v>
      </c>
      <c r="J246" s="68">
        <v>4</v>
      </c>
      <c r="K246" s="91">
        <v>706</v>
      </c>
      <c r="L246" s="91">
        <v>352.10369058163565</v>
      </c>
      <c r="M246" s="91">
        <v>353.8963094183643</v>
      </c>
      <c r="N246" s="91">
        <v>388.3</v>
      </c>
      <c r="O246" s="91">
        <v>275.34000000000003</v>
      </c>
      <c r="P246" s="91">
        <v>42.36</v>
      </c>
      <c r="Q246" s="85">
        <v>105.89999999999999</v>
      </c>
      <c r="R246" s="68" t="s">
        <v>15</v>
      </c>
      <c r="S246" s="86">
        <v>102</v>
      </c>
      <c r="T246" s="68">
        <v>25</v>
      </c>
      <c r="U246" s="68">
        <v>5</v>
      </c>
      <c r="V246" s="68">
        <v>6</v>
      </c>
      <c r="W246" s="68">
        <v>7</v>
      </c>
      <c r="X246" s="68">
        <v>14</v>
      </c>
      <c r="Y246" s="68">
        <v>21</v>
      </c>
      <c r="Z246" s="68">
        <v>14</v>
      </c>
      <c r="AA246" s="68">
        <v>0</v>
      </c>
      <c r="AB246" s="69">
        <v>2</v>
      </c>
      <c r="AC246" s="69">
        <v>0</v>
      </c>
      <c r="AD246" s="70">
        <f>IFERROR(tblTarget[[#This Row],[Cluster Target]]/tblTarget[[#This Row],[Cluster PiN]],0)</f>
        <v>4.9992918850021245E-2</v>
      </c>
      <c r="AE246" s="79">
        <f>_xlfn.XLOOKUP(tblTarget[[#This Row],[ID]],tblResponse[ID],tblResponse[2024 Projected reached (Dec 2024)])</f>
        <v>0</v>
      </c>
      <c r="AF246" s="79">
        <f>_xlfn.XLOOKUP(tblTarget[[#This Row],[ID]],tblResponse[ID],tblResponse[2024 Intercluster reached -August RPM])</f>
        <v>70776.122166982372</v>
      </c>
      <c r="AG246" s="79">
        <v>2</v>
      </c>
      <c r="AH246" s="79"/>
      <c r="AI246" s="79"/>
      <c r="AJ246" s="70" t="str">
        <f>IF(tblTarget[[#This Row],[Target to PiN (%)]]&gt;Targ_vs_PiN,"Flagged","")</f>
        <v/>
      </c>
      <c r="AK246" s="69" t="str">
        <f>IF(AND(tblTarget[[#This Row],[Qualifies for exception]]="Flagged",tblTarget[[#This Row],[Target to PiN (%)]]&gt;Targ_severity5),"Flagged","")</f>
        <v/>
      </c>
      <c r="AL246" s="68" t="str">
        <f>IFERROR(IF(AND(tblTarget[[#This Row],[Intercluser Severity]]=4,tblTarget[[#This Row],[Qualifies for exception]]="Flagged",(tblTarget[[#This Row],[Cluster Target]]-tblTarget[[#This Row],[2024 Response capacity up to December]])/tblTarget[[#This Row],[Cluster Target]]&gt;Diff_severity4),"Flagged",""),"No target")</f>
        <v/>
      </c>
      <c r="AM246" s="68" t="str">
        <f>IFERROR(IF(AND(tblTarget[[#This Row],[Intercluser Severity]]=3,tblTarget[[#This Row],[Qualifies for exception]]="Flagged",(tblTarget[[#This Row],[Cluster Target]]-tblTarget[[#This Row],[2024 Response capacity up to December]])/tblTarget[[#This Row],[Cluster Target]]&gt;Diff_severity3),"Flagged",""),"No target")</f>
        <v/>
      </c>
      <c r="AN246" s="81" t="s">
        <v>1099</v>
      </c>
      <c r="AO246" s="81"/>
      <c r="AP246" s="81" t="s">
        <v>15</v>
      </c>
      <c r="AQ246" s="81" t="s">
        <v>1098</v>
      </c>
    </row>
    <row r="247" spans="1:43" ht="15.95" customHeight="1" x14ac:dyDescent="0.2">
      <c r="A247" s="62" t="s">
        <v>684</v>
      </c>
      <c r="B247" s="63" t="s">
        <v>122</v>
      </c>
      <c r="C247" s="64" t="s">
        <v>123</v>
      </c>
      <c r="D247" s="63" t="s">
        <v>138</v>
      </c>
      <c r="E247" s="64" t="s">
        <v>139</v>
      </c>
      <c r="F247" s="65">
        <v>26225</v>
      </c>
      <c r="G247" s="66" t="s">
        <v>436</v>
      </c>
      <c r="H247" s="67">
        <v>11006</v>
      </c>
      <c r="I247" s="68">
        <v>3</v>
      </c>
      <c r="J247" s="68">
        <v>4</v>
      </c>
      <c r="K247" s="91">
        <v>2201</v>
      </c>
      <c r="L247" s="91">
        <v>1089.6743322195882</v>
      </c>
      <c r="M247" s="91">
        <v>1111.3256677804118</v>
      </c>
      <c r="N247" s="91">
        <v>1210.5500000000002</v>
      </c>
      <c r="O247" s="91">
        <v>858.39</v>
      </c>
      <c r="P247" s="91">
        <v>132.06</v>
      </c>
      <c r="Q247" s="85">
        <v>330.15</v>
      </c>
      <c r="R247" s="68" t="s">
        <v>15</v>
      </c>
      <c r="S247" s="86">
        <v>317</v>
      </c>
      <c r="T247" s="68">
        <v>79</v>
      </c>
      <c r="U247" s="68">
        <v>15</v>
      </c>
      <c r="V247" s="68">
        <v>20</v>
      </c>
      <c r="W247" s="68">
        <v>22</v>
      </c>
      <c r="X247" s="68">
        <v>44</v>
      </c>
      <c r="Y247" s="68">
        <v>66</v>
      </c>
      <c r="Z247" s="68">
        <v>44</v>
      </c>
      <c r="AA247" s="68">
        <v>0</v>
      </c>
      <c r="AB247" s="69">
        <v>6</v>
      </c>
      <c r="AC247" s="69">
        <v>0</v>
      </c>
      <c r="AD247" s="70">
        <f>IFERROR(tblTarget[[#This Row],[Cluster Target]]/tblTarget[[#This Row],[Cluster PiN]],0)</f>
        <v>0.19998182809376702</v>
      </c>
      <c r="AE247" s="79">
        <f>_xlfn.XLOOKUP(tblTarget[[#This Row],[ID]],tblResponse[ID],tblResponse[2024 Projected reached (Dec 2024)])</f>
        <v>0</v>
      </c>
      <c r="AF247" s="79">
        <f>_xlfn.XLOOKUP(tblTarget[[#This Row],[ID]],tblResponse[ID],tblResponse[2024 Intercluster reached -August RPM])</f>
        <v>9103.8000996477458</v>
      </c>
      <c r="AG247" s="79">
        <v>5</v>
      </c>
      <c r="AH247" s="79"/>
      <c r="AI247" s="79"/>
      <c r="AJ247" s="70" t="str">
        <f>IF(tblTarget[[#This Row],[Target to PiN (%)]]&gt;Targ_vs_PiN,"Flagged","")</f>
        <v/>
      </c>
      <c r="AK247" s="69" t="str">
        <f>IF(AND(tblTarget[[#This Row],[Qualifies for exception]]="Flagged",tblTarget[[#This Row],[Target to PiN (%)]]&gt;Targ_severity5),"Flagged","")</f>
        <v/>
      </c>
      <c r="AL247" s="68" t="str">
        <f>IFERROR(IF(AND(tblTarget[[#This Row],[Intercluser Severity]]=4,tblTarget[[#This Row],[Qualifies for exception]]="Flagged",(tblTarget[[#This Row],[Cluster Target]]-tblTarget[[#This Row],[2024 Response capacity up to December]])/tblTarget[[#This Row],[Cluster Target]]&gt;Diff_severity4),"Flagged",""),"No target")</f>
        <v/>
      </c>
      <c r="AM247" s="68" t="str">
        <f>IFERROR(IF(AND(tblTarget[[#This Row],[Intercluser Severity]]=3,tblTarget[[#This Row],[Qualifies for exception]]="Flagged",(tblTarget[[#This Row],[Cluster Target]]-tblTarget[[#This Row],[2024 Response capacity up to December]])/tblTarget[[#This Row],[Cluster Target]]&gt;Diff_severity3),"Flagged",""),"No target")</f>
        <v/>
      </c>
      <c r="AN247" s="81" t="s">
        <v>15</v>
      </c>
      <c r="AO247" s="81"/>
      <c r="AP247" s="81" t="s">
        <v>1099</v>
      </c>
      <c r="AQ247" s="81" t="s">
        <v>1098</v>
      </c>
    </row>
    <row r="248" spans="1:43" ht="15.95" customHeight="1" x14ac:dyDescent="0.2">
      <c r="A248" s="62" t="s">
        <v>685</v>
      </c>
      <c r="B248" s="63" t="s">
        <v>140</v>
      </c>
      <c r="C248" s="64" t="s">
        <v>141</v>
      </c>
      <c r="D248" s="63" t="s">
        <v>142</v>
      </c>
      <c r="E248" s="64" t="s">
        <v>143</v>
      </c>
      <c r="F248" s="65">
        <v>53737</v>
      </c>
      <c r="G248" s="66" t="s">
        <v>436</v>
      </c>
      <c r="H248" s="71">
        <v>22938</v>
      </c>
      <c r="I248" s="68">
        <v>3</v>
      </c>
      <c r="J248" s="68">
        <v>3</v>
      </c>
      <c r="K248" s="91">
        <v>2294</v>
      </c>
      <c r="L248" s="91">
        <v>1119.5868019463401</v>
      </c>
      <c r="M248" s="91">
        <v>1174.4131980536599</v>
      </c>
      <c r="N248" s="91">
        <v>1261.7</v>
      </c>
      <c r="O248" s="91">
        <v>894.66000000000008</v>
      </c>
      <c r="P248" s="91">
        <v>137.63999999999999</v>
      </c>
      <c r="Q248" s="85">
        <v>344.09999999999997</v>
      </c>
      <c r="R248" s="68" t="s">
        <v>436</v>
      </c>
      <c r="S248" s="86">
        <v>330</v>
      </c>
      <c r="T248" s="68">
        <v>83</v>
      </c>
      <c r="U248" s="68">
        <v>15</v>
      </c>
      <c r="V248" s="68">
        <v>21</v>
      </c>
      <c r="W248" s="68">
        <v>23</v>
      </c>
      <c r="X248" s="68">
        <v>46</v>
      </c>
      <c r="Y248" s="68">
        <v>69</v>
      </c>
      <c r="Z248" s="68">
        <v>46</v>
      </c>
      <c r="AA248" s="68">
        <v>0</v>
      </c>
      <c r="AB248" s="69">
        <v>6</v>
      </c>
      <c r="AC248" s="69">
        <v>0</v>
      </c>
      <c r="AD248" s="70">
        <f>IFERROR(tblTarget[[#This Row],[Cluster Target]]/tblTarget[[#This Row],[Cluster PiN]],0)</f>
        <v>0.10000871915598571</v>
      </c>
      <c r="AE248" s="79">
        <f>_xlfn.XLOOKUP(tblTarget[[#This Row],[ID]],tblResponse[ID],tblResponse[2024 Projected reached (Dec 2024)])</f>
        <v>6000</v>
      </c>
      <c r="AF248" s="79">
        <f>_xlfn.XLOOKUP(tblTarget[[#This Row],[ID]],tblResponse[ID],tblResponse[2024 Intercluster reached -August RPM])</f>
        <v>7927.6427960871097</v>
      </c>
      <c r="AG248" s="79">
        <v>2</v>
      </c>
      <c r="AH248" s="79"/>
      <c r="AI248" s="79"/>
      <c r="AJ248" s="70" t="str">
        <f>IF(tblTarget[[#This Row],[Target to PiN (%)]]&gt;Targ_vs_PiN,"Flagged","")</f>
        <v/>
      </c>
      <c r="AK248" s="69" t="str">
        <f>IF(AND(tblTarget[[#This Row],[Qualifies for exception]]="Flagged",tblTarget[[#This Row],[Target to PiN (%)]]&gt;Targ_severity5),"Flagged","")</f>
        <v/>
      </c>
      <c r="AL248" s="68" t="str">
        <f>IFERROR(IF(AND(tblTarget[[#This Row],[Intercluser Severity]]=4,tblTarget[[#This Row],[Qualifies for exception]]="Flagged",(tblTarget[[#This Row],[Cluster Target]]-tblTarget[[#This Row],[2024 Response capacity up to December]])/tblTarget[[#This Row],[Cluster Target]]&gt;Diff_severity4),"Flagged",""),"No target")</f>
        <v/>
      </c>
      <c r="AM248" s="68" t="str">
        <f>IFERROR(IF(AND(tblTarget[[#This Row],[Intercluser Severity]]=3,tblTarget[[#This Row],[Qualifies for exception]]="Flagged",(tblTarget[[#This Row],[Cluster Target]]-tblTarget[[#This Row],[2024 Response capacity up to December]])/tblTarget[[#This Row],[Cluster Target]]&gt;Diff_severity3),"Flagged",""),"No target")</f>
        <v/>
      </c>
      <c r="AN248" s="81" t="s">
        <v>1099</v>
      </c>
      <c r="AO248" s="81"/>
      <c r="AP248" s="81" t="s">
        <v>1099</v>
      </c>
      <c r="AQ248" s="81" t="s">
        <v>1107</v>
      </c>
    </row>
    <row r="249" spans="1:43" ht="15.95" customHeight="1" x14ac:dyDescent="0.2">
      <c r="A249" s="62" t="s">
        <v>686</v>
      </c>
      <c r="B249" s="63" t="s">
        <v>140</v>
      </c>
      <c r="C249" s="64" t="s">
        <v>141</v>
      </c>
      <c r="D249" s="63" t="s">
        <v>144</v>
      </c>
      <c r="E249" s="64" t="s">
        <v>145</v>
      </c>
      <c r="F249" s="65">
        <v>43875</v>
      </c>
      <c r="G249" s="66" t="s">
        <v>436</v>
      </c>
      <c r="H249" s="71">
        <v>39330</v>
      </c>
      <c r="I249" s="68">
        <v>3</v>
      </c>
      <c r="J249" s="68">
        <v>3</v>
      </c>
      <c r="K249" s="91">
        <v>0</v>
      </c>
      <c r="L249" s="91">
        <v>0</v>
      </c>
      <c r="M249" s="91">
        <v>0</v>
      </c>
      <c r="N249" s="91">
        <v>0</v>
      </c>
      <c r="O249" s="91">
        <v>0</v>
      </c>
      <c r="P249" s="91">
        <v>0</v>
      </c>
      <c r="Q249" s="85">
        <v>0</v>
      </c>
      <c r="R249" s="68" t="s">
        <v>436</v>
      </c>
      <c r="S249" s="86">
        <v>0</v>
      </c>
      <c r="T249" s="68">
        <v>0</v>
      </c>
      <c r="U249" s="68">
        <v>0</v>
      </c>
      <c r="V249" s="68">
        <v>0</v>
      </c>
      <c r="W249" s="68">
        <v>0</v>
      </c>
      <c r="X249" s="68">
        <v>0</v>
      </c>
      <c r="Y249" s="68">
        <v>0</v>
      </c>
      <c r="Z249" s="68">
        <v>0</v>
      </c>
      <c r="AA249" s="68">
        <v>0</v>
      </c>
      <c r="AB249" s="69">
        <v>0</v>
      </c>
      <c r="AC249" s="69">
        <v>0</v>
      </c>
      <c r="AD249" s="70">
        <f>IFERROR(tblTarget[[#This Row],[Cluster Target]]/tblTarget[[#This Row],[Cluster PiN]],0)</f>
        <v>0</v>
      </c>
      <c r="AE249" s="79">
        <f>_xlfn.XLOOKUP(tblTarget[[#This Row],[ID]],tblResponse[ID],tblResponse[2024 Projected reached (Dec 2024)])</f>
        <v>0</v>
      </c>
      <c r="AF249" s="79">
        <f>_xlfn.XLOOKUP(tblTarget[[#This Row],[ID]],tblResponse[ID],tblResponse[2024 Intercluster reached -August RPM])</f>
        <v>1539.8525474286591</v>
      </c>
      <c r="AG249" s="79">
        <v>1</v>
      </c>
      <c r="AH249" s="79"/>
      <c r="AI249" s="79"/>
      <c r="AJ249" s="70" t="str">
        <f>IF(tblTarget[[#This Row],[Target to PiN (%)]]&gt;Targ_vs_PiN,"Flagged","")</f>
        <v/>
      </c>
      <c r="AK249" s="69" t="str">
        <f>IF(AND(tblTarget[[#This Row],[Qualifies for exception]]="Flagged",tblTarget[[#This Row],[Target to PiN (%)]]&gt;Targ_severity5),"Flagged","")</f>
        <v/>
      </c>
      <c r="AL249" s="68" t="str">
        <f>IFERROR(IF(AND(tblTarget[[#This Row],[Intercluser Severity]]=4,tblTarget[[#This Row],[Qualifies for exception]]="Flagged",(tblTarget[[#This Row],[Cluster Target]]-tblTarget[[#This Row],[2024 Response capacity up to December]])/tblTarget[[#This Row],[Cluster Target]]&gt;Diff_severity4),"Flagged",""),"No target")</f>
        <v>No target</v>
      </c>
      <c r="AM249" s="68" t="str">
        <f>IFERROR(IF(AND(tblTarget[[#This Row],[Intercluser Severity]]=3,tblTarget[[#This Row],[Qualifies for exception]]="Flagged",(tblTarget[[#This Row],[Cluster Target]]-tblTarget[[#This Row],[2024 Response capacity up to December]])/tblTarget[[#This Row],[Cluster Target]]&gt;Diff_severity3),"Flagged",""),"No target")</f>
        <v>No target</v>
      </c>
      <c r="AN249" s="81" t="s">
        <v>1099</v>
      </c>
      <c r="AO249" s="81"/>
      <c r="AP249" s="81" t="s">
        <v>1099</v>
      </c>
      <c r="AQ249" s="81" t="s">
        <v>1107</v>
      </c>
    </row>
    <row r="250" spans="1:43" ht="15.95" customHeight="1" x14ac:dyDescent="0.2">
      <c r="A250" s="62" t="s">
        <v>687</v>
      </c>
      <c r="B250" s="63" t="s">
        <v>140</v>
      </c>
      <c r="C250" s="64" t="s">
        <v>141</v>
      </c>
      <c r="D250" s="63" t="s">
        <v>146</v>
      </c>
      <c r="E250" s="64" t="s">
        <v>147</v>
      </c>
      <c r="F250" s="65">
        <v>200270</v>
      </c>
      <c r="G250" s="66" t="s">
        <v>436</v>
      </c>
      <c r="H250" s="71">
        <v>136782</v>
      </c>
      <c r="I250" s="68">
        <v>3</v>
      </c>
      <c r="J250" s="68">
        <v>3</v>
      </c>
      <c r="K250" s="91">
        <v>54713</v>
      </c>
      <c r="L250" s="91">
        <v>27591.994889851725</v>
      </c>
      <c r="M250" s="91">
        <v>27121.005110148275</v>
      </c>
      <c r="N250" s="91">
        <v>30092.15</v>
      </c>
      <c r="O250" s="91">
        <v>21338.07</v>
      </c>
      <c r="P250" s="91">
        <v>3282.7799999999997</v>
      </c>
      <c r="Q250" s="85">
        <v>8206.9499999999989</v>
      </c>
      <c r="R250" s="68" t="s">
        <v>436</v>
      </c>
      <c r="S250" s="86">
        <v>7879</v>
      </c>
      <c r="T250" s="68">
        <v>1970</v>
      </c>
      <c r="U250" s="68">
        <v>369</v>
      </c>
      <c r="V250" s="68">
        <v>492</v>
      </c>
      <c r="W250" s="68">
        <v>547</v>
      </c>
      <c r="X250" s="68">
        <v>1094</v>
      </c>
      <c r="Y250" s="68">
        <v>1641</v>
      </c>
      <c r="Z250" s="68">
        <v>1094</v>
      </c>
      <c r="AA250" s="68">
        <v>0</v>
      </c>
      <c r="AB250" s="69">
        <v>160</v>
      </c>
      <c r="AC250" s="69">
        <v>339.02574779435668</v>
      </c>
      <c r="AD250" s="70">
        <f>IFERROR(tblTarget[[#This Row],[Cluster Target]]/tblTarget[[#This Row],[Cluster PiN]],0)</f>
        <v>0.40000146218069627</v>
      </c>
      <c r="AE250" s="79">
        <f>_xlfn.XLOOKUP(tblTarget[[#This Row],[ID]],tblResponse[ID],tblResponse[2024 Projected reached (Dec 2024)])</f>
        <v>20985</v>
      </c>
      <c r="AF250" s="79">
        <f>_xlfn.XLOOKUP(tblTarget[[#This Row],[ID]],tblResponse[ID],tblResponse[2024 Intercluster reached -August RPM])</f>
        <v>30210.685147234944</v>
      </c>
      <c r="AG250" s="79">
        <v>4</v>
      </c>
      <c r="AH250" s="79"/>
      <c r="AI250" s="79"/>
      <c r="AJ250" s="70" t="str">
        <f>IF(tblTarget[[#This Row],[Target to PiN (%)]]&gt;Targ_vs_PiN,"Flagged","")</f>
        <v/>
      </c>
      <c r="AK250" s="69" t="str">
        <f>IF(AND(tblTarget[[#This Row],[Qualifies for exception]]="Flagged",tblTarget[[#This Row],[Target to PiN (%)]]&gt;Targ_severity5),"Flagged","")</f>
        <v/>
      </c>
      <c r="AL250" s="68" t="str">
        <f>IFERROR(IF(AND(tblTarget[[#This Row],[Intercluser Severity]]=4,tblTarget[[#This Row],[Qualifies for exception]]="Flagged",(tblTarget[[#This Row],[Cluster Target]]-tblTarget[[#This Row],[2024 Response capacity up to December]])/tblTarget[[#This Row],[Cluster Target]]&gt;Diff_severity4),"Flagged",""),"No target")</f>
        <v/>
      </c>
      <c r="AM250" s="68" t="str">
        <f>IFERROR(IF(AND(tblTarget[[#This Row],[Intercluser Severity]]=3,tblTarget[[#This Row],[Qualifies for exception]]="Flagged",(tblTarget[[#This Row],[Cluster Target]]-tblTarget[[#This Row],[2024 Response capacity up to December]])/tblTarget[[#This Row],[Cluster Target]]&gt;Diff_severity3),"Flagged",""),"No target")</f>
        <v>Flagged</v>
      </c>
      <c r="AN250" s="81" t="s">
        <v>1099</v>
      </c>
      <c r="AO250" s="81"/>
      <c r="AP250" s="81" t="s">
        <v>1099</v>
      </c>
      <c r="AQ250" s="81" t="s">
        <v>1107</v>
      </c>
    </row>
    <row r="251" spans="1:43" ht="15.95" customHeight="1" x14ac:dyDescent="0.2">
      <c r="A251" s="62" t="s">
        <v>688</v>
      </c>
      <c r="B251" s="63" t="s">
        <v>140</v>
      </c>
      <c r="C251" s="64" t="s">
        <v>141</v>
      </c>
      <c r="D251" s="63" t="s">
        <v>148</v>
      </c>
      <c r="E251" s="64" t="s">
        <v>149</v>
      </c>
      <c r="F251" s="65">
        <v>192090</v>
      </c>
      <c r="G251" s="66" t="s">
        <v>436</v>
      </c>
      <c r="H251" s="71">
        <v>137785</v>
      </c>
      <c r="I251" s="68">
        <v>3</v>
      </c>
      <c r="J251" s="68">
        <v>5</v>
      </c>
      <c r="K251" s="91">
        <v>8266.7999999999993</v>
      </c>
      <c r="L251" s="91">
        <v>4209.1564620890131</v>
      </c>
      <c r="M251" s="91">
        <v>4057.6435379109862</v>
      </c>
      <c r="N251" s="91">
        <v>4546.74</v>
      </c>
      <c r="O251" s="91">
        <v>3224.0519999999997</v>
      </c>
      <c r="P251" s="91">
        <v>496.00799999999992</v>
      </c>
      <c r="Q251" s="85">
        <v>1240.0199999999998</v>
      </c>
      <c r="R251" s="68" t="s">
        <v>15</v>
      </c>
      <c r="S251" s="86">
        <v>1190</v>
      </c>
      <c r="T251" s="68">
        <v>298</v>
      </c>
      <c r="U251" s="68">
        <v>56</v>
      </c>
      <c r="V251" s="68">
        <v>74</v>
      </c>
      <c r="W251" s="68">
        <v>83</v>
      </c>
      <c r="X251" s="68">
        <v>165</v>
      </c>
      <c r="Y251" s="68">
        <v>248</v>
      </c>
      <c r="Z251" s="68">
        <v>165</v>
      </c>
      <c r="AA251" s="68">
        <v>0</v>
      </c>
      <c r="AB251" s="69">
        <v>24</v>
      </c>
      <c r="AC251" s="69">
        <v>37.669527532706297</v>
      </c>
      <c r="AD251" s="70">
        <f>IFERROR(tblTarget[[#This Row],[Cluster Target]]/tblTarget[[#This Row],[Cluster PiN]],0)</f>
        <v>5.9997822694778088E-2</v>
      </c>
      <c r="AE251" s="79">
        <f>_xlfn.XLOOKUP(tblTarget[[#This Row],[ID]],tblResponse[ID],tblResponse[2024 Projected reached (Dec 2024)])</f>
        <v>0</v>
      </c>
      <c r="AF251" s="79">
        <f>_xlfn.XLOOKUP(tblTarget[[#This Row],[ID]],tblResponse[ID],tblResponse[2024 Intercluster reached -August RPM])</f>
        <v>8307.8955942285575</v>
      </c>
      <c r="AG251" s="79">
        <v>1</v>
      </c>
      <c r="AH251" s="79"/>
      <c r="AI251" s="79"/>
      <c r="AJ251" s="70" t="str">
        <f>IF(tblTarget[[#This Row],[Target to PiN (%)]]&gt;Targ_vs_PiN,"Flagged","")</f>
        <v/>
      </c>
      <c r="AK251" s="69" t="str">
        <f>IF(AND(tblTarget[[#This Row],[Qualifies for exception]]="Flagged",tblTarget[[#This Row],[Target to PiN (%)]]&gt;Targ_severity5),"Flagged","")</f>
        <v/>
      </c>
      <c r="AL251" s="68" t="str">
        <f>IFERROR(IF(AND(tblTarget[[#This Row],[Intercluser Severity]]=4,tblTarget[[#This Row],[Qualifies for exception]]="Flagged",(tblTarget[[#This Row],[Cluster Target]]-tblTarget[[#This Row],[2024 Response capacity up to December]])/tblTarget[[#This Row],[Cluster Target]]&gt;Diff_severity4),"Flagged",""),"No target")</f>
        <v/>
      </c>
      <c r="AM251" s="68" t="str">
        <f>IFERROR(IF(AND(tblTarget[[#This Row],[Intercluser Severity]]=3,tblTarget[[#This Row],[Qualifies for exception]]="Flagged",(tblTarget[[#This Row],[Cluster Target]]-tblTarget[[#This Row],[2024 Response capacity up to December]])/tblTarget[[#This Row],[Cluster Target]]&gt;Diff_severity3),"Flagged",""),"No target")</f>
        <v/>
      </c>
      <c r="AN251" s="81" t="s">
        <v>1099</v>
      </c>
      <c r="AO251" s="81"/>
      <c r="AP251" s="81" t="s">
        <v>1099</v>
      </c>
      <c r="AQ251" s="81" t="s">
        <v>1098</v>
      </c>
    </row>
    <row r="252" spans="1:43" ht="15.95" customHeight="1" x14ac:dyDescent="0.2">
      <c r="A252" s="62" t="s">
        <v>689</v>
      </c>
      <c r="B252" s="63" t="s">
        <v>140</v>
      </c>
      <c r="C252" s="64" t="s">
        <v>141</v>
      </c>
      <c r="D252" s="63" t="s">
        <v>150</v>
      </c>
      <c r="E252" s="64" t="s">
        <v>151</v>
      </c>
      <c r="F252" s="65">
        <v>59700</v>
      </c>
      <c r="G252" s="66" t="s">
        <v>436</v>
      </c>
      <c r="H252" s="71">
        <v>30302</v>
      </c>
      <c r="I252" s="68">
        <v>3</v>
      </c>
      <c r="J252" s="68">
        <v>3</v>
      </c>
      <c r="K252" s="91">
        <v>3030</v>
      </c>
      <c r="L252" s="91">
        <v>1551.1231809797089</v>
      </c>
      <c r="M252" s="91">
        <v>1478.8768190202911</v>
      </c>
      <c r="N252" s="91">
        <v>1666.5000000000002</v>
      </c>
      <c r="O252" s="91">
        <v>1181.7</v>
      </c>
      <c r="P252" s="91">
        <v>181.79999999999998</v>
      </c>
      <c r="Q252" s="85">
        <v>454.5</v>
      </c>
      <c r="R252" s="68" t="s">
        <v>15</v>
      </c>
      <c r="S252" s="86">
        <v>436</v>
      </c>
      <c r="T252" s="68">
        <v>109</v>
      </c>
      <c r="U252" s="68">
        <v>20</v>
      </c>
      <c r="V252" s="68">
        <v>27</v>
      </c>
      <c r="W252" s="68">
        <v>30</v>
      </c>
      <c r="X252" s="68">
        <v>61</v>
      </c>
      <c r="Y252" s="68">
        <v>91</v>
      </c>
      <c r="Z252" s="68">
        <v>61</v>
      </c>
      <c r="AA252" s="68">
        <v>0</v>
      </c>
      <c r="AB252" s="69">
        <v>8</v>
      </c>
      <c r="AC252" s="69">
        <v>0</v>
      </c>
      <c r="AD252" s="70">
        <f>IFERROR(tblTarget[[#This Row],[Cluster Target]]/tblTarget[[#This Row],[Cluster PiN]],0)</f>
        <v>9.9993399775592365E-2</v>
      </c>
      <c r="AE252" s="79">
        <f>_xlfn.XLOOKUP(tblTarget[[#This Row],[ID]],tblResponse[ID],tblResponse[2024 Projected reached (Dec 2024)])</f>
        <v>0</v>
      </c>
      <c r="AF252" s="79">
        <f>_xlfn.XLOOKUP(tblTarget[[#This Row],[ID]],tblResponse[ID],tblResponse[2024 Intercluster reached -August RPM])</f>
        <v>4136.5338176198129</v>
      </c>
      <c r="AG252" s="79">
        <v>2</v>
      </c>
      <c r="AH252" s="79"/>
      <c r="AI252" s="79"/>
      <c r="AJ252" s="70" t="str">
        <f>IF(tblTarget[[#This Row],[Target to PiN (%)]]&gt;Targ_vs_PiN,"Flagged","")</f>
        <v/>
      </c>
      <c r="AK252" s="69" t="str">
        <f>IF(AND(tblTarget[[#This Row],[Qualifies for exception]]="Flagged",tblTarget[[#This Row],[Target to PiN (%)]]&gt;Targ_severity5),"Flagged","")</f>
        <v/>
      </c>
      <c r="AL252" s="68" t="str">
        <f>IFERROR(IF(AND(tblTarget[[#This Row],[Intercluser Severity]]=4,tblTarget[[#This Row],[Qualifies for exception]]="Flagged",(tblTarget[[#This Row],[Cluster Target]]-tblTarget[[#This Row],[2024 Response capacity up to December]])/tblTarget[[#This Row],[Cluster Target]]&gt;Diff_severity4),"Flagged",""),"No target")</f>
        <v/>
      </c>
      <c r="AM252" s="68" t="str">
        <f>IFERROR(IF(AND(tblTarget[[#This Row],[Intercluser Severity]]=3,tblTarget[[#This Row],[Qualifies for exception]]="Flagged",(tblTarget[[#This Row],[Cluster Target]]-tblTarget[[#This Row],[2024 Response capacity up to December]])/tblTarget[[#This Row],[Cluster Target]]&gt;Diff_severity3),"Flagged",""),"No target")</f>
        <v/>
      </c>
      <c r="AN252" s="81" t="s">
        <v>15</v>
      </c>
      <c r="AO252" s="81"/>
      <c r="AP252" s="81" t="s">
        <v>1099</v>
      </c>
      <c r="AQ252" s="81" t="s">
        <v>1098</v>
      </c>
    </row>
    <row r="253" spans="1:43" ht="15.95" customHeight="1" x14ac:dyDescent="0.2">
      <c r="A253" s="62" t="s">
        <v>690</v>
      </c>
      <c r="B253" s="63" t="s">
        <v>140</v>
      </c>
      <c r="C253" s="64" t="s">
        <v>141</v>
      </c>
      <c r="D253" s="63" t="s">
        <v>152</v>
      </c>
      <c r="E253" s="64" t="s">
        <v>153</v>
      </c>
      <c r="F253" s="65">
        <v>45046</v>
      </c>
      <c r="G253" s="66" t="s">
        <v>436</v>
      </c>
      <c r="H253" s="71">
        <v>32623</v>
      </c>
      <c r="I253" s="68">
        <v>3</v>
      </c>
      <c r="J253" s="68">
        <v>3</v>
      </c>
      <c r="K253" s="91">
        <v>0</v>
      </c>
      <c r="L253" s="91">
        <v>0</v>
      </c>
      <c r="M253" s="91">
        <v>0</v>
      </c>
      <c r="N253" s="91">
        <v>0</v>
      </c>
      <c r="O253" s="91">
        <v>0</v>
      </c>
      <c r="P253" s="91">
        <v>0</v>
      </c>
      <c r="Q253" s="85">
        <v>0</v>
      </c>
      <c r="R253" s="68" t="s">
        <v>436</v>
      </c>
      <c r="S253" s="86">
        <v>0</v>
      </c>
      <c r="T253" s="68">
        <v>0</v>
      </c>
      <c r="U253" s="68">
        <v>0</v>
      </c>
      <c r="V253" s="68">
        <v>0</v>
      </c>
      <c r="W253" s="68">
        <v>0</v>
      </c>
      <c r="X253" s="68">
        <v>0</v>
      </c>
      <c r="Y253" s="68">
        <v>0</v>
      </c>
      <c r="Z253" s="68">
        <v>0</v>
      </c>
      <c r="AA253" s="68">
        <v>0</v>
      </c>
      <c r="AB253" s="69">
        <v>0</v>
      </c>
      <c r="AC253" s="69">
        <v>0</v>
      </c>
      <c r="AD253" s="70">
        <f>IFERROR(tblTarget[[#This Row],[Cluster Target]]/tblTarget[[#This Row],[Cluster PiN]],0)</f>
        <v>0</v>
      </c>
      <c r="AE253" s="79">
        <f>_xlfn.XLOOKUP(tblTarget[[#This Row],[ID]],tblResponse[ID],tblResponse[2024 Projected reached (Dec 2024)])</f>
        <v>0</v>
      </c>
      <c r="AF253" s="79">
        <f>_xlfn.XLOOKUP(tblTarget[[#This Row],[ID]],tblResponse[ID],tblResponse[2024 Intercluster reached -August RPM])</f>
        <v>6615.3138823812233</v>
      </c>
      <c r="AG253" s="79">
        <v>1</v>
      </c>
      <c r="AH253" s="79"/>
      <c r="AI253" s="79"/>
      <c r="AJ253" s="70" t="str">
        <f>IF(tblTarget[[#This Row],[Target to PiN (%)]]&gt;Targ_vs_PiN,"Flagged","")</f>
        <v/>
      </c>
      <c r="AK253" s="69" t="str">
        <f>IF(AND(tblTarget[[#This Row],[Qualifies for exception]]="Flagged",tblTarget[[#This Row],[Target to PiN (%)]]&gt;Targ_severity5),"Flagged","")</f>
        <v/>
      </c>
      <c r="AL253" s="68" t="str">
        <f>IFERROR(IF(AND(tblTarget[[#This Row],[Intercluser Severity]]=4,tblTarget[[#This Row],[Qualifies for exception]]="Flagged",(tblTarget[[#This Row],[Cluster Target]]-tblTarget[[#This Row],[2024 Response capacity up to December]])/tblTarget[[#This Row],[Cluster Target]]&gt;Diff_severity4),"Flagged",""),"No target")</f>
        <v>No target</v>
      </c>
      <c r="AM253" s="68" t="str">
        <f>IFERROR(IF(AND(tblTarget[[#This Row],[Intercluser Severity]]=3,tblTarget[[#This Row],[Qualifies for exception]]="Flagged",(tblTarget[[#This Row],[Cluster Target]]-tblTarget[[#This Row],[2024 Response capacity up to December]])/tblTarget[[#This Row],[Cluster Target]]&gt;Diff_severity3),"Flagged",""),"No target")</f>
        <v>No target</v>
      </c>
      <c r="AN253" s="81" t="s">
        <v>1099</v>
      </c>
      <c r="AO253" s="81"/>
      <c r="AP253" s="81" t="s">
        <v>1099</v>
      </c>
      <c r="AQ253" s="81" t="s">
        <v>1107</v>
      </c>
    </row>
    <row r="254" spans="1:43" ht="15.95" customHeight="1" x14ac:dyDescent="0.2">
      <c r="A254" s="62" t="s">
        <v>691</v>
      </c>
      <c r="B254" s="63" t="s">
        <v>140</v>
      </c>
      <c r="C254" s="64" t="s">
        <v>141</v>
      </c>
      <c r="D254" s="63" t="s">
        <v>154</v>
      </c>
      <c r="E254" s="64" t="s">
        <v>155</v>
      </c>
      <c r="F254" s="65">
        <v>67220</v>
      </c>
      <c r="G254" s="66" t="s">
        <v>436</v>
      </c>
      <c r="H254" s="71">
        <v>50323</v>
      </c>
      <c r="I254" s="68">
        <v>3</v>
      </c>
      <c r="J254" s="68">
        <v>3</v>
      </c>
      <c r="K254" s="91">
        <v>0</v>
      </c>
      <c r="L254" s="91">
        <v>0</v>
      </c>
      <c r="M254" s="91">
        <v>0</v>
      </c>
      <c r="N254" s="91">
        <v>0</v>
      </c>
      <c r="O254" s="91">
        <v>0</v>
      </c>
      <c r="P254" s="91">
        <v>0</v>
      </c>
      <c r="Q254" s="85">
        <v>0</v>
      </c>
      <c r="R254" s="68" t="s">
        <v>436</v>
      </c>
      <c r="S254" s="86">
        <v>0</v>
      </c>
      <c r="T254" s="68">
        <v>0</v>
      </c>
      <c r="U254" s="68">
        <v>0</v>
      </c>
      <c r="V254" s="68">
        <v>0</v>
      </c>
      <c r="W254" s="68">
        <v>0</v>
      </c>
      <c r="X254" s="68">
        <v>0</v>
      </c>
      <c r="Y254" s="68">
        <v>0</v>
      </c>
      <c r="Z254" s="68">
        <v>0</v>
      </c>
      <c r="AA254" s="68">
        <v>0</v>
      </c>
      <c r="AB254" s="69">
        <v>0</v>
      </c>
      <c r="AC254" s="69">
        <v>0</v>
      </c>
      <c r="AD254" s="70">
        <f>IFERROR(tblTarget[[#This Row],[Cluster Target]]/tblTarget[[#This Row],[Cluster PiN]],0)</f>
        <v>0</v>
      </c>
      <c r="AE254" s="79">
        <f>_xlfn.XLOOKUP(tblTarget[[#This Row],[ID]],tblResponse[ID],tblResponse[2024 Projected reached (Dec 2024)])</f>
        <v>0</v>
      </c>
      <c r="AF254" s="79">
        <f>_xlfn.XLOOKUP(tblTarget[[#This Row],[ID]],tblResponse[ID],tblResponse[2024 Intercluster reached -August RPM])</f>
        <v>805.32518285062065</v>
      </c>
      <c r="AG254" s="79">
        <v>1</v>
      </c>
      <c r="AH254" s="79"/>
      <c r="AI254" s="79"/>
      <c r="AJ254" s="70" t="str">
        <f>IF(tblTarget[[#This Row],[Target to PiN (%)]]&gt;Targ_vs_PiN,"Flagged","")</f>
        <v/>
      </c>
      <c r="AK254" s="69" t="str">
        <f>IF(AND(tblTarget[[#This Row],[Qualifies for exception]]="Flagged",tblTarget[[#This Row],[Target to PiN (%)]]&gt;Targ_severity5),"Flagged","")</f>
        <v/>
      </c>
      <c r="AL254" s="68" t="str">
        <f>IFERROR(IF(AND(tblTarget[[#This Row],[Intercluser Severity]]=4,tblTarget[[#This Row],[Qualifies for exception]]="Flagged",(tblTarget[[#This Row],[Cluster Target]]-tblTarget[[#This Row],[2024 Response capacity up to December]])/tblTarget[[#This Row],[Cluster Target]]&gt;Diff_severity4),"Flagged",""),"No target")</f>
        <v>No target</v>
      </c>
      <c r="AM254" s="68" t="str">
        <f>IFERROR(IF(AND(tblTarget[[#This Row],[Intercluser Severity]]=3,tblTarget[[#This Row],[Qualifies for exception]]="Flagged",(tblTarget[[#This Row],[Cluster Target]]-tblTarget[[#This Row],[2024 Response capacity up to December]])/tblTarget[[#This Row],[Cluster Target]]&gt;Diff_severity3),"Flagged",""),"No target")</f>
        <v>No target</v>
      </c>
      <c r="AN254" s="81" t="s">
        <v>1099</v>
      </c>
      <c r="AO254" s="81"/>
      <c r="AP254" s="81" t="s">
        <v>1099</v>
      </c>
      <c r="AQ254" s="81" t="s">
        <v>1107</v>
      </c>
    </row>
    <row r="255" spans="1:43" ht="15.95" customHeight="1" x14ac:dyDescent="0.2">
      <c r="A255" s="62" t="s">
        <v>692</v>
      </c>
      <c r="B255" s="63" t="s">
        <v>140</v>
      </c>
      <c r="C255" s="64" t="s">
        <v>141</v>
      </c>
      <c r="D255" s="63" t="s">
        <v>156</v>
      </c>
      <c r="E255" s="64" t="s">
        <v>157</v>
      </c>
      <c r="F255" s="65">
        <v>25240</v>
      </c>
      <c r="G255" s="66" t="s">
        <v>436</v>
      </c>
      <c r="H255" s="71">
        <v>19833</v>
      </c>
      <c r="I255" s="68">
        <v>3</v>
      </c>
      <c r="J255" s="68">
        <v>3</v>
      </c>
      <c r="K255" s="91">
        <v>0</v>
      </c>
      <c r="L255" s="91">
        <v>0</v>
      </c>
      <c r="M255" s="91">
        <v>0</v>
      </c>
      <c r="N255" s="91">
        <v>0</v>
      </c>
      <c r="O255" s="91">
        <v>0</v>
      </c>
      <c r="P255" s="91">
        <v>0</v>
      </c>
      <c r="Q255" s="85">
        <v>0</v>
      </c>
      <c r="R255" s="68" t="s">
        <v>436</v>
      </c>
      <c r="S255" s="86">
        <v>0</v>
      </c>
      <c r="T255" s="68">
        <v>0</v>
      </c>
      <c r="U255" s="68">
        <v>0</v>
      </c>
      <c r="V255" s="68">
        <v>0</v>
      </c>
      <c r="W255" s="68">
        <v>0</v>
      </c>
      <c r="X255" s="68">
        <v>0</v>
      </c>
      <c r="Y255" s="68">
        <v>0</v>
      </c>
      <c r="Z255" s="68">
        <v>0</v>
      </c>
      <c r="AA255" s="68">
        <v>0</v>
      </c>
      <c r="AB255" s="69">
        <v>0</v>
      </c>
      <c r="AC255" s="69">
        <v>0</v>
      </c>
      <c r="AD255" s="70">
        <f>IFERROR(tblTarget[[#This Row],[Cluster Target]]/tblTarget[[#This Row],[Cluster PiN]],0)</f>
        <v>0</v>
      </c>
      <c r="AE255" s="79">
        <f>_xlfn.XLOOKUP(tblTarget[[#This Row],[ID]],tblResponse[ID],tblResponse[2024 Projected reached (Dec 2024)])</f>
        <v>0</v>
      </c>
      <c r="AF255" s="79">
        <f>_xlfn.XLOOKUP(tblTarget[[#This Row],[ID]],tblResponse[ID],tblResponse[2024 Intercluster reached -August RPM])</f>
        <v>1883.2790610654181</v>
      </c>
      <c r="AG255" s="79">
        <v>1</v>
      </c>
      <c r="AH255" s="79"/>
      <c r="AI255" s="79"/>
      <c r="AJ255" s="70" t="str">
        <f>IF(tblTarget[[#This Row],[Target to PiN (%)]]&gt;Targ_vs_PiN,"Flagged","")</f>
        <v/>
      </c>
      <c r="AK255" s="69" t="str">
        <f>IF(AND(tblTarget[[#This Row],[Qualifies for exception]]="Flagged",tblTarget[[#This Row],[Target to PiN (%)]]&gt;Targ_severity5),"Flagged","")</f>
        <v/>
      </c>
      <c r="AL255" s="68" t="str">
        <f>IFERROR(IF(AND(tblTarget[[#This Row],[Intercluser Severity]]=4,tblTarget[[#This Row],[Qualifies for exception]]="Flagged",(tblTarget[[#This Row],[Cluster Target]]-tblTarget[[#This Row],[2024 Response capacity up to December]])/tblTarget[[#This Row],[Cluster Target]]&gt;Diff_severity4),"Flagged",""),"No target")</f>
        <v>No target</v>
      </c>
      <c r="AM255" s="68" t="str">
        <f>IFERROR(IF(AND(tblTarget[[#This Row],[Intercluser Severity]]=3,tblTarget[[#This Row],[Qualifies for exception]]="Flagged",(tblTarget[[#This Row],[Cluster Target]]-tblTarget[[#This Row],[2024 Response capacity up to December]])/tblTarget[[#This Row],[Cluster Target]]&gt;Diff_severity3),"Flagged",""),"No target")</f>
        <v>No target</v>
      </c>
      <c r="AN255" s="81" t="s">
        <v>1099</v>
      </c>
      <c r="AO255" s="81"/>
      <c r="AP255" s="81" t="s">
        <v>1099</v>
      </c>
      <c r="AQ255" s="81" t="s">
        <v>1107</v>
      </c>
    </row>
    <row r="256" spans="1:43" ht="15.95" customHeight="1" x14ac:dyDescent="0.2">
      <c r="A256" s="62" t="s">
        <v>693</v>
      </c>
      <c r="B256" s="63" t="s">
        <v>140</v>
      </c>
      <c r="C256" s="64" t="s">
        <v>141</v>
      </c>
      <c r="D256" s="63" t="s">
        <v>158</v>
      </c>
      <c r="E256" s="64" t="s">
        <v>159</v>
      </c>
      <c r="F256" s="65">
        <v>79110</v>
      </c>
      <c r="G256" s="66" t="s">
        <v>436</v>
      </c>
      <c r="H256" s="71">
        <v>41734</v>
      </c>
      <c r="I256" s="68">
        <v>3</v>
      </c>
      <c r="J256" s="68">
        <v>4</v>
      </c>
      <c r="K256" s="91">
        <v>2087</v>
      </c>
      <c r="L256" s="91">
        <v>1036.440360203685</v>
      </c>
      <c r="M256" s="91">
        <v>1050.559639796315</v>
      </c>
      <c r="N256" s="91">
        <v>1147.8500000000001</v>
      </c>
      <c r="O256" s="91">
        <v>813.93000000000006</v>
      </c>
      <c r="P256" s="91">
        <v>125.22</v>
      </c>
      <c r="Q256" s="85">
        <v>313.05</v>
      </c>
      <c r="R256" s="68" t="s">
        <v>436</v>
      </c>
      <c r="S256" s="86">
        <v>301</v>
      </c>
      <c r="T256" s="68">
        <v>75</v>
      </c>
      <c r="U256" s="68">
        <v>14</v>
      </c>
      <c r="V256" s="68">
        <v>19</v>
      </c>
      <c r="W256" s="68">
        <v>21</v>
      </c>
      <c r="X256" s="68">
        <v>42</v>
      </c>
      <c r="Y256" s="68">
        <v>63</v>
      </c>
      <c r="Z256" s="68">
        <v>42</v>
      </c>
      <c r="AA256" s="68">
        <v>0</v>
      </c>
      <c r="AB256" s="69">
        <v>6</v>
      </c>
      <c r="AC256" s="69">
        <v>0</v>
      </c>
      <c r="AD256" s="70">
        <f>IFERROR(tblTarget[[#This Row],[Cluster Target]]/tblTarget[[#This Row],[Cluster PiN]],0)</f>
        <v>5.0007188383572147E-2</v>
      </c>
      <c r="AE256" s="79">
        <f>_xlfn.XLOOKUP(tblTarget[[#This Row],[ID]],tblResponse[ID],tblResponse[2024 Projected reached (Dec 2024)])</f>
        <v>0</v>
      </c>
      <c r="AF256" s="79">
        <f>_xlfn.XLOOKUP(tblTarget[[#This Row],[ID]],tblResponse[ID],tblResponse[2024 Intercluster reached -August RPM])</f>
        <v>13412.475386696458</v>
      </c>
      <c r="AG256" s="79">
        <v>1</v>
      </c>
      <c r="AH256" s="79"/>
      <c r="AI256" s="79"/>
      <c r="AJ256" s="70" t="str">
        <f>IF(tblTarget[[#This Row],[Target to PiN (%)]]&gt;Targ_vs_PiN,"Flagged","")</f>
        <v/>
      </c>
      <c r="AK256" s="69" t="str">
        <f>IF(AND(tblTarget[[#This Row],[Qualifies for exception]]="Flagged",tblTarget[[#This Row],[Target to PiN (%)]]&gt;Targ_severity5),"Flagged","")</f>
        <v/>
      </c>
      <c r="AL256" s="68" t="str">
        <f>IFERROR(IF(AND(tblTarget[[#This Row],[Intercluser Severity]]=4,tblTarget[[#This Row],[Qualifies for exception]]="Flagged",(tblTarget[[#This Row],[Cluster Target]]-tblTarget[[#This Row],[2024 Response capacity up to December]])/tblTarget[[#This Row],[Cluster Target]]&gt;Diff_severity4),"Flagged",""),"No target")</f>
        <v>Flagged</v>
      </c>
      <c r="AM256" s="68" t="str">
        <f>IFERROR(IF(AND(tblTarget[[#This Row],[Intercluser Severity]]=3,tblTarget[[#This Row],[Qualifies for exception]]="Flagged",(tblTarget[[#This Row],[Cluster Target]]-tblTarget[[#This Row],[2024 Response capacity up to December]])/tblTarget[[#This Row],[Cluster Target]]&gt;Diff_severity3),"Flagged",""),"No target")</f>
        <v/>
      </c>
      <c r="AN256" s="81" t="s">
        <v>1099</v>
      </c>
      <c r="AO256" s="81"/>
      <c r="AP256" s="81" t="s">
        <v>1099</v>
      </c>
      <c r="AQ256" s="81" t="s">
        <v>1107</v>
      </c>
    </row>
    <row r="257" spans="1:43" ht="15.95" customHeight="1" x14ac:dyDescent="0.2">
      <c r="A257" s="62" t="s">
        <v>694</v>
      </c>
      <c r="B257" s="63" t="s">
        <v>160</v>
      </c>
      <c r="C257" s="64" t="s">
        <v>161</v>
      </c>
      <c r="D257" s="63" t="s">
        <v>162</v>
      </c>
      <c r="E257" s="64" t="s">
        <v>163</v>
      </c>
      <c r="F257" s="65">
        <v>67400</v>
      </c>
      <c r="G257" s="66" t="s">
        <v>436</v>
      </c>
      <c r="H257" s="71">
        <v>57065</v>
      </c>
      <c r="I257" s="68">
        <v>3</v>
      </c>
      <c r="J257" s="68">
        <v>4</v>
      </c>
      <c r="K257" s="91">
        <v>2853</v>
      </c>
      <c r="L257" s="91">
        <v>1443.8134040111834</v>
      </c>
      <c r="M257" s="91">
        <v>1409.1865959888164</v>
      </c>
      <c r="N257" s="91">
        <v>1569.15</v>
      </c>
      <c r="O257" s="91">
        <v>1112.67</v>
      </c>
      <c r="P257" s="91">
        <v>171.18</v>
      </c>
      <c r="Q257" s="85">
        <v>427.95</v>
      </c>
      <c r="R257" s="68" t="s">
        <v>436</v>
      </c>
      <c r="S257" s="86">
        <v>411</v>
      </c>
      <c r="T257" s="68">
        <v>103</v>
      </c>
      <c r="U257" s="68">
        <v>19</v>
      </c>
      <c r="V257" s="68">
        <v>26</v>
      </c>
      <c r="W257" s="68">
        <v>29</v>
      </c>
      <c r="X257" s="68">
        <v>57</v>
      </c>
      <c r="Y257" s="68">
        <v>86</v>
      </c>
      <c r="Z257" s="68">
        <v>57</v>
      </c>
      <c r="AA257" s="68">
        <v>0</v>
      </c>
      <c r="AB257" s="69">
        <v>8</v>
      </c>
      <c r="AC257" s="69">
        <v>0</v>
      </c>
      <c r="AD257" s="70">
        <f>IFERROR(tblTarget[[#This Row],[Cluster Target]]/tblTarget[[#This Row],[Cluster PiN]],0)</f>
        <v>4.9995619030929639E-2</v>
      </c>
      <c r="AE257" s="79">
        <f>_xlfn.XLOOKUP(tblTarget[[#This Row],[ID]],tblResponse[ID],tblResponse[2024 Projected reached (Dec 2024)])</f>
        <v>0</v>
      </c>
      <c r="AF257" s="79">
        <f>_xlfn.XLOOKUP(tblTarget[[#This Row],[ID]],tblResponse[ID],tblResponse[2024 Intercluster reached -August RPM])</f>
        <v>18367.466240556161</v>
      </c>
      <c r="AG257" s="79">
        <v>1</v>
      </c>
      <c r="AH257" s="79"/>
      <c r="AI257" s="79"/>
      <c r="AJ257" s="70" t="str">
        <f>IF(tblTarget[[#This Row],[Target to PiN (%)]]&gt;Targ_vs_PiN,"Flagged","")</f>
        <v/>
      </c>
      <c r="AK257" s="69" t="str">
        <f>IF(AND(tblTarget[[#This Row],[Qualifies for exception]]="Flagged",tblTarget[[#This Row],[Target to PiN (%)]]&gt;Targ_severity5),"Flagged","")</f>
        <v/>
      </c>
      <c r="AL257" s="68" t="str">
        <f>IFERROR(IF(AND(tblTarget[[#This Row],[Intercluser Severity]]=4,tblTarget[[#This Row],[Qualifies for exception]]="Flagged",(tblTarget[[#This Row],[Cluster Target]]-tblTarget[[#This Row],[2024 Response capacity up to December]])/tblTarget[[#This Row],[Cluster Target]]&gt;Diff_severity4),"Flagged",""),"No target")</f>
        <v>Flagged</v>
      </c>
      <c r="AM257" s="68" t="str">
        <f>IFERROR(IF(AND(tblTarget[[#This Row],[Intercluser Severity]]=3,tblTarget[[#This Row],[Qualifies for exception]]="Flagged",(tblTarget[[#This Row],[Cluster Target]]-tblTarget[[#This Row],[2024 Response capacity up to December]])/tblTarget[[#This Row],[Cluster Target]]&gt;Diff_severity3),"Flagged",""),"No target")</f>
        <v/>
      </c>
      <c r="AN257" s="81" t="s">
        <v>1099</v>
      </c>
      <c r="AO257" s="81"/>
      <c r="AP257" s="81" t="s">
        <v>1099</v>
      </c>
      <c r="AQ257" s="81" t="s">
        <v>1107</v>
      </c>
    </row>
    <row r="258" spans="1:43" ht="15.95" customHeight="1" x14ac:dyDescent="0.2">
      <c r="A258" s="62" t="s">
        <v>695</v>
      </c>
      <c r="B258" s="63" t="s">
        <v>160</v>
      </c>
      <c r="C258" s="64" t="s">
        <v>161</v>
      </c>
      <c r="D258" s="63" t="s">
        <v>164</v>
      </c>
      <c r="E258" s="64" t="s">
        <v>165</v>
      </c>
      <c r="F258" s="65">
        <v>28525</v>
      </c>
      <c r="G258" s="66" t="s">
        <v>436</v>
      </c>
      <c r="H258" s="71">
        <v>17107</v>
      </c>
      <c r="I258" s="68">
        <v>3</v>
      </c>
      <c r="J258" s="68">
        <v>4</v>
      </c>
      <c r="K258" s="91">
        <v>855</v>
      </c>
      <c r="L258" s="91">
        <v>445.77974723223571</v>
      </c>
      <c r="M258" s="91">
        <v>409.22025276776429</v>
      </c>
      <c r="N258" s="91">
        <v>470.25000000000006</v>
      </c>
      <c r="O258" s="91">
        <v>333.45</v>
      </c>
      <c r="P258" s="91">
        <v>51.3</v>
      </c>
      <c r="Q258" s="85">
        <v>128.25</v>
      </c>
      <c r="R258" s="68" t="s">
        <v>436</v>
      </c>
      <c r="S258" s="86">
        <v>123</v>
      </c>
      <c r="T258" s="68">
        <v>31</v>
      </c>
      <c r="U258" s="68">
        <v>6</v>
      </c>
      <c r="V258" s="68">
        <v>8</v>
      </c>
      <c r="W258" s="68">
        <v>9</v>
      </c>
      <c r="X258" s="68">
        <v>17</v>
      </c>
      <c r="Y258" s="68">
        <v>26</v>
      </c>
      <c r="Z258" s="68">
        <v>17</v>
      </c>
      <c r="AA258" s="68">
        <v>0</v>
      </c>
      <c r="AB258" s="69">
        <v>2</v>
      </c>
      <c r="AC258" s="69">
        <v>0</v>
      </c>
      <c r="AD258" s="70">
        <f>IFERROR(tblTarget[[#This Row],[Cluster Target]]/tblTarget[[#This Row],[Cluster PiN]],0)</f>
        <v>4.9979540538960657E-2</v>
      </c>
      <c r="AE258" s="79">
        <f>_xlfn.XLOOKUP(tblTarget[[#This Row],[ID]],tblResponse[ID],tblResponse[2024 Projected reached (Dec 2024)])</f>
        <v>3335</v>
      </c>
      <c r="AF258" s="79">
        <f>_xlfn.XLOOKUP(tblTarget[[#This Row],[ID]],tblResponse[ID],tblResponse[2024 Intercluster reached -August RPM])</f>
        <v>12469.265743258511</v>
      </c>
      <c r="AG258" s="79">
        <v>2</v>
      </c>
      <c r="AH258" s="79"/>
      <c r="AI258" s="79"/>
      <c r="AJ258" s="70" t="str">
        <f>IF(tblTarget[[#This Row],[Target to PiN (%)]]&gt;Targ_vs_PiN,"Flagged","")</f>
        <v/>
      </c>
      <c r="AK258" s="69" t="str">
        <f>IF(AND(tblTarget[[#This Row],[Qualifies for exception]]="Flagged",tblTarget[[#This Row],[Target to PiN (%)]]&gt;Targ_severity5),"Flagged","")</f>
        <v/>
      </c>
      <c r="AL258" s="68" t="str">
        <f>IFERROR(IF(AND(tblTarget[[#This Row],[Intercluser Severity]]=4,tblTarget[[#This Row],[Qualifies for exception]]="Flagged",(tblTarget[[#This Row],[Cluster Target]]-tblTarget[[#This Row],[2024 Response capacity up to December]])/tblTarget[[#This Row],[Cluster Target]]&gt;Diff_severity4),"Flagged",""),"No target")</f>
        <v/>
      </c>
      <c r="AM258" s="68" t="str">
        <f>IFERROR(IF(AND(tblTarget[[#This Row],[Intercluser Severity]]=3,tblTarget[[#This Row],[Qualifies for exception]]="Flagged",(tblTarget[[#This Row],[Cluster Target]]-tblTarget[[#This Row],[2024 Response capacity up to December]])/tblTarget[[#This Row],[Cluster Target]]&gt;Diff_severity3),"Flagged",""),"No target")</f>
        <v/>
      </c>
      <c r="AN258" s="81" t="s">
        <v>1099</v>
      </c>
      <c r="AO258" s="81"/>
      <c r="AP258" s="81" t="s">
        <v>1099</v>
      </c>
      <c r="AQ258" s="81" t="s">
        <v>1107</v>
      </c>
    </row>
    <row r="259" spans="1:43" ht="15.95" customHeight="1" x14ac:dyDescent="0.2">
      <c r="A259" s="62" t="s">
        <v>696</v>
      </c>
      <c r="B259" s="63" t="s">
        <v>160</v>
      </c>
      <c r="C259" s="64" t="s">
        <v>161</v>
      </c>
      <c r="D259" s="63" t="s">
        <v>166</v>
      </c>
      <c r="E259" s="64" t="s">
        <v>167</v>
      </c>
      <c r="F259" s="65">
        <v>28750</v>
      </c>
      <c r="G259" s="66" t="s">
        <v>436</v>
      </c>
      <c r="H259" s="71">
        <v>6028</v>
      </c>
      <c r="I259" s="68">
        <v>3</v>
      </c>
      <c r="J259" s="68">
        <v>4</v>
      </c>
      <c r="K259" s="91">
        <v>2411</v>
      </c>
      <c r="L259" s="91">
        <v>1243.5900017901897</v>
      </c>
      <c r="M259" s="91">
        <v>1167.4099982098103</v>
      </c>
      <c r="N259" s="91">
        <v>1326.0500000000002</v>
      </c>
      <c r="O259" s="91">
        <v>940.29000000000008</v>
      </c>
      <c r="P259" s="91">
        <v>144.66</v>
      </c>
      <c r="Q259" s="85">
        <v>361.65</v>
      </c>
      <c r="R259" s="68" t="s">
        <v>15</v>
      </c>
      <c r="S259" s="86">
        <v>347</v>
      </c>
      <c r="T259" s="68">
        <v>87</v>
      </c>
      <c r="U259" s="68">
        <v>16</v>
      </c>
      <c r="V259" s="68">
        <v>22</v>
      </c>
      <c r="W259" s="68">
        <v>24</v>
      </c>
      <c r="X259" s="68">
        <v>48</v>
      </c>
      <c r="Y259" s="68">
        <v>72</v>
      </c>
      <c r="Z259" s="68">
        <v>48</v>
      </c>
      <c r="AA259" s="68">
        <v>0</v>
      </c>
      <c r="AB259" s="69">
        <v>8</v>
      </c>
      <c r="AC259" s="69">
        <v>0</v>
      </c>
      <c r="AD259" s="70">
        <f>IFERROR(tblTarget[[#This Row],[Cluster Target]]/tblTarget[[#This Row],[Cluster PiN]],0)</f>
        <v>0.39996682149966822</v>
      </c>
      <c r="AE259" s="79">
        <f>_xlfn.XLOOKUP(tblTarget[[#This Row],[ID]],tblResponse[ID],tblResponse[2024 Projected reached (Dec 2024)])</f>
        <v>995</v>
      </c>
      <c r="AF259" s="79">
        <f>_xlfn.XLOOKUP(tblTarget[[#This Row],[ID]],tblResponse[ID],tblResponse[2024 Intercluster reached -August RPM])</f>
        <v>3425.7008841571951</v>
      </c>
      <c r="AG259" s="79">
        <v>2</v>
      </c>
      <c r="AH259" s="79"/>
      <c r="AI259" s="79"/>
      <c r="AJ259" s="70" t="str">
        <f>IF(tblTarget[[#This Row],[Target to PiN (%)]]&gt;Targ_vs_PiN,"Flagged","")</f>
        <v/>
      </c>
      <c r="AK259" s="69" t="str">
        <f>IF(AND(tblTarget[[#This Row],[Qualifies for exception]]="Flagged",tblTarget[[#This Row],[Target to PiN (%)]]&gt;Targ_severity5),"Flagged","")</f>
        <v/>
      </c>
      <c r="AL259" s="68" t="str">
        <f>IFERROR(IF(AND(tblTarget[[#This Row],[Intercluser Severity]]=4,tblTarget[[#This Row],[Qualifies for exception]]="Flagged",(tblTarget[[#This Row],[Cluster Target]]-tblTarget[[#This Row],[2024 Response capacity up to December]])/tblTarget[[#This Row],[Cluster Target]]&gt;Diff_severity4),"Flagged",""),"No target")</f>
        <v/>
      </c>
      <c r="AM259" s="68" t="str">
        <f>IFERROR(IF(AND(tblTarget[[#This Row],[Intercluser Severity]]=3,tblTarget[[#This Row],[Qualifies for exception]]="Flagged",(tblTarget[[#This Row],[Cluster Target]]-tblTarget[[#This Row],[2024 Response capacity up to December]])/tblTarget[[#This Row],[Cluster Target]]&gt;Diff_severity3),"Flagged",""),"No target")</f>
        <v/>
      </c>
      <c r="AN259" s="81" t="s">
        <v>15</v>
      </c>
      <c r="AO259" s="81"/>
      <c r="AP259" s="81" t="s">
        <v>15</v>
      </c>
      <c r="AQ259" s="81" t="s">
        <v>1098</v>
      </c>
    </row>
    <row r="260" spans="1:43" ht="15.95" customHeight="1" x14ac:dyDescent="0.2">
      <c r="A260" s="62" t="s">
        <v>697</v>
      </c>
      <c r="B260" s="63" t="s">
        <v>160</v>
      </c>
      <c r="C260" s="64" t="s">
        <v>161</v>
      </c>
      <c r="D260" s="63" t="s">
        <v>168</v>
      </c>
      <c r="E260" s="64" t="s">
        <v>169</v>
      </c>
      <c r="F260" s="65">
        <v>82610</v>
      </c>
      <c r="G260" s="66" t="s">
        <v>436</v>
      </c>
      <c r="H260" s="71">
        <v>32889</v>
      </c>
      <c r="I260" s="68">
        <v>3</v>
      </c>
      <c r="J260" s="68">
        <v>4</v>
      </c>
      <c r="K260" s="91">
        <v>13156</v>
      </c>
      <c r="L260" s="91">
        <v>6611.9612394326959</v>
      </c>
      <c r="M260" s="91">
        <v>6544.0387605673041</v>
      </c>
      <c r="N260" s="91">
        <v>7235.8</v>
      </c>
      <c r="O260" s="91">
        <v>5130.84</v>
      </c>
      <c r="P260" s="91">
        <v>789.36</v>
      </c>
      <c r="Q260" s="85">
        <v>1973.3999999999999</v>
      </c>
      <c r="R260" s="68" t="s">
        <v>15</v>
      </c>
      <c r="S260" s="86">
        <v>1894</v>
      </c>
      <c r="T260" s="68">
        <v>474</v>
      </c>
      <c r="U260" s="68">
        <v>89</v>
      </c>
      <c r="V260" s="68">
        <v>118</v>
      </c>
      <c r="W260" s="68">
        <v>132</v>
      </c>
      <c r="X260" s="68">
        <v>263</v>
      </c>
      <c r="Y260" s="68">
        <v>395</v>
      </c>
      <c r="Z260" s="68">
        <v>263</v>
      </c>
      <c r="AA260" s="68">
        <v>0</v>
      </c>
      <c r="AB260" s="69">
        <v>38</v>
      </c>
      <c r="AC260" s="69">
        <v>75.339055065412595</v>
      </c>
      <c r="AD260" s="70">
        <f>IFERROR(tblTarget[[#This Row],[Cluster Target]]/tblTarget[[#This Row],[Cluster PiN]],0)</f>
        <v>0.40001216212107393</v>
      </c>
      <c r="AE260" s="79">
        <f>_xlfn.XLOOKUP(tblTarget[[#This Row],[ID]],tblResponse[ID],tblResponse[2024 Projected reached (Dec 2024)])</f>
        <v>6000</v>
      </c>
      <c r="AF260" s="79">
        <f>_xlfn.XLOOKUP(tblTarget[[#This Row],[ID]],tblResponse[ID],tblResponse[2024 Intercluster reached -August RPM])</f>
        <v>10820.076242610501</v>
      </c>
      <c r="AG260" s="79">
        <v>2</v>
      </c>
      <c r="AH260" s="79"/>
      <c r="AI260" s="79"/>
      <c r="AJ260" s="70" t="str">
        <f>IF(tblTarget[[#This Row],[Target to PiN (%)]]&gt;Targ_vs_PiN,"Flagged","")</f>
        <v/>
      </c>
      <c r="AK260" s="69" t="str">
        <f>IF(AND(tblTarget[[#This Row],[Qualifies for exception]]="Flagged",tblTarget[[#This Row],[Target to PiN (%)]]&gt;Targ_severity5),"Flagged","")</f>
        <v/>
      </c>
      <c r="AL260" s="68" t="str">
        <f>IFERROR(IF(AND(tblTarget[[#This Row],[Intercluser Severity]]=4,tblTarget[[#This Row],[Qualifies for exception]]="Flagged",(tblTarget[[#This Row],[Cluster Target]]-tblTarget[[#This Row],[2024 Response capacity up to December]])/tblTarget[[#This Row],[Cluster Target]]&gt;Diff_severity4),"Flagged",""),"No target")</f>
        <v/>
      </c>
      <c r="AM260" s="68" t="str">
        <f>IFERROR(IF(AND(tblTarget[[#This Row],[Intercluser Severity]]=3,tblTarget[[#This Row],[Qualifies for exception]]="Flagged",(tblTarget[[#This Row],[Cluster Target]]-tblTarget[[#This Row],[2024 Response capacity up to December]])/tblTarget[[#This Row],[Cluster Target]]&gt;Diff_severity3),"Flagged",""),"No target")</f>
        <v/>
      </c>
      <c r="AN260" s="81" t="s">
        <v>15</v>
      </c>
      <c r="AO260" s="81"/>
      <c r="AP260" s="81" t="s">
        <v>1099</v>
      </c>
      <c r="AQ260" s="81" t="s">
        <v>1098</v>
      </c>
    </row>
    <row r="261" spans="1:43" ht="15.95" customHeight="1" x14ac:dyDescent="0.2">
      <c r="A261" s="62" t="s">
        <v>698</v>
      </c>
      <c r="B261" s="63" t="s">
        <v>160</v>
      </c>
      <c r="C261" s="64" t="s">
        <v>161</v>
      </c>
      <c r="D261" s="63" t="s">
        <v>170</v>
      </c>
      <c r="E261" s="64" t="s">
        <v>171</v>
      </c>
      <c r="F261" s="65">
        <v>131357</v>
      </c>
      <c r="G261" s="66" t="s">
        <v>436</v>
      </c>
      <c r="H261" s="71">
        <v>70815</v>
      </c>
      <c r="I261" s="68">
        <v>3</v>
      </c>
      <c r="J261" s="68">
        <v>4</v>
      </c>
      <c r="K261" s="91">
        <v>14163</v>
      </c>
      <c r="L261" s="91">
        <v>7116.426505222199</v>
      </c>
      <c r="M261" s="91">
        <v>7046.573494777801</v>
      </c>
      <c r="N261" s="91">
        <v>7789.6500000000005</v>
      </c>
      <c r="O261" s="91">
        <v>5523.5700000000006</v>
      </c>
      <c r="P261" s="91">
        <v>849.78</v>
      </c>
      <c r="Q261" s="85">
        <v>2124.4499999999998</v>
      </c>
      <c r="R261" s="68" t="s">
        <v>15</v>
      </c>
      <c r="S261" s="86">
        <v>2039</v>
      </c>
      <c r="T261" s="68">
        <v>510</v>
      </c>
      <c r="U261" s="68">
        <v>96</v>
      </c>
      <c r="V261" s="68">
        <v>127</v>
      </c>
      <c r="W261" s="68">
        <v>142</v>
      </c>
      <c r="X261" s="68">
        <v>283</v>
      </c>
      <c r="Y261" s="68">
        <v>425</v>
      </c>
      <c r="Z261" s="68">
        <v>283</v>
      </c>
      <c r="AA261" s="68">
        <v>0</v>
      </c>
      <c r="AB261" s="69">
        <v>42</v>
      </c>
      <c r="AC261" s="69">
        <v>75.339055065412595</v>
      </c>
      <c r="AD261" s="70">
        <f>IFERROR(tblTarget[[#This Row],[Cluster Target]]/tblTarget[[#This Row],[Cluster PiN]],0)</f>
        <v>0.2</v>
      </c>
      <c r="AE261" s="79">
        <f>_xlfn.XLOOKUP(tblTarget[[#This Row],[ID]],tblResponse[ID],tblResponse[2024 Projected reached (Dec 2024)])</f>
        <v>265</v>
      </c>
      <c r="AF261" s="79">
        <f>_xlfn.XLOOKUP(tblTarget[[#This Row],[ID]],tblResponse[ID],tblResponse[2024 Intercluster reached -August RPM])</f>
        <v>8991.8938707652778</v>
      </c>
      <c r="AG261" s="79">
        <v>2</v>
      </c>
      <c r="AH261" s="79"/>
      <c r="AI261" s="79"/>
      <c r="AJ261" s="70" t="str">
        <f>IF(tblTarget[[#This Row],[Target to PiN (%)]]&gt;Targ_vs_PiN,"Flagged","")</f>
        <v/>
      </c>
      <c r="AK261" s="69" t="str">
        <f>IF(AND(tblTarget[[#This Row],[Qualifies for exception]]="Flagged",tblTarget[[#This Row],[Target to PiN (%)]]&gt;Targ_severity5),"Flagged","")</f>
        <v/>
      </c>
      <c r="AL261" s="68" t="str">
        <f>IFERROR(IF(AND(tblTarget[[#This Row],[Intercluser Severity]]=4,tblTarget[[#This Row],[Qualifies for exception]]="Flagged",(tblTarget[[#This Row],[Cluster Target]]-tblTarget[[#This Row],[2024 Response capacity up to December]])/tblTarget[[#This Row],[Cluster Target]]&gt;Diff_severity4),"Flagged",""),"No target")</f>
        <v/>
      </c>
      <c r="AM261" s="68" t="str">
        <f>IFERROR(IF(AND(tblTarget[[#This Row],[Intercluser Severity]]=3,tblTarget[[#This Row],[Qualifies for exception]]="Flagged",(tblTarget[[#This Row],[Cluster Target]]-tblTarget[[#This Row],[2024 Response capacity up to December]])/tblTarget[[#This Row],[Cluster Target]]&gt;Diff_severity3),"Flagged",""),"No target")</f>
        <v/>
      </c>
      <c r="AN261" s="81" t="s">
        <v>15</v>
      </c>
      <c r="AO261" s="81"/>
      <c r="AP261" s="81" t="s">
        <v>15</v>
      </c>
      <c r="AQ261" s="81" t="s">
        <v>1098</v>
      </c>
    </row>
    <row r="262" spans="1:43" ht="15.95" customHeight="1" x14ac:dyDescent="0.2">
      <c r="A262" s="62" t="s">
        <v>699</v>
      </c>
      <c r="B262" s="63" t="s">
        <v>160</v>
      </c>
      <c r="C262" s="64" t="s">
        <v>161</v>
      </c>
      <c r="D262" s="63" t="s">
        <v>172</v>
      </c>
      <c r="E262" s="64" t="s">
        <v>173</v>
      </c>
      <c r="F262" s="65">
        <v>62030</v>
      </c>
      <c r="G262" s="66" t="s">
        <v>436</v>
      </c>
      <c r="H262" s="71">
        <v>30304</v>
      </c>
      <c r="I262" s="68">
        <v>3</v>
      </c>
      <c r="J262" s="68">
        <v>4</v>
      </c>
      <c r="K262" s="91">
        <v>3030</v>
      </c>
      <c r="L262" s="91">
        <v>1590.5336473417849</v>
      </c>
      <c r="M262" s="91">
        <v>1439.4663526582151</v>
      </c>
      <c r="N262" s="91">
        <v>1666.5000000000002</v>
      </c>
      <c r="O262" s="91">
        <v>1181.7</v>
      </c>
      <c r="P262" s="91">
        <v>181.79999999999998</v>
      </c>
      <c r="Q262" s="85">
        <v>454.5</v>
      </c>
      <c r="R262" s="68" t="s">
        <v>15</v>
      </c>
      <c r="S262" s="86">
        <v>436</v>
      </c>
      <c r="T262" s="68">
        <v>109</v>
      </c>
      <c r="U262" s="68">
        <v>20</v>
      </c>
      <c r="V262" s="68">
        <v>27</v>
      </c>
      <c r="W262" s="68">
        <v>30</v>
      </c>
      <c r="X262" s="68">
        <v>61</v>
      </c>
      <c r="Y262" s="68">
        <v>91</v>
      </c>
      <c r="Z262" s="68">
        <v>61</v>
      </c>
      <c r="AA262" s="68">
        <v>0</v>
      </c>
      <c r="AB262" s="69">
        <v>8</v>
      </c>
      <c r="AC262" s="69">
        <v>0</v>
      </c>
      <c r="AD262" s="70">
        <f>IFERROR(tblTarget[[#This Row],[Cluster Target]]/tblTarget[[#This Row],[Cluster PiN]],0)</f>
        <v>9.9986800422386488E-2</v>
      </c>
      <c r="AE262" s="79">
        <f>_xlfn.XLOOKUP(tblTarget[[#This Row],[ID]],tblResponse[ID],tblResponse[2024 Projected reached (Dec 2024)])</f>
        <v>600</v>
      </c>
      <c r="AF262" s="79">
        <f>_xlfn.XLOOKUP(tblTarget[[#This Row],[ID]],tblResponse[ID],tblResponse[2024 Intercluster reached -August RPM])</f>
        <v>49986.685401327071</v>
      </c>
      <c r="AG262" s="79">
        <v>3</v>
      </c>
      <c r="AH262" s="79"/>
      <c r="AI262" s="79"/>
      <c r="AJ262" s="70" t="str">
        <f>IF(tblTarget[[#This Row],[Target to PiN (%)]]&gt;Targ_vs_PiN,"Flagged","")</f>
        <v/>
      </c>
      <c r="AK262" s="69" t="str">
        <f>IF(AND(tblTarget[[#This Row],[Qualifies for exception]]="Flagged",tblTarget[[#This Row],[Target to PiN (%)]]&gt;Targ_severity5),"Flagged","")</f>
        <v/>
      </c>
      <c r="AL262" s="68" t="str">
        <f>IFERROR(IF(AND(tblTarget[[#This Row],[Intercluser Severity]]=4,tblTarget[[#This Row],[Qualifies for exception]]="Flagged",(tblTarget[[#This Row],[Cluster Target]]-tblTarget[[#This Row],[2024 Response capacity up to December]])/tblTarget[[#This Row],[Cluster Target]]&gt;Diff_severity4),"Flagged",""),"No target")</f>
        <v/>
      </c>
      <c r="AM262" s="68" t="str">
        <f>IFERROR(IF(AND(tblTarget[[#This Row],[Intercluser Severity]]=3,tblTarget[[#This Row],[Qualifies for exception]]="Flagged",(tblTarget[[#This Row],[Cluster Target]]-tblTarget[[#This Row],[2024 Response capacity up to December]])/tblTarget[[#This Row],[Cluster Target]]&gt;Diff_severity3),"Flagged",""),"No target")</f>
        <v/>
      </c>
      <c r="AN262" s="81" t="s">
        <v>15</v>
      </c>
      <c r="AO262" s="81"/>
      <c r="AP262" s="81" t="s">
        <v>1099</v>
      </c>
      <c r="AQ262" s="81" t="s">
        <v>1098</v>
      </c>
    </row>
    <row r="263" spans="1:43" ht="15.95" customHeight="1" x14ac:dyDescent="0.2">
      <c r="A263" s="62" t="s">
        <v>700</v>
      </c>
      <c r="B263" s="63" t="s">
        <v>160</v>
      </c>
      <c r="C263" s="64" t="s">
        <v>161</v>
      </c>
      <c r="D263" s="63" t="s">
        <v>174</v>
      </c>
      <c r="E263" s="64" t="s">
        <v>175</v>
      </c>
      <c r="F263" s="65">
        <v>85993</v>
      </c>
      <c r="G263" s="66" t="s">
        <v>436</v>
      </c>
      <c r="H263" s="71">
        <v>34456</v>
      </c>
      <c r="I263" s="68">
        <v>3</v>
      </c>
      <c r="J263" s="68">
        <v>4</v>
      </c>
      <c r="K263" s="91">
        <v>13782</v>
      </c>
      <c r="L263" s="91">
        <v>7227.8387337685799</v>
      </c>
      <c r="M263" s="91">
        <v>6554.1612662314201</v>
      </c>
      <c r="N263" s="91">
        <v>7580.1</v>
      </c>
      <c r="O263" s="91">
        <v>5374.9800000000005</v>
      </c>
      <c r="P263" s="91">
        <v>826.92</v>
      </c>
      <c r="Q263" s="85">
        <v>2067.2999999999997</v>
      </c>
      <c r="R263" s="68" t="s">
        <v>15</v>
      </c>
      <c r="S263" s="86">
        <v>1985</v>
      </c>
      <c r="T263" s="68">
        <v>496</v>
      </c>
      <c r="U263" s="68">
        <v>93</v>
      </c>
      <c r="V263" s="68">
        <v>124</v>
      </c>
      <c r="W263" s="68">
        <v>138</v>
      </c>
      <c r="X263" s="68">
        <v>276</v>
      </c>
      <c r="Y263" s="68">
        <v>413</v>
      </c>
      <c r="Z263" s="68">
        <v>276</v>
      </c>
      <c r="AA263" s="68">
        <v>0</v>
      </c>
      <c r="AB263" s="69">
        <v>40</v>
      </c>
      <c r="AC263" s="69">
        <v>75.339055065412595</v>
      </c>
      <c r="AD263" s="70">
        <f>IFERROR(tblTarget[[#This Row],[Cluster Target]]/tblTarget[[#This Row],[Cluster PiN]],0)</f>
        <v>0.39998839099140931</v>
      </c>
      <c r="AE263" s="79">
        <f>_xlfn.XLOOKUP(tblTarget[[#This Row],[ID]],tblResponse[ID],tblResponse[2024 Projected reached (Dec 2024)])</f>
        <v>0</v>
      </c>
      <c r="AF263" s="79">
        <f>_xlfn.XLOOKUP(tblTarget[[#This Row],[ID]],tblResponse[ID],tblResponse[2024 Intercluster reached -August RPM])</f>
        <v>16033.707513224072</v>
      </c>
      <c r="AG263" s="79">
        <v>1</v>
      </c>
      <c r="AH263" s="79"/>
      <c r="AI263" s="79"/>
      <c r="AJ263" s="70" t="str">
        <f>IF(tblTarget[[#This Row],[Target to PiN (%)]]&gt;Targ_vs_PiN,"Flagged","")</f>
        <v/>
      </c>
      <c r="AK263" s="69" t="str">
        <f>IF(AND(tblTarget[[#This Row],[Qualifies for exception]]="Flagged",tblTarget[[#This Row],[Target to PiN (%)]]&gt;Targ_severity5),"Flagged","")</f>
        <v/>
      </c>
      <c r="AL263" s="68" t="str">
        <f>IFERROR(IF(AND(tblTarget[[#This Row],[Intercluser Severity]]=4,tblTarget[[#This Row],[Qualifies for exception]]="Flagged",(tblTarget[[#This Row],[Cluster Target]]-tblTarget[[#This Row],[2024 Response capacity up to December]])/tblTarget[[#This Row],[Cluster Target]]&gt;Diff_severity4),"Flagged",""),"No target")</f>
        <v/>
      </c>
      <c r="AM263" s="68" t="str">
        <f>IFERROR(IF(AND(tblTarget[[#This Row],[Intercluser Severity]]=3,tblTarget[[#This Row],[Qualifies for exception]]="Flagged",(tblTarget[[#This Row],[Cluster Target]]-tblTarget[[#This Row],[2024 Response capacity up to December]])/tblTarget[[#This Row],[Cluster Target]]&gt;Diff_severity3),"Flagged",""),"No target")</f>
        <v/>
      </c>
      <c r="AN263" s="81" t="s">
        <v>15</v>
      </c>
      <c r="AO263" s="81"/>
      <c r="AP263" s="81" t="s">
        <v>15</v>
      </c>
      <c r="AQ263" s="81" t="s">
        <v>1098</v>
      </c>
    </row>
    <row r="264" spans="1:43" ht="15.95" customHeight="1" x14ac:dyDescent="0.2">
      <c r="A264" s="62" t="s">
        <v>701</v>
      </c>
      <c r="B264" s="63" t="s">
        <v>160</v>
      </c>
      <c r="C264" s="64" t="s">
        <v>161</v>
      </c>
      <c r="D264" s="63" t="s">
        <v>176</v>
      </c>
      <c r="E264" s="64" t="s">
        <v>177</v>
      </c>
      <c r="F264" s="65">
        <v>216688</v>
      </c>
      <c r="G264" s="66" t="s">
        <v>436</v>
      </c>
      <c r="H264" s="67">
        <v>138246</v>
      </c>
      <c r="I264" s="68">
        <v>4</v>
      </c>
      <c r="J264" s="68">
        <v>4</v>
      </c>
      <c r="K264" s="91">
        <v>27649</v>
      </c>
      <c r="L264" s="91">
        <v>14510.969552507075</v>
      </c>
      <c r="M264" s="91">
        <v>13138.030447492923</v>
      </c>
      <c r="N264" s="91">
        <v>15206.95</v>
      </c>
      <c r="O264" s="91">
        <v>10783.11</v>
      </c>
      <c r="P264" s="91">
        <v>1658.9399999999998</v>
      </c>
      <c r="Q264" s="85">
        <v>4147.3499999999995</v>
      </c>
      <c r="R264" s="68" t="s">
        <v>15</v>
      </c>
      <c r="S264" s="86">
        <v>3981</v>
      </c>
      <c r="T264" s="68">
        <v>995</v>
      </c>
      <c r="U264" s="68">
        <v>187</v>
      </c>
      <c r="V264" s="68">
        <v>249</v>
      </c>
      <c r="W264" s="68">
        <v>276</v>
      </c>
      <c r="X264" s="68">
        <v>553</v>
      </c>
      <c r="Y264" s="68">
        <v>829</v>
      </c>
      <c r="Z264" s="68">
        <v>553</v>
      </c>
      <c r="AA264" s="68">
        <v>0</v>
      </c>
      <c r="AB264" s="69">
        <v>82</v>
      </c>
      <c r="AC264" s="69">
        <v>150.67811013082519</v>
      </c>
      <c r="AD264" s="70">
        <f>IFERROR(tblTarget[[#This Row],[Cluster Target]]/tblTarget[[#This Row],[Cluster PiN]],0)</f>
        <v>0.19999855330353139</v>
      </c>
      <c r="AE264" s="79">
        <f>_xlfn.XLOOKUP(tblTarget[[#This Row],[ID]],tblResponse[ID],tblResponse[2024 Projected reached (Dec 2024)])</f>
        <v>32335</v>
      </c>
      <c r="AF264" s="79">
        <f>_xlfn.XLOOKUP(tblTarget[[#This Row],[ID]],tblResponse[ID],tblResponse[2024 Intercluster reached -August RPM])</f>
        <v>33750.576060864048</v>
      </c>
      <c r="AG264" s="79">
        <v>2</v>
      </c>
      <c r="AH264" s="79"/>
      <c r="AI264" s="79"/>
      <c r="AJ264" s="70" t="str">
        <f>IF(tblTarget[[#This Row],[Target to PiN (%)]]&gt;Targ_vs_PiN,"Flagged","")</f>
        <v/>
      </c>
      <c r="AK264" s="69" t="str">
        <f>IF(AND(tblTarget[[#This Row],[Qualifies for exception]]="Flagged",tblTarget[[#This Row],[Target to PiN (%)]]&gt;Targ_severity5),"Flagged","")</f>
        <v/>
      </c>
      <c r="AL264" s="68" t="str">
        <f>IFERROR(IF(AND(tblTarget[[#This Row],[Intercluser Severity]]=4,tblTarget[[#This Row],[Qualifies for exception]]="Flagged",(tblTarget[[#This Row],[Cluster Target]]-tblTarget[[#This Row],[2024 Response capacity up to December]])/tblTarget[[#This Row],[Cluster Target]]&gt;Diff_severity4),"Flagged",""),"No target")</f>
        <v/>
      </c>
      <c r="AM264" s="68" t="str">
        <f>IFERROR(IF(AND(tblTarget[[#This Row],[Intercluser Severity]]=3,tblTarget[[#This Row],[Qualifies for exception]]="Flagged",(tblTarget[[#This Row],[Cluster Target]]-tblTarget[[#This Row],[2024 Response capacity up to December]])/tblTarget[[#This Row],[Cluster Target]]&gt;Diff_severity3),"Flagged",""),"No target")</f>
        <v/>
      </c>
      <c r="AN264" s="81" t="s">
        <v>1099</v>
      </c>
      <c r="AO264" s="81"/>
      <c r="AP264" s="81" t="s">
        <v>1099</v>
      </c>
      <c r="AQ264" s="81" t="s">
        <v>1107</v>
      </c>
    </row>
    <row r="265" spans="1:43" ht="15.95" customHeight="1" x14ac:dyDescent="0.2">
      <c r="A265" s="62" t="s">
        <v>702</v>
      </c>
      <c r="B265" s="63" t="s">
        <v>160</v>
      </c>
      <c r="C265" s="64" t="s">
        <v>161</v>
      </c>
      <c r="D265" s="63" t="s">
        <v>178</v>
      </c>
      <c r="E265" s="64" t="s">
        <v>179</v>
      </c>
      <c r="F265" s="65">
        <v>169210</v>
      </c>
      <c r="G265" s="66" t="s">
        <v>436</v>
      </c>
      <c r="H265" s="71">
        <v>139538</v>
      </c>
      <c r="I265" s="68">
        <v>3</v>
      </c>
      <c r="J265" s="68">
        <v>4</v>
      </c>
      <c r="K265" s="91">
        <v>83723</v>
      </c>
      <c r="L265" s="91">
        <v>42188.7183468238</v>
      </c>
      <c r="M265" s="91">
        <v>41534.2816531762</v>
      </c>
      <c r="N265" s="91">
        <v>46047.65</v>
      </c>
      <c r="O265" s="91">
        <v>32651.97</v>
      </c>
      <c r="P265" s="91">
        <v>5023.38</v>
      </c>
      <c r="Q265" s="85">
        <v>12558.449999999999</v>
      </c>
      <c r="R265" s="68" t="s">
        <v>15</v>
      </c>
      <c r="S265" s="86">
        <v>12056</v>
      </c>
      <c r="T265" s="68">
        <v>3014</v>
      </c>
      <c r="U265" s="68">
        <v>565</v>
      </c>
      <c r="V265" s="68">
        <v>754</v>
      </c>
      <c r="W265" s="68">
        <v>837</v>
      </c>
      <c r="X265" s="68">
        <v>1674</v>
      </c>
      <c r="Y265" s="68">
        <v>2512</v>
      </c>
      <c r="Z265" s="68">
        <v>1674</v>
      </c>
      <c r="AA265" s="68">
        <v>0</v>
      </c>
      <c r="AB265" s="69">
        <v>246</v>
      </c>
      <c r="AC265" s="69">
        <v>527.37338545788816</v>
      </c>
      <c r="AD265" s="70">
        <f>IFERROR(tblTarget[[#This Row],[Cluster Target]]/tblTarget[[#This Row],[Cluster PiN]],0)</f>
        <v>0.60000143330132294</v>
      </c>
      <c r="AE265" s="79">
        <f>_xlfn.XLOOKUP(tblTarget[[#This Row],[ID]],tblResponse[ID],tblResponse[2024 Projected reached (Dec 2024)])</f>
        <v>2000</v>
      </c>
      <c r="AF265" s="79">
        <f>_xlfn.XLOOKUP(tblTarget[[#This Row],[ID]],tblResponse[ID],tblResponse[2024 Intercluster reached -August RPM])</f>
        <v>35360.37000134425</v>
      </c>
      <c r="AG265" s="79">
        <v>2</v>
      </c>
      <c r="AH265" s="79"/>
      <c r="AI265" s="79"/>
      <c r="AJ265" s="70" t="str">
        <f>IF(tblTarget[[#This Row],[Target to PiN (%)]]&gt;Targ_vs_PiN,"Flagged","")</f>
        <v/>
      </c>
      <c r="AK265" s="69" t="str">
        <f>IF(AND(tblTarget[[#This Row],[Qualifies for exception]]="Flagged",tblTarget[[#This Row],[Target to PiN (%)]]&gt;Targ_severity5),"Flagged","")</f>
        <v/>
      </c>
      <c r="AL265" s="68" t="str">
        <f>IFERROR(IF(AND(tblTarget[[#This Row],[Intercluser Severity]]=4,tblTarget[[#This Row],[Qualifies for exception]]="Flagged",(tblTarget[[#This Row],[Cluster Target]]-tblTarget[[#This Row],[2024 Response capacity up to December]])/tblTarget[[#This Row],[Cluster Target]]&gt;Diff_severity4),"Flagged",""),"No target")</f>
        <v/>
      </c>
      <c r="AM265" s="68" t="str">
        <f>IFERROR(IF(AND(tblTarget[[#This Row],[Intercluser Severity]]=3,tblTarget[[#This Row],[Qualifies for exception]]="Flagged",(tblTarget[[#This Row],[Cluster Target]]-tblTarget[[#This Row],[2024 Response capacity up to December]])/tblTarget[[#This Row],[Cluster Target]]&gt;Diff_severity3),"Flagged",""),"No target")</f>
        <v/>
      </c>
      <c r="AN265" s="81" t="s">
        <v>15</v>
      </c>
      <c r="AO265" s="81"/>
      <c r="AP265" s="81" t="s">
        <v>1099</v>
      </c>
      <c r="AQ265" s="81" t="s">
        <v>1098</v>
      </c>
    </row>
    <row r="266" spans="1:43" ht="15.95" customHeight="1" x14ac:dyDescent="0.2">
      <c r="A266" s="62" t="s">
        <v>703</v>
      </c>
      <c r="B266" s="63" t="s">
        <v>180</v>
      </c>
      <c r="C266" s="64" t="s">
        <v>181</v>
      </c>
      <c r="D266" s="63" t="s">
        <v>182</v>
      </c>
      <c r="E266" s="64" t="s">
        <v>183</v>
      </c>
      <c r="F266" s="65">
        <v>58100</v>
      </c>
      <c r="G266" s="66" t="s">
        <v>436</v>
      </c>
      <c r="H266" s="67">
        <v>27924</v>
      </c>
      <c r="I266" s="68">
        <v>3</v>
      </c>
      <c r="J266" s="68">
        <v>4</v>
      </c>
      <c r="K266" s="91">
        <v>2792</v>
      </c>
      <c r="L266" s="91">
        <v>1439.1176237314801</v>
      </c>
      <c r="M266" s="91">
        <v>1352.8823762685199</v>
      </c>
      <c r="N266" s="91">
        <v>1535.6000000000001</v>
      </c>
      <c r="O266" s="91">
        <v>1088.8800000000001</v>
      </c>
      <c r="P266" s="91">
        <v>167.51999999999998</v>
      </c>
      <c r="Q266" s="85">
        <v>418.8</v>
      </c>
      <c r="R266" s="68" t="s">
        <v>436</v>
      </c>
      <c r="S266" s="86">
        <v>402</v>
      </c>
      <c r="T266" s="68">
        <v>101</v>
      </c>
      <c r="U266" s="68">
        <v>19</v>
      </c>
      <c r="V266" s="68">
        <v>25</v>
      </c>
      <c r="W266" s="68">
        <v>28</v>
      </c>
      <c r="X266" s="68">
        <v>56</v>
      </c>
      <c r="Y266" s="68">
        <v>84</v>
      </c>
      <c r="Z266" s="68">
        <v>56</v>
      </c>
      <c r="AA266" s="68">
        <v>0</v>
      </c>
      <c r="AB266" s="69">
        <v>8</v>
      </c>
      <c r="AC266" s="69">
        <v>0</v>
      </c>
      <c r="AD266" s="70">
        <f>IFERROR(tblTarget[[#This Row],[Cluster Target]]/tblTarget[[#This Row],[Cluster PiN]],0)</f>
        <v>9.9985675404669822E-2</v>
      </c>
      <c r="AE266" s="79">
        <f>_xlfn.XLOOKUP(tblTarget[[#This Row],[ID]],tblResponse[ID],tblResponse[2024 Projected reached (Dec 2024)])</f>
        <v>0</v>
      </c>
      <c r="AF266" s="79">
        <f>_xlfn.XLOOKUP(tblTarget[[#This Row],[ID]],tblResponse[ID],tblResponse[2024 Intercluster reached -August RPM])</f>
        <v>67414.36769932945</v>
      </c>
      <c r="AG266" s="79">
        <v>1</v>
      </c>
      <c r="AH266" s="79"/>
      <c r="AI266" s="79"/>
      <c r="AJ266" s="70" t="str">
        <f>IF(tblTarget[[#This Row],[Target to PiN (%)]]&gt;Targ_vs_PiN,"Flagged","")</f>
        <v/>
      </c>
      <c r="AK266" s="69" t="str">
        <f>IF(AND(tblTarget[[#This Row],[Qualifies for exception]]="Flagged",tblTarget[[#This Row],[Target to PiN (%)]]&gt;Targ_severity5),"Flagged","")</f>
        <v/>
      </c>
      <c r="AL266" s="68" t="str">
        <f>IFERROR(IF(AND(tblTarget[[#This Row],[Intercluser Severity]]=4,tblTarget[[#This Row],[Qualifies for exception]]="Flagged",(tblTarget[[#This Row],[Cluster Target]]-tblTarget[[#This Row],[2024 Response capacity up to December]])/tblTarget[[#This Row],[Cluster Target]]&gt;Diff_severity4),"Flagged",""),"No target")</f>
        <v>Flagged</v>
      </c>
      <c r="AM266" s="68" t="str">
        <f>IFERROR(IF(AND(tblTarget[[#This Row],[Intercluser Severity]]=3,tblTarget[[#This Row],[Qualifies for exception]]="Flagged",(tblTarget[[#This Row],[Cluster Target]]-tblTarget[[#This Row],[2024 Response capacity up to December]])/tblTarget[[#This Row],[Cluster Target]]&gt;Diff_severity3),"Flagged",""),"No target")</f>
        <v/>
      </c>
      <c r="AN266" s="81" t="s">
        <v>1099</v>
      </c>
      <c r="AO266" s="81"/>
      <c r="AP266" s="81" t="s">
        <v>1099</v>
      </c>
      <c r="AQ266" s="81" t="s">
        <v>1107</v>
      </c>
    </row>
    <row r="267" spans="1:43" ht="15.95" customHeight="1" x14ac:dyDescent="0.2">
      <c r="A267" s="62" t="s">
        <v>704</v>
      </c>
      <c r="B267" s="63" t="s">
        <v>180</v>
      </c>
      <c r="C267" s="64" t="s">
        <v>181</v>
      </c>
      <c r="D267" s="63" t="s">
        <v>184</v>
      </c>
      <c r="E267" s="64" t="s">
        <v>185</v>
      </c>
      <c r="F267" s="65">
        <v>10407</v>
      </c>
      <c r="G267" s="66" t="s">
        <v>436</v>
      </c>
      <c r="H267" s="67">
        <v>4535</v>
      </c>
      <c r="I267" s="68">
        <v>3</v>
      </c>
      <c r="J267" s="68">
        <v>4</v>
      </c>
      <c r="K267" s="91">
        <v>454</v>
      </c>
      <c r="L267" s="91">
        <v>235.91499242806665</v>
      </c>
      <c r="M267" s="91">
        <v>218.08500757193337</v>
      </c>
      <c r="N267" s="91">
        <v>249.70000000000002</v>
      </c>
      <c r="O267" s="91">
        <v>177.06</v>
      </c>
      <c r="P267" s="91">
        <v>27.24</v>
      </c>
      <c r="Q267" s="85">
        <v>68.099999999999994</v>
      </c>
      <c r="R267" s="68" t="s">
        <v>436</v>
      </c>
      <c r="S267" s="86">
        <v>65</v>
      </c>
      <c r="T267" s="68">
        <v>16</v>
      </c>
      <c r="U267" s="68">
        <v>3</v>
      </c>
      <c r="V267" s="68">
        <v>4</v>
      </c>
      <c r="W267" s="68">
        <v>5</v>
      </c>
      <c r="X267" s="68">
        <v>9</v>
      </c>
      <c r="Y267" s="68">
        <v>14</v>
      </c>
      <c r="Z267" s="68">
        <v>9</v>
      </c>
      <c r="AA267" s="68">
        <v>0</v>
      </c>
      <c r="AB267" s="69">
        <v>2</v>
      </c>
      <c r="AC267" s="69">
        <v>0</v>
      </c>
      <c r="AD267" s="70">
        <f>IFERROR(tblTarget[[#This Row],[Cluster Target]]/tblTarget[[#This Row],[Cluster PiN]],0)</f>
        <v>0.10011025358324145</v>
      </c>
      <c r="AE267" s="79">
        <f>_xlfn.XLOOKUP(tblTarget[[#This Row],[ID]],tblResponse[ID],tblResponse[2024 Projected reached (Dec 2024)])</f>
        <v>0</v>
      </c>
      <c r="AF267" s="79">
        <f>_xlfn.XLOOKUP(tblTarget[[#This Row],[ID]],tblResponse[ID],tblResponse[2024 Intercluster reached -August RPM])</f>
        <v>16429.090490270548</v>
      </c>
      <c r="AG267" s="79">
        <v>1</v>
      </c>
      <c r="AH267" s="79"/>
      <c r="AI267" s="79"/>
      <c r="AJ267" s="70" t="str">
        <f>IF(tblTarget[[#This Row],[Target to PiN (%)]]&gt;Targ_vs_PiN,"Flagged","")</f>
        <v/>
      </c>
      <c r="AK267" s="69" t="str">
        <f>IF(AND(tblTarget[[#This Row],[Qualifies for exception]]="Flagged",tblTarget[[#This Row],[Target to PiN (%)]]&gt;Targ_severity5),"Flagged","")</f>
        <v/>
      </c>
      <c r="AL267" s="68" t="str">
        <f>IFERROR(IF(AND(tblTarget[[#This Row],[Intercluser Severity]]=4,tblTarget[[#This Row],[Qualifies for exception]]="Flagged",(tblTarget[[#This Row],[Cluster Target]]-tblTarget[[#This Row],[2024 Response capacity up to December]])/tblTarget[[#This Row],[Cluster Target]]&gt;Diff_severity4),"Flagged",""),"No target")</f>
        <v>Flagged</v>
      </c>
      <c r="AM267" s="68" t="str">
        <f>IFERROR(IF(AND(tblTarget[[#This Row],[Intercluser Severity]]=3,tblTarget[[#This Row],[Qualifies for exception]]="Flagged",(tblTarget[[#This Row],[Cluster Target]]-tblTarget[[#This Row],[2024 Response capacity up to December]])/tblTarget[[#This Row],[Cluster Target]]&gt;Diff_severity3),"Flagged",""),"No target")</f>
        <v/>
      </c>
      <c r="AN267" s="81" t="s">
        <v>1099</v>
      </c>
      <c r="AO267" s="81"/>
      <c r="AP267" s="81" t="s">
        <v>1099</v>
      </c>
      <c r="AQ267" s="81" t="s">
        <v>1107</v>
      </c>
    </row>
    <row r="268" spans="1:43" ht="15.95" customHeight="1" x14ac:dyDescent="0.2">
      <c r="A268" s="62" t="s">
        <v>705</v>
      </c>
      <c r="B268" s="63" t="s">
        <v>180</v>
      </c>
      <c r="C268" s="64" t="s">
        <v>181</v>
      </c>
      <c r="D268" s="63" t="s">
        <v>186</v>
      </c>
      <c r="E268" s="64" t="s">
        <v>187</v>
      </c>
      <c r="F268" s="65">
        <v>62991</v>
      </c>
      <c r="G268" s="66" t="s">
        <v>436</v>
      </c>
      <c r="H268" s="67">
        <v>54535</v>
      </c>
      <c r="I268" s="68">
        <v>4</v>
      </c>
      <c r="J268" s="68">
        <v>4</v>
      </c>
      <c r="K268" s="91">
        <v>21814</v>
      </c>
      <c r="L268" s="91">
        <v>11455.370892749883</v>
      </c>
      <c r="M268" s="91">
        <v>10358.629107250117</v>
      </c>
      <c r="N268" s="91">
        <v>11997.7</v>
      </c>
      <c r="O268" s="91">
        <v>8507.4600000000009</v>
      </c>
      <c r="P268" s="91">
        <v>1308.8399999999999</v>
      </c>
      <c r="Q268" s="85">
        <v>3272.1</v>
      </c>
      <c r="R268" s="68" t="s">
        <v>436</v>
      </c>
      <c r="S268" s="86">
        <v>3141</v>
      </c>
      <c r="T268" s="68">
        <v>785</v>
      </c>
      <c r="U268" s="68">
        <v>147</v>
      </c>
      <c r="V268" s="68">
        <v>196</v>
      </c>
      <c r="W268" s="68">
        <v>218</v>
      </c>
      <c r="X268" s="68">
        <v>436</v>
      </c>
      <c r="Y268" s="68">
        <v>654</v>
      </c>
      <c r="Z268" s="68">
        <v>436</v>
      </c>
      <c r="AA268" s="68">
        <v>0</v>
      </c>
      <c r="AB268" s="69">
        <v>64</v>
      </c>
      <c r="AC268" s="69">
        <v>150.67811013082519</v>
      </c>
      <c r="AD268" s="70">
        <f>IFERROR(tblTarget[[#This Row],[Cluster Target]]/tblTarget[[#This Row],[Cluster PiN]],0)</f>
        <v>0.4</v>
      </c>
      <c r="AE268" s="79">
        <f>_xlfn.XLOOKUP(tblTarget[[#This Row],[ID]],tblResponse[ID],tblResponse[2024 Projected reached (Dec 2024)])</f>
        <v>0</v>
      </c>
      <c r="AF268" s="79">
        <f>_xlfn.XLOOKUP(tblTarget[[#This Row],[ID]],tblResponse[ID],tblResponse[2024 Intercluster reached -August RPM])</f>
        <v>16910.686939568313</v>
      </c>
      <c r="AG268" s="79">
        <v>2</v>
      </c>
      <c r="AH268" s="79"/>
      <c r="AI268" s="79"/>
      <c r="AJ268" s="70" t="str">
        <f>IF(tblTarget[[#This Row],[Target to PiN (%)]]&gt;Targ_vs_PiN,"Flagged","")</f>
        <v/>
      </c>
      <c r="AK268" s="69" t="str">
        <f>IF(AND(tblTarget[[#This Row],[Qualifies for exception]]="Flagged",tblTarget[[#This Row],[Target to PiN (%)]]&gt;Targ_severity5),"Flagged","")</f>
        <v/>
      </c>
      <c r="AL268" s="68" t="str">
        <f>IFERROR(IF(AND(tblTarget[[#This Row],[Intercluser Severity]]=4,tblTarget[[#This Row],[Qualifies for exception]]="Flagged",(tblTarget[[#This Row],[Cluster Target]]-tblTarget[[#This Row],[2024 Response capacity up to December]])/tblTarget[[#This Row],[Cluster Target]]&gt;Diff_severity4),"Flagged",""),"No target")</f>
        <v>Flagged</v>
      </c>
      <c r="AM268" s="68" t="str">
        <f>IFERROR(IF(AND(tblTarget[[#This Row],[Intercluser Severity]]=3,tblTarget[[#This Row],[Qualifies for exception]]="Flagged",(tblTarget[[#This Row],[Cluster Target]]-tblTarget[[#This Row],[2024 Response capacity up to December]])/tblTarget[[#This Row],[Cluster Target]]&gt;Diff_severity3),"Flagged",""),"No target")</f>
        <v/>
      </c>
      <c r="AN268" s="81" t="s">
        <v>1099</v>
      </c>
      <c r="AO268" s="81"/>
      <c r="AP268" s="81" t="s">
        <v>1099</v>
      </c>
      <c r="AQ268" s="81" t="s">
        <v>1107</v>
      </c>
    </row>
    <row r="269" spans="1:43" ht="15.95" customHeight="1" x14ac:dyDescent="0.2">
      <c r="A269" s="62" t="s">
        <v>706</v>
      </c>
      <c r="B269" s="63" t="s">
        <v>180</v>
      </c>
      <c r="C269" s="64" t="s">
        <v>181</v>
      </c>
      <c r="D269" s="63" t="s">
        <v>188</v>
      </c>
      <c r="E269" s="64" t="s">
        <v>189</v>
      </c>
      <c r="F269" s="65">
        <v>0</v>
      </c>
      <c r="G269" s="66" t="s">
        <v>436</v>
      </c>
      <c r="H269" s="67">
        <v>0</v>
      </c>
      <c r="I269" s="68">
        <v>3</v>
      </c>
      <c r="J269" s="68">
        <v>4</v>
      </c>
      <c r="K269" s="91">
        <v>0</v>
      </c>
      <c r="L269" s="91">
        <v>0</v>
      </c>
      <c r="M269" s="91">
        <v>0</v>
      </c>
      <c r="N269" s="91">
        <v>0</v>
      </c>
      <c r="O269" s="91">
        <v>0</v>
      </c>
      <c r="P269" s="91">
        <v>0</v>
      </c>
      <c r="Q269" s="85">
        <v>0</v>
      </c>
      <c r="R269" s="68" t="s">
        <v>436</v>
      </c>
      <c r="S269" s="86">
        <v>0</v>
      </c>
      <c r="T269" s="68">
        <v>0</v>
      </c>
      <c r="U269" s="68">
        <v>0</v>
      </c>
      <c r="V269" s="68">
        <v>0</v>
      </c>
      <c r="W269" s="68">
        <v>0</v>
      </c>
      <c r="X269" s="68">
        <v>0</v>
      </c>
      <c r="Y269" s="68">
        <v>0</v>
      </c>
      <c r="Z269" s="68">
        <v>0</v>
      </c>
      <c r="AA269" s="68">
        <v>0</v>
      </c>
      <c r="AB269" s="69">
        <v>0</v>
      </c>
      <c r="AC269" s="69">
        <v>0</v>
      </c>
      <c r="AD269" s="70">
        <f>IFERROR(tblTarget[[#This Row],[Cluster Target]]/tblTarget[[#This Row],[Cluster PiN]],0)</f>
        <v>0</v>
      </c>
      <c r="AE269" s="79">
        <f>_xlfn.XLOOKUP(tblTarget[[#This Row],[ID]],tblResponse[ID],tblResponse[2024 Projected reached (Dec 2024)])</f>
        <v>0</v>
      </c>
      <c r="AF269" s="79">
        <f>_xlfn.XLOOKUP(tblTarget[[#This Row],[ID]],tblResponse[ID],tblResponse[2024 Intercluster reached -August RPM])</f>
        <v>1427.3753683988314</v>
      </c>
      <c r="AG269" s="79">
        <v>1</v>
      </c>
      <c r="AH269" s="79"/>
      <c r="AI269" s="79"/>
      <c r="AJ269" s="70" t="str">
        <f>IF(tblTarget[[#This Row],[Target to PiN (%)]]&gt;Targ_vs_PiN,"Flagged","")</f>
        <v/>
      </c>
      <c r="AK269" s="69" t="str">
        <f>IF(AND(tblTarget[[#This Row],[Qualifies for exception]]="Flagged",tblTarget[[#This Row],[Target to PiN (%)]]&gt;Targ_severity5),"Flagged","")</f>
        <v/>
      </c>
      <c r="AL269" s="68" t="str">
        <f>IFERROR(IF(AND(tblTarget[[#This Row],[Intercluser Severity]]=4,tblTarget[[#This Row],[Qualifies for exception]]="Flagged",(tblTarget[[#This Row],[Cluster Target]]-tblTarget[[#This Row],[2024 Response capacity up to December]])/tblTarget[[#This Row],[Cluster Target]]&gt;Diff_severity4),"Flagged",""),"No target")</f>
        <v>No target</v>
      </c>
      <c r="AM269" s="68" t="str">
        <f>IFERROR(IF(AND(tblTarget[[#This Row],[Intercluser Severity]]=3,tblTarget[[#This Row],[Qualifies for exception]]="Flagged",(tblTarget[[#This Row],[Cluster Target]]-tblTarget[[#This Row],[2024 Response capacity up to December]])/tblTarget[[#This Row],[Cluster Target]]&gt;Diff_severity3),"Flagged",""),"No target")</f>
        <v>No target</v>
      </c>
      <c r="AN269" s="81" t="s">
        <v>1099</v>
      </c>
      <c r="AO269" s="81"/>
      <c r="AP269" s="81" t="s">
        <v>1099</v>
      </c>
      <c r="AQ269" s="81" t="s">
        <v>1107</v>
      </c>
    </row>
    <row r="270" spans="1:43" ht="15.95" customHeight="1" x14ac:dyDescent="0.2">
      <c r="A270" s="62" t="s">
        <v>707</v>
      </c>
      <c r="B270" s="63" t="s">
        <v>180</v>
      </c>
      <c r="C270" s="64" t="s">
        <v>181</v>
      </c>
      <c r="D270" s="63" t="s">
        <v>190</v>
      </c>
      <c r="E270" s="64" t="s">
        <v>191</v>
      </c>
      <c r="F270" s="65">
        <v>22054</v>
      </c>
      <c r="G270" s="66" t="s">
        <v>436</v>
      </c>
      <c r="H270" s="67">
        <v>11125</v>
      </c>
      <c r="I270" s="68">
        <v>3</v>
      </c>
      <c r="J270" s="68">
        <v>4</v>
      </c>
      <c r="K270" s="91">
        <v>1113</v>
      </c>
      <c r="L270" s="91">
        <v>579.59444112372989</v>
      </c>
      <c r="M270" s="91">
        <v>533.40555887627022</v>
      </c>
      <c r="N270" s="91">
        <v>612.15000000000009</v>
      </c>
      <c r="O270" s="91">
        <v>434.07</v>
      </c>
      <c r="P270" s="91">
        <v>66.78</v>
      </c>
      <c r="Q270" s="85">
        <v>166.95</v>
      </c>
      <c r="R270" s="68" t="s">
        <v>436</v>
      </c>
      <c r="S270" s="86">
        <v>160</v>
      </c>
      <c r="T270" s="68">
        <v>40</v>
      </c>
      <c r="U270" s="68">
        <v>8</v>
      </c>
      <c r="V270" s="68">
        <v>10</v>
      </c>
      <c r="W270" s="68">
        <v>11</v>
      </c>
      <c r="X270" s="68">
        <v>22</v>
      </c>
      <c r="Y270" s="68">
        <v>33</v>
      </c>
      <c r="Z270" s="68">
        <v>22</v>
      </c>
      <c r="AA270" s="68">
        <v>0</v>
      </c>
      <c r="AB270" s="69">
        <v>4</v>
      </c>
      <c r="AC270" s="69">
        <v>0</v>
      </c>
      <c r="AD270" s="70">
        <f>IFERROR(tblTarget[[#This Row],[Cluster Target]]/tblTarget[[#This Row],[Cluster PiN]],0)</f>
        <v>0.10004494382022472</v>
      </c>
      <c r="AE270" s="79">
        <f>_xlfn.XLOOKUP(tblTarget[[#This Row],[ID]],tblResponse[ID],tblResponse[2024 Projected reached (Dec 2024)])</f>
        <v>0</v>
      </c>
      <c r="AF270" s="79">
        <f>_xlfn.XLOOKUP(tblTarget[[#This Row],[ID]],tblResponse[ID],tblResponse[2024 Intercluster reached -August RPM])</f>
        <v>15098.776646922837</v>
      </c>
      <c r="AG270" s="79">
        <v>1</v>
      </c>
      <c r="AH270" s="79"/>
      <c r="AI270" s="79"/>
      <c r="AJ270" s="70" t="str">
        <f>IF(tblTarget[[#This Row],[Target to PiN (%)]]&gt;Targ_vs_PiN,"Flagged","")</f>
        <v/>
      </c>
      <c r="AK270" s="69" t="str">
        <f>IF(AND(tblTarget[[#This Row],[Qualifies for exception]]="Flagged",tblTarget[[#This Row],[Target to PiN (%)]]&gt;Targ_severity5),"Flagged","")</f>
        <v/>
      </c>
      <c r="AL270" s="68" t="str">
        <f>IFERROR(IF(AND(tblTarget[[#This Row],[Intercluser Severity]]=4,tblTarget[[#This Row],[Qualifies for exception]]="Flagged",(tblTarget[[#This Row],[Cluster Target]]-tblTarget[[#This Row],[2024 Response capacity up to December]])/tblTarget[[#This Row],[Cluster Target]]&gt;Diff_severity4),"Flagged",""),"No target")</f>
        <v>Flagged</v>
      </c>
      <c r="AM270" s="68" t="str">
        <f>IFERROR(IF(AND(tblTarget[[#This Row],[Intercluser Severity]]=3,tblTarget[[#This Row],[Qualifies for exception]]="Flagged",(tblTarget[[#This Row],[Cluster Target]]-tblTarget[[#This Row],[2024 Response capacity up to December]])/tblTarget[[#This Row],[Cluster Target]]&gt;Diff_severity3),"Flagged",""),"No target")</f>
        <v/>
      </c>
      <c r="AN270" s="81" t="s">
        <v>1099</v>
      </c>
      <c r="AO270" s="81"/>
      <c r="AP270" s="81" t="s">
        <v>1099</v>
      </c>
      <c r="AQ270" s="81" t="s">
        <v>1107</v>
      </c>
    </row>
    <row r="271" spans="1:43" ht="15.95" customHeight="1" x14ac:dyDescent="0.2">
      <c r="A271" s="62" t="s">
        <v>708</v>
      </c>
      <c r="B271" s="63" t="s">
        <v>180</v>
      </c>
      <c r="C271" s="64" t="s">
        <v>181</v>
      </c>
      <c r="D271" s="63" t="s">
        <v>192</v>
      </c>
      <c r="E271" s="64" t="s">
        <v>193</v>
      </c>
      <c r="F271" s="65">
        <v>8677</v>
      </c>
      <c r="G271" s="66" t="s">
        <v>436</v>
      </c>
      <c r="H271" s="67">
        <v>4428</v>
      </c>
      <c r="I271" s="68">
        <v>3</v>
      </c>
      <c r="J271" s="68">
        <v>4</v>
      </c>
      <c r="K271" s="91">
        <v>443</v>
      </c>
      <c r="L271" s="91">
        <v>230.4829211895433</v>
      </c>
      <c r="M271" s="91">
        <v>212.51707881045667</v>
      </c>
      <c r="N271" s="91">
        <v>243.65</v>
      </c>
      <c r="O271" s="91">
        <v>172.77</v>
      </c>
      <c r="P271" s="91">
        <v>26.58</v>
      </c>
      <c r="Q271" s="85">
        <v>66.45</v>
      </c>
      <c r="R271" s="68" t="s">
        <v>436</v>
      </c>
      <c r="S271" s="86">
        <v>64</v>
      </c>
      <c r="T271" s="68">
        <v>16</v>
      </c>
      <c r="U271" s="68">
        <v>3</v>
      </c>
      <c r="V271" s="68">
        <v>4</v>
      </c>
      <c r="W271" s="68">
        <v>4</v>
      </c>
      <c r="X271" s="68">
        <v>9</v>
      </c>
      <c r="Y271" s="68">
        <v>13</v>
      </c>
      <c r="Z271" s="68">
        <v>9</v>
      </c>
      <c r="AA271" s="68">
        <v>0</v>
      </c>
      <c r="AB271" s="69">
        <v>2</v>
      </c>
      <c r="AC271" s="69">
        <v>0</v>
      </c>
      <c r="AD271" s="70">
        <f>IFERROR(tblTarget[[#This Row],[Cluster Target]]/tblTarget[[#This Row],[Cluster PiN]],0)</f>
        <v>0.10004516711833784</v>
      </c>
      <c r="AE271" s="79">
        <f>_xlfn.XLOOKUP(tblTarget[[#This Row],[ID]],tblResponse[ID],tblResponse[2024 Projected reached (Dec 2024)])</f>
        <v>0</v>
      </c>
      <c r="AF271" s="79">
        <f>_xlfn.XLOOKUP(tblTarget[[#This Row],[ID]],tblResponse[ID],tblResponse[2024 Intercluster reached -August RPM])</f>
        <v>0</v>
      </c>
      <c r="AG271" s="79">
        <v>1</v>
      </c>
      <c r="AH271" s="79"/>
      <c r="AI271" s="79"/>
      <c r="AJ271" s="70" t="str">
        <f>IF(tblTarget[[#This Row],[Target to PiN (%)]]&gt;Targ_vs_PiN,"Flagged","")</f>
        <v/>
      </c>
      <c r="AK271" s="69" t="str">
        <f>IF(AND(tblTarget[[#This Row],[Qualifies for exception]]="Flagged",tblTarget[[#This Row],[Target to PiN (%)]]&gt;Targ_severity5),"Flagged","")</f>
        <v/>
      </c>
      <c r="AL271" s="68" t="str">
        <f>IFERROR(IF(AND(tblTarget[[#This Row],[Intercluser Severity]]=4,tblTarget[[#This Row],[Qualifies for exception]]="Flagged",(tblTarget[[#This Row],[Cluster Target]]-tblTarget[[#This Row],[2024 Response capacity up to December]])/tblTarget[[#This Row],[Cluster Target]]&gt;Diff_severity4),"Flagged",""),"No target")</f>
        <v>Flagged</v>
      </c>
      <c r="AM271" s="68" t="str">
        <f>IFERROR(IF(AND(tblTarget[[#This Row],[Intercluser Severity]]=3,tblTarget[[#This Row],[Qualifies for exception]]="Flagged",(tblTarget[[#This Row],[Cluster Target]]-tblTarget[[#This Row],[2024 Response capacity up to December]])/tblTarget[[#This Row],[Cluster Target]]&gt;Diff_severity3),"Flagged",""),"No target")</f>
        <v/>
      </c>
      <c r="AN271" s="81" t="s">
        <v>1099</v>
      </c>
      <c r="AO271" s="81"/>
      <c r="AP271" s="81" t="s">
        <v>1099</v>
      </c>
      <c r="AQ271" s="81" t="s">
        <v>1107</v>
      </c>
    </row>
    <row r="272" spans="1:43" ht="15.95" customHeight="1" x14ac:dyDescent="0.2">
      <c r="A272" s="62" t="s">
        <v>709</v>
      </c>
      <c r="B272" s="63" t="s">
        <v>180</v>
      </c>
      <c r="C272" s="64" t="s">
        <v>181</v>
      </c>
      <c r="D272" s="63" t="s">
        <v>194</v>
      </c>
      <c r="E272" s="64" t="s">
        <v>195</v>
      </c>
      <c r="F272" s="65">
        <v>44297</v>
      </c>
      <c r="G272" s="66" t="s">
        <v>436</v>
      </c>
      <c r="H272" s="67">
        <v>15837</v>
      </c>
      <c r="I272" s="68">
        <v>3</v>
      </c>
      <c r="J272" s="68">
        <v>4</v>
      </c>
      <c r="K272" s="91">
        <v>6335</v>
      </c>
      <c r="L272" s="91">
        <v>3287.852246374965</v>
      </c>
      <c r="M272" s="91">
        <v>3047.147753625035</v>
      </c>
      <c r="N272" s="91">
        <v>3484.2500000000005</v>
      </c>
      <c r="O272" s="91">
        <v>2470.65</v>
      </c>
      <c r="P272" s="91">
        <v>380.09999999999997</v>
      </c>
      <c r="Q272" s="85">
        <v>950.25</v>
      </c>
      <c r="R272" s="68" t="s">
        <v>15</v>
      </c>
      <c r="S272" s="86">
        <v>912</v>
      </c>
      <c r="T272" s="68">
        <v>228</v>
      </c>
      <c r="U272" s="68">
        <v>43</v>
      </c>
      <c r="V272" s="68">
        <v>57</v>
      </c>
      <c r="W272" s="68">
        <v>63</v>
      </c>
      <c r="X272" s="68">
        <v>127</v>
      </c>
      <c r="Y272" s="68">
        <v>190</v>
      </c>
      <c r="Z272" s="68">
        <v>127</v>
      </c>
      <c r="AA272" s="68">
        <v>0</v>
      </c>
      <c r="AB272" s="69">
        <v>18</v>
      </c>
      <c r="AC272" s="69">
        <v>37.669527532706297</v>
      </c>
      <c r="AD272" s="70">
        <f>IFERROR(tblTarget[[#This Row],[Cluster Target]]/tblTarget[[#This Row],[Cluster PiN]],0)</f>
        <v>0.40001262865441689</v>
      </c>
      <c r="AE272" s="79">
        <f>_xlfn.XLOOKUP(tblTarget[[#This Row],[ID]],tblResponse[ID],tblResponse[2024 Projected reached (Dec 2024)])</f>
        <v>0</v>
      </c>
      <c r="AF272" s="79">
        <f>_xlfn.XLOOKUP(tblTarget[[#This Row],[ID]],tblResponse[ID],tblResponse[2024 Intercluster reached -August RPM])</f>
        <v>6192.2398231878105</v>
      </c>
      <c r="AG272" s="79">
        <v>2</v>
      </c>
      <c r="AH272" s="79"/>
      <c r="AI272" s="79"/>
      <c r="AJ272" s="70" t="str">
        <f>IF(tblTarget[[#This Row],[Target to PiN (%)]]&gt;Targ_vs_PiN,"Flagged","")</f>
        <v/>
      </c>
      <c r="AK272" s="69" t="str">
        <f>IF(AND(tblTarget[[#This Row],[Qualifies for exception]]="Flagged",tblTarget[[#This Row],[Target to PiN (%)]]&gt;Targ_severity5),"Flagged","")</f>
        <v/>
      </c>
      <c r="AL272" s="68" t="str">
        <f>IFERROR(IF(AND(tblTarget[[#This Row],[Intercluser Severity]]=4,tblTarget[[#This Row],[Qualifies for exception]]="Flagged",(tblTarget[[#This Row],[Cluster Target]]-tblTarget[[#This Row],[2024 Response capacity up to December]])/tblTarget[[#This Row],[Cluster Target]]&gt;Diff_severity4),"Flagged",""),"No target")</f>
        <v/>
      </c>
      <c r="AM272" s="68" t="str">
        <f>IFERROR(IF(AND(tblTarget[[#This Row],[Intercluser Severity]]=3,tblTarget[[#This Row],[Qualifies for exception]]="Flagged",(tblTarget[[#This Row],[Cluster Target]]-tblTarget[[#This Row],[2024 Response capacity up to December]])/tblTarget[[#This Row],[Cluster Target]]&gt;Diff_severity3),"Flagged",""),"No target")</f>
        <v/>
      </c>
      <c r="AN272" s="81" t="s">
        <v>15</v>
      </c>
      <c r="AO272" s="81"/>
      <c r="AP272" s="81" t="s">
        <v>1099</v>
      </c>
      <c r="AQ272" s="81" t="s">
        <v>1098</v>
      </c>
    </row>
    <row r="273" spans="1:43" ht="15.95" customHeight="1" x14ac:dyDescent="0.2">
      <c r="A273" s="62" t="s">
        <v>710</v>
      </c>
      <c r="B273" s="63" t="s">
        <v>180</v>
      </c>
      <c r="C273" s="64" t="s">
        <v>181</v>
      </c>
      <c r="D273" s="63" t="s">
        <v>196</v>
      </c>
      <c r="E273" s="64" t="s">
        <v>197</v>
      </c>
      <c r="F273" s="65">
        <v>0</v>
      </c>
      <c r="G273" s="66" t="s">
        <v>436</v>
      </c>
      <c r="H273" s="67">
        <v>0</v>
      </c>
      <c r="I273" s="68">
        <v>3</v>
      </c>
      <c r="J273" s="68">
        <v>4</v>
      </c>
      <c r="K273" s="91">
        <v>0</v>
      </c>
      <c r="L273" s="91">
        <v>0</v>
      </c>
      <c r="M273" s="91">
        <v>0</v>
      </c>
      <c r="N273" s="91">
        <v>0</v>
      </c>
      <c r="O273" s="91">
        <v>0</v>
      </c>
      <c r="P273" s="91">
        <v>0</v>
      </c>
      <c r="Q273" s="85">
        <v>0</v>
      </c>
      <c r="R273" s="68" t="s">
        <v>436</v>
      </c>
      <c r="S273" s="86">
        <v>0</v>
      </c>
      <c r="T273" s="68">
        <v>0</v>
      </c>
      <c r="U273" s="68">
        <v>0</v>
      </c>
      <c r="V273" s="68">
        <v>0</v>
      </c>
      <c r="W273" s="68">
        <v>0</v>
      </c>
      <c r="X273" s="68">
        <v>0</v>
      </c>
      <c r="Y273" s="68">
        <v>0</v>
      </c>
      <c r="Z273" s="68">
        <v>0</v>
      </c>
      <c r="AA273" s="68">
        <v>0</v>
      </c>
      <c r="AB273" s="69">
        <v>0</v>
      </c>
      <c r="AC273" s="69">
        <v>0</v>
      </c>
      <c r="AD273" s="70">
        <f>IFERROR(tblTarget[[#This Row],[Cluster Target]]/tblTarget[[#This Row],[Cluster PiN]],0)</f>
        <v>0</v>
      </c>
      <c r="AE273" s="79">
        <f>_xlfn.XLOOKUP(tblTarget[[#This Row],[ID]],tblResponse[ID],tblResponse[2024 Projected reached (Dec 2024)])</f>
        <v>0</v>
      </c>
      <c r="AF273" s="79">
        <f>_xlfn.XLOOKUP(tblTarget[[#This Row],[ID]],tblResponse[ID],tblResponse[2024 Intercluster reached -August RPM])</f>
        <v>28993.704908138101</v>
      </c>
      <c r="AG273" s="79">
        <v>1</v>
      </c>
      <c r="AH273" s="79"/>
      <c r="AI273" s="79"/>
      <c r="AJ273" s="70" t="str">
        <f>IF(tblTarget[[#This Row],[Target to PiN (%)]]&gt;Targ_vs_PiN,"Flagged","")</f>
        <v/>
      </c>
      <c r="AK273" s="69" t="str">
        <f>IF(AND(tblTarget[[#This Row],[Qualifies for exception]]="Flagged",tblTarget[[#This Row],[Target to PiN (%)]]&gt;Targ_severity5),"Flagged","")</f>
        <v/>
      </c>
      <c r="AL273" s="68" t="str">
        <f>IFERROR(IF(AND(tblTarget[[#This Row],[Intercluser Severity]]=4,tblTarget[[#This Row],[Qualifies for exception]]="Flagged",(tblTarget[[#This Row],[Cluster Target]]-tblTarget[[#This Row],[2024 Response capacity up to December]])/tblTarget[[#This Row],[Cluster Target]]&gt;Diff_severity4),"Flagged",""),"No target")</f>
        <v>No target</v>
      </c>
      <c r="AM273" s="68" t="str">
        <f>IFERROR(IF(AND(tblTarget[[#This Row],[Intercluser Severity]]=3,tblTarget[[#This Row],[Qualifies for exception]]="Flagged",(tblTarget[[#This Row],[Cluster Target]]-tblTarget[[#This Row],[2024 Response capacity up to December]])/tblTarget[[#This Row],[Cluster Target]]&gt;Diff_severity3),"Flagged",""),"No target")</f>
        <v>No target</v>
      </c>
      <c r="AN273" s="81" t="s">
        <v>1099</v>
      </c>
      <c r="AO273" s="81"/>
      <c r="AP273" s="81" t="s">
        <v>1099</v>
      </c>
      <c r="AQ273" s="81" t="s">
        <v>1107</v>
      </c>
    </row>
    <row r="274" spans="1:43" ht="15.95" customHeight="1" x14ac:dyDescent="0.2">
      <c r="A274" s="62" t="s">
        <v>711</v>
      </c>
      <c r="B274" s="63" t="s">
        <v>180</v>
      </c>
      <c r="C274" s="64" t="s">
        <v>181</v>
      </c>
      <c r="D274" s="63" t="s">
        <v>198</v>
      </c>
      <c r="E274" s="64" t="s">
        <v>199</v>
      </c>
      <c r="F274" s="65">
        <v>39030</v>
      </c>
      <c r="G274" s="66" t="s">
        <v>436</v>
      </c>
      <c r="H274" s="67">
        <v>30198</v>
      </c>
      <c r="I274" s="68">
        <v>3</v>
      </c>
      <c r="J274" s="68">
        <v>4</v>
      </c>
      <c r="K274" s="91">
        <v>1510</v>
      </c>
      <c r="L274" s="91">
        <v>779.21305085174777</v>
      </c>
      <c r="M274" s="91">
        <v>730.78694914825223</v>
      </c>
      <c r="N274" s="91">
        <v>830.50000000000011</v>
      </c>
      <c r="O274" s="91">
        <v>588.9</v>
      </c>
      <c r="P274" s="91">
        <v>90.6</v>
      </c>
      <c r="Q274" s="85">
        <v>226.5</v>
      </c>
      <c r="R274" s="68" t="s">
        <v>436</v>
      </c>
      <c r="S274" s="86">
        <v>217</v>
      </c>
      <c r="T274" s="68">
        <v>54</v>
      </c>
      <c r="U274" s="68">
        <v>10</v>
      </c>
      <c r="V274" s="68">
        <v>14</v>
      </c>
      <c r="W274" s="68">
        <v>15</v>
      </c>
      <c r="X274" s="68">
        <v>30</v>
      </c>
      <c r="Y274" s="68">
        <v>45</v>
      </c>
      <c r="Z274" s="68">
        <v>30</v>
      </c>
      <c r="AA274" s="68">
        <v>0</v>
      </c>
      <c r="AB274" s="69">
        <v>4</v>
      </c>
      <c r="AC274" s="69">
        <v>0</v>
      </c>
      <c r="AD274" s="70">
        <f>IFERROR(tblTarget[[#This Row],[Cluster Target]]/tblTarget[[#This Row],[Cluster PiN]],0)</f>
        <v>5.0003311477581296E-2</v>
      </c>
      <c r="AE274" s="79">
        <f>_xlfn.XLOOKUP(tblTarget[[#This Row],[ID]],tblResponse[ID],tblResponse[2024 Projected reached (Dec 2024)])</f>
        <v>0</v>
      </c>
      <c r="AF274" s="79">
        <f>_xlfn.XLOOKUP(tblTarget[[#This Row],[ID]],tblResponse[ID],tblResponse[2024 Intercluster reached -August RPM])</f>
        <v>6046.0765854637693</v>
      </c>
      <c r="AG274" s="79">
        <v>1</v>
      </c>
      <c r="AH274" s="79"/>
      <c r="AI274" s="79"/>
      <c r="AJ274" s="70" t="str">
        <f>IF(tblTarget[[#This Row],[Target to PiN (%)]]&gt;Targ_vs_PiN,"Flagged","")</f>
        <v/>
      </c>
      <c r="AK274" s="69" t="str">
        <f>IF(AND(tblTarget[[#This Row],[Qualifies for exception]]="Flagged",tblTarget[[#This Row],[Target to PiN (%)]]&gt;Targ_severity5),"Flagged","")</f>
        <v/>
      </c>
      <c r="AL274" s="68" t="str">
        <f>IFERROR(IF(AND(tblTarget[[#This Row],[Intercluser Severity]]=4,tblTarget[[#This Row],[Qualifies for exception]]="Flagged",(tblTarget[[#This Row],[Cluster Target]]-tblTarget[[#This Row],[2024 Response capacity up to December]])/tblTarget[[#This Row],[Cluster Target]]&gt;Diff_severity4),"Flagged",""),"No target")</f>
        <v>Flagged</v>
      </c>
      <c r="AM274" s="68" t="str">
        <f>IFERROR(IF(AND(tblTarget[[#This Row],[Intercluser Severity]]=3,tblTarget[[#This Row],[Qualifies for exception]]="Flagged",(tblTarget[[#This Row],[Cluster Target]]-tblTarget[[#This Row],[2024 Response capacity up to December]])/tblTarget[[#This Row],[Cluster Target]]&gt;Diff_severity3),"Flagged",""),"No target")</f>
        <v/>
      </c>
      <c r="AN274" s="81" t="s">
        <v>1099</v>
      </c>
      <c r="AO274" s="81"/>
      <c r="AP274" s="81" t="s">
        <v>1099</v>
      </c>
      <c r="AQ274" s="81" t="s">
        <v>1107</v>
      </c>
    </row>
    <row r="275" spans="1:43" ht="15.95" customHeight="1" x14ac:dyDescent="0.2">
      <c r="A275" s="62" t="s">
        <v>712</v>
      </c>
      <c r="B275" s="63" t="s">
        <v>180</v>
      </c>
      <c r="C275" s="64" t="s">
        <v>181</v>
      </c>
      <c r="D275" s="63" t="s">
        <v>200</v>
      </c>
      <c r="E275" s="64" t="s">
        <v>201</v>
      </c>
      <c r="F275" s="65">
        <v>84600</v>
      </c>
      <c r="G275" s="66" t="s">
        <v>436</v>
      </c>
      <c r="H275" s="67">
        <v>45083</v>
      </c>
      <c r="I275" s="68">
        <v>3</v>
      </c>
      <c r="J275" s="68">
        <v>4</v>
      </c>
      <c r="K275" s="91">
        <v>18033</v>
      </c>
      <c r="L275" s="91">
        <v>9136.8421465847678</v>
      </c>
      <c r="M275" s="91">
        <v>8896.1578534152304</v>
      </c>
      <c r="N275" s="91">
        <v>9918.1500000000015</v>
      </c>
      <c r="O275" s="91">
        <v>7032.87</v>
      </c>
      <c r="P275" s="91">
        <v>1081.98</v>
      </c>
      <c r="Q275" s="85">
        <v>2704.95</v>
      </c>
      <c r="R275" s="68" t="s">
        <v>15</v>
      </c>
      <c r="S275" s="86">
        <v>2597</v>
      </c>
      <c r="T275" s="68">
        <v>649</v>
      </c>
      <c r="U275" s="68">
        <v>122</v>
      </c>
      <c r="V275" s="68">
        <v>162</v>
      </c>
      <c r="W275" s="68">
        <v>180</v>
      </c>
      <c r="X275" s="68">
        <v>361</v>
      </c>
      <c r="Y275" s="68">
        <v>541</v>
      </c>
      <c r="Z275" s="68">
        <v>361</v>
      </c>
      <c r="AA275" s="68">
        <v>0</v>
      </c>
      <c r="AB275" s="69">
        <v>54</v>
      </c>
      <c r="AC275" s="69">
        <v>113.00858259811889</v>
      </c>
      <c r="AD275" s="70">
        <f>IFERROR(tblTarget[[#This Row],[Cluster Target]]/tblTarget[[#This Row],[Cluster PiN]],0)</f>
        <v>0.39999556373799439</v>
      </c>
      <c r="AE275" s="79">
        <f>_xlfn.XLOOKUP(tblTarget[[#This Row],[ID]],tblResponse[ID],tblResponse[2024 Projected reached (Dec 2024)])</f>
        <v>15385</v>
      </c>
      <c r="AF275" s="79">
        <f>_xlfn.XLOOKUP(tblTarget[[#This Row],[ID]],tblResponse[ID],tblResponse[2024 Intercluster reached -August RPM])</f>
        <v>8537.4175534670903</v>
      </c>
      <c r="AG275" s="79">
        <v>3</v>
      </c>
      <c r="AH275" s="79"/>
      <c r="AI275" s="79"/>
      <c r="AJ275" s="70" t="str">
        <f>IF(tblTarget[[#This Row],[Target to PiN (%)]]&gt;Targ_vs_PiN,"Flagged","")</f>
        <v/>
      </c>
      <c r="AK275" s="69" t="str">
        <f>IF(AND(tblTarget[[#This Row],[Qualifies for exception]]="Flagged",tblTarget[[#This Row],[Target to PiN (%)]]&gt;Targ_severity5),"Flagged","")</f>
        <v/>
      </c>
      <c r="AL275" s="68" t="str">
        <f>IFERROR(IF(AND(tblTarget[[#This Row],[Intercluser Severity]]=4,tblTarget[[#This Row],[Qualifies for exception]]="Flagged",(tblTarget[[#This Row],[Cluster Target]]-tblTarget[[#This Row],[2024 Response capacity up to December]])/tblTarget[[#This Row],[Cluster Target]]&gt;Diff_severity4),"Flagged",""),"No target")</f>
        <v/>
      </c>
      <c r="AM275" s="68" t="str">
        <f>IFERROR(IF(AND(tblTarget[[#This Row],[Intercluser Severity]]=3,tblTarget[[#This Row],[Qualifies for exception]]="Flagged",(tblTarget[[#This Row],[Cluster Target]]-tblTarget[[#This Row],[2024 Response capacity up to December]])/tblTarget[[#This Row],[Cluster Target]]&gt;Diff_severity3),"Flagged",""),"No target")</f>
        <v/>
      </c>
      <c r="AN275" s="81" t="s">
        <v>15</v>
      </c>
      <c r="AO275" s="81"/>
      <c r="AP275" s="81" t="s">
        <v>1099</v>
      </c>
      <c r="AQ275" s="81" t="s">
        <v>1098</v>
      </c>
    </row>
    <row r="276" spans="1:43" ht="15.95" customHeight="1" x14ac:dyDescent="0.2">
      <c r="A276" s="62" t="s">
        <v>713</v>
      </c>
      <c r="B276" s="63" t="s">
        <v>180</v>
      </c>
      <c r="C276" s="64" t="s">
        <v>181</v>
      </c>
      <c r="D276" s="63" t="s">
        <v>202</v>
      </c>
      <c r="E276" s="64" t="s">
        <v>203</v>
      </c>
      <c r="F276" s="65">
        <v>0</v>
      </c>
      <c r="G276" s="66" t="s">
        <v>436</v>
      </c>
      <c r="H276" s="67">
        <v>0</v>
      </c>
      <c r="I276" s="68">
        <v>4</v>
      </c>
      <c r="J276" s="68">
        <v>4</v>
      </c>
      <c r="K276" s="91">
        <v>0</v>
      </c>
      <c r="L276" s="91">
        <v>0</v>
      </c>
      <c r="M276" s="91">
        <v>0</v>
      </c>
      <c r="N276" s="91">
        <v>0</v>
      </c>
      <c r="O276" s="91">
        <v>0</v>
      </c>
      <c r="P276" s="91">
        <v>0</v>
      </c>
      <c r="Q276" s="85">
        <v>0</v>
      </c>
      <c r="R276" s="68" t="s">
        <v>436</v>
      </c>
      <c r="S276" s="86">
        <v>0</v>
      </c>
      <c r="T276" s="68">
        <v>0</v>
      </c>
      <c r="U276" s="68">
        <v>0</v>
      </c>
      <c r="V276" s="68">
        <v>0</v>
      </c>
      <c r="W276" s="68">
        <v>0</v>
      </c>
      <c r="X276" s="68">
        <v>0</v>
      </c>
      <c r="Y276" s="68">
        <v>0</v>
      </c>
      <c r="Z276" s="68">
        <v>0</v>
      </c>
      <c r="AA276" s="68">
        <v>0</v>
      </c>
      <c r="AB276" s="69">
        <v>0</v>
      </c>
      <c r="AC276" s="69">
        <v>0</v>
      </c>
      <c r="AD276" s="70">
        <f>IFERROR(tblTarget[[#This Row],[Cluster Target]]/tblTarget[[#This Row],[Cluster PiN]],0)</f>
        <v>0</v>
      </c>
      <c r="AE276" s="79">
        <f>_xlfn.XLOOKUP(tblTarget[[#This Row],[ID]],tblResponse[ID],tblResponse[2024 Projected reached (Dec 2024)])</f>
        <v>0</v>
      </c>
      <c r="AF276" s="79">
        <f>_xlfn.XLOOKUP(tblTarget[[#This Row],[ID]],tblResponse[ID],tblResponse[2024 Intercluster reached -August RPM])</f>
        <v>9904.2722062458106</v>
      </c>
      <c r="AG276" s="79">
        <v>1</v>
      </c>
      <c r="AH276" s="79"/>
      <c r="AI276" s="79"/>
      <c r="AJ276" s="70" t="str">
        <f>IF(tblTarget[[#This Row],[Target to PiN (%)]]&gt;Targ_vs_PiN,"Flagged","")</f>
        <v/>
      </c>
      <c r="AK276" s="69" t="str">
        <f>IF(AND(tblTarget[[#This Row],[Qualifies for exception]]="Flagged",tblTarget[[#This Row],[Target to PiN (%)]]&gt;Targ_severity5),"Flagged","")</f>
        <v/>
      </c>
      <c r="AL276" s="68" t="str">
        <f>IFERROR(IF(AND(tblTarget[[#This Row],[Intercluser Severity]]=4,tblTarget[[#This Row],[Qualifies for exception]]="Flagged",(tblTarget[[#This Row],[Cluster Target]]-tblTarget[[#This Row],[2024 Response capacity up to December]])/tblTarget[[#This Row],[Cluster Target]]&gt;Diff_severity4),"Flagged",""),"No target")</f>
        <v>No target</v>
      </c>
      <c r="AM276" s="68" t="str">
        <f>IFERROR(IF(AND(tblTarget[[#This Row],[Intercluser Severity]]=3,tblTarget[[#This Row],[Qualifies for exception]]="Flagged",(tblTarget[[#This Row],[Cluster Target]]-tblTarget[[#This Row],[2024 Response capacity up to December]])/tblTarget[[#This Row],[Cluster Target]]&gt;Diff_severity3),"Flagged",""),"No target")</f>
        <v>No target</v>
      </c>
      <c r="AN276" s="81" t="s">
        <v>1099</v>
      </c>
      <c r="AO276" s="81"/>
      <c r="AP276" s="81" t="s">
        <v>1099</v>
      </c>
      <c r="AQ276" s="81" t="s">
        <v>1107</v>
      </c>
    </row>
    <row r="277" spans="1:43" ht="15.95" customHeight="1" x14ac:dyDescent="0.2">
      <c r="A277" s="62" t="s">
        <v>714</v>
      </c>
      <c r="B277" s="63" t="s">
        <v>180</v>
      </c>
      <c r="C277" s="64" t="s">
        <v>181</v>
      </c>
      <c r="D277" s="63" t="s">
        <v>204</v>
      </c>
      <c r="E277" s="64" t="s">
        <v>205</v>
      </c>
      <c r="F277" s="65">
        <v>59211</v>
      </c>
      <c r="G277" s="66" t="s">
        <v>436</v>
      </c>
      <c r="H277" s="66">
        <v>50326</v>
      </c>
      <c r="I277" s="68">
        <v>4</v>
      </c>
      <c r="J277" s="68">
        <v>4</v>
      </c>
      <c r="K277" s="91">
        <v>20130</v>
      </c>
      <c r="L277" s="91">
        <v>10410.262279765082</v>
      </c>
      <c r="M277" s="91">
        <v>9719.7377202349162</v>
      </c>
      <c r="N277" s="91">
        <v>11071.5</v>
      </c>
      <c r="O277" s="91">
        <v>7850.7</v>
      </c>
      <c r="P277" s="91">
        <v>1207.8</v>
      </c>
      <c r="Q277" s="85">
        <v>3019.5</v>
      </c>
      <c r="R277" s="68" t="s">
        <v>15</v>
      </c>
      <c r="S277" s="86">
        <v>2899</v>
      </c>
      <c r="T277" s="68">
        <v>725</v>
      </c>
      <c r="U277" s="68">
        <v>136</v>
      </c>
      <c r="V277" s="68">
        <v>181</v>
      </c>
      <c r="W277" s="68">
        <v>201</v>
      </c>
      <c r="X277" s="68">
        <v>403</v>
      </c>
      <c r="Y277" s="68">
        <v>604</v>
      </c>
      <c r="Z277" s="68">
        <v>403</v>
      </c>
      <c r="AA277" s="68">
        <v>0</v>
      </c>
      <c r="AB277" s="69">
        <v>60</v>
      </c>
      <c r="AC277" s="69">
        <v>113.00858259811889</v>
      </c>
      <c r="AD277" s="70">
        <f>IFERROR(tblTarget[[#This Row],[Cluster Target]]/tblTarget[[#This Row],[Cluster PiN]],0)</f>
        <v>0.39999205182211978</v>
      </c>
      <c r="AE277" s="79">
        <f>_xlfn.XLOOKUP(tblTarget[[#This Row],[ID]],tblResponse[ID],tblResponse[2024 Projected reached (Dec 2024)])</f>
        <v>0</v>
      </c>
      <c r="AF277" s="79">
        <f>_xlfn.XLOOKUP(tblTarget[[#This Row],[ID]],tblResponse[ID],tblResponse[2024 Intercluster reached -August RPM])</f>
        <v>1293.2020837693412</v>
      </c>
      <c r="AG277" s="79">
        <v>2</v>
      </c>
      <c r="AH277" s="79"/>
      <c r="AI277" s="79"/>
      <c r="AJ277" s="70" t="str">
        <f>IF(tblTarget[[#This Row],[Target to PiN (%)]]&gt;Targ_vs_PiN,"Flagged","")</f>
        <v/>
      </c>
      <c r="AK277" s="69" t="str">
        <f>IF(AND(tblTarget[[#This Row],[Qualifies for exception]]="Flagged",tblTarget[[#This Row],[Target to PiN (%)]]&gt;Targ_severity5),"Flagged","")</f>
        <v/>
      </c>
      <c r="AL277" s="68" t="str">
        <f>IFERROR(IF(AND(tblTarget[[#This Row],[Intercluser Severity]]=4,tblTarget[[#This Row],[Qualifies for exception]]="Flagged",(tblTarget[[#This Row],[Cluster Target]]-tblTarget[[#This Row],[2024 Response capacity up to December]])/tblTarget[[#This Row],[Cluster Target]]&gt;Diff_severity4),"Flagged",""),"No target")</f>
        <v/>
      </c>
      <c r="AM277" s="68" t="str">
        <f>IFERROR(IF(AND(tblTarget[[#This Row],[Intercluser Severity]]=3,tblTarget[[#This Row],[Qualifies for exception]]="Flagged",(tblTarget[[#This Row],[Cluster Target]]-tblTarget[[#This Row],[2024 Response capacity up to December]])/tblTarget[[#This Row],[Cluster Target]]&gt;Diff_severity3),"Flagged",""),"No target")</f>
        <v/>
      </c>
      <c r="AN277" s="81" t="s">
        <v>1099</v>
      </c>
      <c r="AO277" s="81"/>
      <c r="AP277" s="81" t="s">
        <v>15</v>
      </c>
      <c r="AQ277" s="81" t="s">
        <v>1098</v>
      </c>
    </row>
    <row r="278" spans="1:43" ht="15.95" customHeight="1" x14ac:dyDescent="0.2">
      <c r="A278" s="62" t="s">
        <v>715</v>
      </c>
      <c r="B278" s="63" t="s">
        <v>180</v>
      </c>
      <c r="C278" s="64" t="s">
        <v>181</v>
      </c>
      <c r="D278" s="63" t="s">
        <v>206</v>
      </c>
      <c r="E278" s="64" t="s">
        <v>207</v>
      </c>
      <c r="F278" s="65">
        <v>26703</v>
      </c>
      <c r="G278" s="66" t="s">
        <v>436</v>
      </c>
      <c r="H278" s="67">
        <v>16265</v>
      </c>
      <c r="I278" s="68">
        <v>3</v>
      </c>
      <c r="J278" s="68">
        <v>4</v>
      </c>
      <c r="K278" s="91">
        <v>1627</v>
      </c>
      <c r="L278" s="91">
        <v>847.85558461569644</v>
      </c>
      <c r="M278" s="91">
        <v>779.14441538430356</v>
      </c>
      <c r="N278" s="91">
        <v>894.85</v>
      </c>
      <c r="O278" s="91">
        <v>634.53</v>
      </c>
      <c r="P278" s="91">
        <v>97.61999999999999</v>
      </c>
      <c r="Q278" s="85">
        <v>244.04999999999998</v>
      </c>
      <c r="R278" s="68" t="s">
        <v>436</v>
      </c>
      <c r="S278" s="86">
        <v>234</v>
      </c>
      <c r="T278" s="68">
        <v>59</v>
      </c>
      <c r="U278" s="68">
        <v>11</v>
      </c>
      <c r="V278" s="68">
        <v>15</v>
      </c>
      <c r="W278" s="68">
        <v>16</v>
      </c>
      <c r="X278" s="68">
        <v>33</v>
      </c>
      <c r="Y278" s="68">
        <v>49</v>
      </c>
      <c r="Z278" s="68">
        <v>33</v>
      </c>
      <c r="AA278" s="68">
        <v>0</v>
      </c>
      <c r="AB278" s="69">
        <v>4</v>
      </c>
      <c r="AC278" s="69">
        <v>0</v>
      </c>
      <c r="AD278" s="70">
        <f>IFERROR(tblTarget[[#This Row],[Cluster Target]]/tblTarget[[#This Row],[Cluster PiN]],0)</f>
        <v>0.10003074085459576</v>
      </c>
      <c r="AE278" s="79">
        <f>_xlfn.XLOOKUP(tblTarget[[#This Row],[ID]],tblResponse[ID],tblResponse[2024 Projected reached (Dec 2024)])</f>
        <v>0</v>
      </c>
      <c r="AF278" s="79">
        <f>_xlfn.XLOOKUP(tblTarget[[#This Row],[ID]],tblResponse[ID],tblResponse[2024 Intercluster reached -August RPM])</f>
        <v>3478.7992478616316</v>
      </c>
      <c r="AG278" s="79">
        <v>1</v>
      </c>
      <c r="AH278" s="79"/>
      <c r="AI278" s="79"/>
      <c r="AJ278" s="70" t="str">
        <f>IF(tblTarget[[#This Row],[Target to PiN (%)]]&gt;Targ_vs_PiN,"Flagged","")</f>
        <v/>
      </c>
      <c r="AK278" s="69" t="str">
        <f>IF(AND(tblTarget[[#This Row],[Qualifies for exception]]="Flagged",tblTarget[[#This Row],[Target to PiN (%)]]&gt;Targ_severity5),"Flagged","")</f>
        <v/>
      </c>
      <c r="AL278" s="68" t="str">
        <f>IFERROR(IF(AND(tblTarget[[#This Row],[Intercluser Severity]]=4,tblTarget[[#This Row],[Qualifies for exception]]="Flagged",(tblTarget[[#This Row],[Cluster Target]]-tblTarget[[#This Row],[2024 Response capacity up to December]])/tblTarget[[#This Row],[Cluster Target]]&gt;Diff_severity4),"Flagged",""),"No target")</f>
        <v>Flagged</v>
      </c>
      <c r="AM278" s="68" t="str">
        <f>IFERROR(IF(AND(tblTarget[[#This Row],[Intercluser Severity]]=3,tblTarget[[#This Row],[Qualifies for exception]]="Flagged",(tblTarget[[#This Row],[Cluster Target]]-tblTarget[[#This Row],[2024 Response capacity up to December]])/tblTarget[[#This Row],[Cluster Target]]&gt;Diff_severity3),"Flagged",""),"No target")</f>
        <v/>
      </c>
      <c r="AN278" s="81" t="s">
        <v>1099</v>
      </c>
      <c r="AO278" s="81"/>
      <c r="AP278" s="81" t="s">
        <v>1099</v>
      </c>
      <c r="AQ278" s="81" t="s">
        <v>1107</v>
      </c>
    </row>
    <row r="279" spans="1:43" ht="15.95" customHeight="1" x14ac:dyDescent="0.2">
      <c r="A279" s="62" t="s">
        <v>716</v>
      </c>
      <c r="B279" s="63" t="s">
        <v>180</v>
      </c>
      <c r="C279" s="64" t="s">
        <v>181</v>
      </c>
      <c r="D279" s="63" t="s">
        <v>208</v>
      </c>
      <c r="E279" s="64" t="s">
        <v>209</v>
      </c>
      <c r="F279" s="65">
        <v>6641</v>
      </c>
      <c r="G279" s="66" t="s">
        <v>436</v>
      </c>
      <c r="H279" s="67">
        <v>5672</v>
      </c>
      <c r="I279" s="68">
        <v>3</v>
      </c>
      <c r="J279" s="68">
        <v>4</v>
      </c>
      <c r="K279" s="91">
        <v>567</v>
      </c>
      <c r="L279" s="91">
        <v>296.75661971830988</v>
      </c>
      <c r="M279" s="91">
        <v>270.24338028169012</v>
      </c>
      <c r="N279" s="91">
        <v>311.85000000000002</v>
      </c>
      <c r="O279" s="91">
        <v>221.13</v>
      </c>
      <c r="P279" s="91">
        <v>34.019999999999996</v>
      </c>
      <c r="Q279" s="85">
        <v>85.05</v>
      </c>
      <c r="R279" s="68" t="s">
        <v>436</v>
      </c>
      <c r="S279" s="86">
        <v>82</v>
      </c>
      <c r="T279" s="68">
        <v>20</v>
      </c>
      <c r="U279" s="68">
        <v>4</v>
      </c>
      <c r="V279" s="68">
        <v>5</v>
      </c>
      <c r="W279" s="68">
        <v>6</v>
      </c>
      <c r="X279" s="68">
        <v>11</v>
      </c>
      <c r="Y279" s="68">
        <v>17</v>
      </c>
      <c r="Z279" s="68">
        <v>11</v>
      </c>
      <c r="AA279" s="68">
        <v>0</v>
      </c>
      <c r="AB279" s="69">
        <v>2</v>
      </c>
      <c r="AC279" s="69">
        <v>0</v>
      </c>
      <c r="AD279" s="70">
        <f>IFERROR(tblTarget[[#This Row],[Cluster Target]]/tblTarget[[#This Row],[Cluster PiN]],0)</f>
        <v>9.9964739069111422E-2</v>
      </c>
      <c r="AE279" s="79">
        <f>_xlfn.XLOOKUP(tblTarget[[#This Row],[ID]],tblResponse[ID],tblResponse[2024 Projected reached (Dec 2024)])</f>
        <v>0</v>
      </c>
      <c r="AF279" s="79">
        <f>_xlfn.XLOOKUP(tblTarget[[#This Row],[ID]],tblResponse[ID],tblResponse[2024 Intercluster reached -August RPM])</f>
        <v>50921.616267628306</v>
      </c>
      <c r="AG279" s="79">
        <v>1</v>
      </c>
      <c r="AH279" s="79"/>
      <c r="AI279" s="79"/>
      <c r="AJ279" s="70" t="str">
        <f>IF(tblTarget[[#This Row],[Target to PiN (%)]]&gt;Targ_vs_PiN,"Flagged","")</f>
        <v/>
      </c>
      <c r="AK279" s="69" t="str">
        <f>IF(AND(tblTarget[[#This Row],[Qualifies for exception]]="Flagged",tblTarget[[#This Row],[Target to PiN (%)]]&gt;Targ_severity5),"Flagged","")</f>
        <v/>
      </c>
      <c r="AL279" s="68" t="str">
        <f>IFERROR(IF(AND(tblTarget[[#This Row],[Intercluser Severity]]=4,tblTarget[[#This Row],[Qualifies for exception]]="Flagged",(tblTarget[[#This Row],[Cluster Target]]-tblTarget[[#This Row],[2024 Response capacity up to December]])/tblTarget[[#This Row],[Cluster Target]]&gt;Diff_severity4),"Flagged",""),"No target")</f>
        <v>Flagged</v>
      </c>
      <c r="AM279" s="68" t="str">
        <f>IFERROR(IF(AND(tblTarget[[#This Row],[Intercluser Severity]]=3,tblTarget[[#This Row],[Qualifies for exception]]="Flagged",(tblTarget[[#This Row],[Cluster Target]]-tblTarget[[#This Row],[2024 Response capacity up to December]])/tblTarget[[#This Row],[Cluster Target]]&gt;Diff_severity3),"Flagged",""),"No target")</f>
        <v/>
      </c>
      <c r="AN279" s="81" t="s">
        <v>1099</v>
      </c>
      <c r="AO279" s="81"/>
      <c r="AP279" s="81" t="s">
        <v>1099</v>
      </c>
      <c r="AQ279" s="81" t="s">
        <v>1107</v>
      </c>
    </row>
    <row r="280" spans="1:43" ht="15.95" customHeight="1" x14ac:dyDescent="0.2">
      <c r="A280" s="62" t="s">
        <v>717</v>
      </c>
      <c r="B280" s="63" t="s">
        <v>180</v>
      </c>
      <c r="C280" s="64" t="s">
        <v>181</v>
      </c>
      <c r="D280" s="63" t="s">
        <v>210</v>
      </c>
      <c r="E280" s="64" t="s">
        <v>211</v>
      </c>
      <c r="F280" s="65">
        <v>2093</v>
      </c>
      <c r="G280" s="66" t="s">
        <v>436</v>
      </c>
      <c r="H280" s="67">
        <v>933</v>
      </c>
      <c r="I280" s="68">
        <v>3</v>
      </c>
      <c r="J280" s="68">
        <v>4</v>
      </c>
      <c r="K280" s="91">
        <v>47</v>
      </c>
      <c r="L280" s="91">
        <v>24.053485182755949</v>
      </c>
      <c r="M280" s="91">
        <v>22.946514817244051</v>
      </c>
      <c r="N280" s="91">
        <v>25.85</v>
      </c>
      <c r="O280" s="91">
        <v>18.330000000000002</v>
      </c>
      <c r="P280" s="91">
        <v>2.82</v>
      </c>
      <c r="Q280" s="85">
        <v>7.05</v>
      </c>
      <c r="R280" s="68" t="s">
        <v>436</v>
      </c>
      <c r="S280" s="86">
        <v>7</v>
      </c>
      <c r="T280" s="68">
        <v>2</v>
      </c>
      <c r="U280" s="68">
        <v>0</v>
      </c>
      <c r="V280" s="68">
        <v>0</v>
      </c>
      <c r="W280" s="68">
        <v>0</v>
      </c>
      <c r="X280" s="68">
        <v>1</v>
      </c>
      <c r="Y280" s="68">
        <v>1</v>
      </c>
      <c r="Z280" s="68">
        <v>1</v>
      </c>
      <c r="AA280" s="68">
        <v>0</v>
      </c>
      <c r="AB280" s="69">
        <v>0</v>
      </c>
      <c r="AC280" s="69">
        <v>0</v>
      </c>
      <c r="AD280" s="70">
        <f>IFERROR(tblTarget[[#This Row],[Cluster Target]]/tblTarget[[#This Row],[Cluster PiN]],0)</f>
        <v>5.0375133976420149E-2</v>
      </c>
      <c r="AE280" s="79">
        <f>_xlfn.XLOOKUP(tblTarget[[#This Row],[ID]],tblResponse[ID],tblResponse[2024 Projected reached (Dec 2024)])</f>
        <v>0</v>
      </c>
      <c r="AF280" s="79">
        <f>_xlfn.XLOOKUP(tblTarget[[#This Row],[ID]],tblResponse[ID],tblResponse[2024 Intercluster reached -August RPM])</f>
        <v>19723.472840535051</v>
      </c>
      <c r="AG280" s="79">
        <v>1</v>
      </c>
      <c r="AH280" s="79"/>
      <c r="AI280" s="79"/>
      <c r="AJ280" s="70" t="str">
        <f>IF(tblTarget[[#This Row],[Target to PiN (%)]]&gt;Targ_vs_PiN,"Flagged","")</f>
        <v/>
      </c>
      <c r="AK280" s="69" t="str">
        <f>IF(AND(tblTarget[[#This Row],[Qualifies for exception]]="Flagged",tblTarget[[#This Row],[Target to PiN (%)]]&gt;Targ_severity5),"Flagged","")</f>
        <v/>
      </c>
      <c r="AL280" s="68" t="str">
        <f>IFERROR(IF(AND(tblTarget[[#This Row],[Intercluser Severity]]=4,tblTarget[[#This Row],[Qualifies for exception]]="Flagged",(tblTarget[[#This Row],[Cluster Target]]-tblTarget[[#This Row],[2024 Response capacity up to December]])/tblTarget[[#This Row],[Cluster Target]]&gt;Diff_severity4),"Flagged",""),"No target")</f>
        <v>Flagged</v>
      </c>
      <c r="AM280" s="68" t="str">
        <f>IFERROR(IF(AND(tblTarget[[#This Row],[Intercluser Severity]]=3,tblTarget[[#This Row],[Qualifies for exception]]="Flagged",(tblTarget[[#This Row],[Cluster Target]]-tblTarget[[#This Row],[2024 Response capacity up to December]])/tblTarget[[#This Row],[Cluster Target]]&gt;Diff_severity3),"Flagged",""),"No target")</f>
        <v/>
      </c>
      <c r="AN280" s="81" t="s">
        <v>1099</v>
      </c>
      <c r="AO280" s="81"/>
      <c r="AP280" s="81" t="s">
        <v>1099</v>
      </c>
      <c r="AQ280" s="81" t="s">
        <v>1107</v>
      </c>
    </row>
    <row r="281" spans="1:43" ht="15.95" customHeight="1" x14ac:dyDescent="0.2">
      <c r="A281" s="62" t="s">
        <v>718</v>
      </c>
      <c r="B281" s="63" t="s">
        <v>180</v>
      </c>
      <c r="C281" s="64" t="s">
        <v>181</v>
      </c>
      <c r="D281" s="63" t="s">
        <v>212</v>
      </c>
      <c r="E281" s="64" t="s">
        <v>213</v>
      </c>
      <c r="F281" s="65">
        <v>4781</v>
      </c>
      <c r="G281" s="66" t="s">
        <v>436</v>
      </c>
      <c r="H281" s="67">
        <v>3117</v>
      </c>
      <c r="I281" s="68">
        <v>3</v>
      </c>
      <c r="J281" s="68">
        <v>4</v>
      </c>
      <c r="K281" s="91">
        <v>312</v>
      </c>
      <c r="L281" s="91">
        <v>155.52627409559017</v>
      </c>
      <c r="M281" s="91">
        <v>156.47372590440983</v>
      </c>
      <c r="N281" s="91">
        <v>171.60000000000002</v>
      </c>
      <c r="O281" s="91">
        <v>121.68</v>
      </c>
      <c r="P281" s="91">
        <v>18.72</v>
      </c>
      <c r="Q281" s="85">
        <v>46.8</v>
      </c>
      <c r="R281" s="68" t="s">
        <v>436</v>
      </c>
      <c r="S281" s="86">
        <v>45</v>
      </c>
      <c r="T281" s="68">
        <v>11</v>
      </c>
      <c r="U281" s="68">
        <v>2</v>
      </c>
      <c r="V281" s="68">
        <v>3</v>
      </c>
      <c r="W281" s="68">
        <v>3</v>
      </c>
      <c r="X281" s="68">
        <v>6</v>
      </c>
      <c r="Y281" s="68">
        <v>9</v>
      </c>
      <c r="Z281" s="68">
        <v>6</v>
      </c>
      <c r="AA281" s="68">
        <v>0</v>
      </c>
      <c r="AB281" s="69">
        <v>0</v>
      </c>
      <c r="AC281" s="69">
        <v>0</v>
      </c>
      <c r="AD281" s="70">
        <f>IFERROR(tblTarget[[#This Row],[Cluster Target]]/tblTarget[[#This Row],[Cluster PiN]],0)</f>
        <v>0.10009624639076034</v>
      </c>
      <c r="AE281" s="79">
        <f>_xlfn.XLOOKUP(tblTarget[[#This Row],[ID]],tblResponse[ID],tblResponse[2024 Projected reached (Dec 2024)])</f>
        <v>0</v>
      </c>
      <c r="AF281" s="79">
        <f>_xlfn.XLOOKUP(tblTarget[[#This Row],[ID]],tblResponse[ID],tblResponse[2024 Intercluster reached -August RPM])</f>
        <v>656.59266946346236</v>
      </c>
      <c r="AG281" s="79">
        <v>1</v>
      </c>
      <c r="AH281" s="79"/>
      <c r="AI281" s="79"/>
      <c r="AJ281" s="70" t="str">
        <f>IF(tblTarget[[#This Row],[Target to PiN (%)]]&gt;Targ_vs_PiN,"Flagged","")</f>
        <v/>
      </c>
      <c r="AK281" s="69" t="str">
        <f>IF(AND(tblTarget[[#This Row],[Qualifies for exception]]="Flagged",tblTarget[[#This Row],[Target to PiN (%)]]&gt;Targ_severity5),"Flagged","")</f>
        <v/>
      </c>
      <c r="AL281" s="68" t="str">
        <f>IFERROR(IF(AND(tblTarget[[#This Row],[Intercluser Severity]]=4,tblTarget[[#This Row],[Qualifies for exception]]="Flagged",(tblTarget[[#This Row],[Cluster Target]]-tblTarget[[#This Row],[2024 Response capacity up to December]])/tblTarget[[#This Row],[Cluster Target]]&gt;Diff_severity4),"Flagged",""),"No target")</f>
        <v>Flagged</v>
      </c>
      <c r="AM281" s="68" t="str">
        <f>IFERROR(IF(AND(tblTarget[[#This Row],[Intercluser Severity]]=3,tblTarget[[#This Row],[Qualifies for exception]]="Flagged",(tblTarget[[#This Row],[Cluster Target]]-tblTarget[[#This Row],[2024 Response capacity up to December]])/tblTarget[[#This Row],[Cluster Target]]&gt;Diff_severity3),"Flagged",""),"No target")</f>
        <v/>
      </c>
      <c r="AN281" s="81" t="s">
        <v>1099</v>
      </c>
      <c r="AO281" s="81"/>
      <c r="AP281" s="81" t="s">
        <v>1099</v>
      </c>
      <c r="AQ281" s="81" t="s">
        <v>1107</v>
      </c>
    </row>
    <row r="282" spans="1:43" ht="15.95" customHeight="1" x14ac:dyDescent="0.2">
      <c r="A282" s="62" t="s">
        <v>719</v>
      </c>
      <c r="B282" s="63" t="s">
        <v>180</v>
      </c>
      <c r="C282" s="64" t="s">
        <v>181</v>
      </c>
      <c r="D282" s="63" t="s">
        <v>214</v>
      </c>
      <c r="E282" s="64" t="s">
        <v>215</v>
      </c>
      <c r="F282" s="65">
        <v>13458</v>
      </c>
      <c r="G282" s="66" t="s">
        <v>436</v>
      </c>
      <c r="H282" s="67">
        <v>8084</v>
      </c>
      <c r="I282" s="68">
        <v>3</v>
      </c>
      <c r="J282" s="68">
        <v>4</v>
      </c>
      <c r="K282" s="91">
        <v>808</v>
      </c>
      <c r="L282" s="91">
        <v>419.58215469845129</v>
      </c>
      <c r="M282" s="91">
        <v>388.41784530154865</v>
      </c>
      <c r="N282" s="91">
        <v>444.40000000000003</v>
      </c>
      <c r="O282" s="91">
        <v>315.12</v>
      </c>
      <c r="P282" s="91">
        <v>48.48</v>
      </c>
      <c r="Q282" s="85">
        <v>121.19999999999999</v>
      </c>
      <c r="R282" s="68" t="s">
        <v>15</v>
      </c>
      <c r="S282" s="86">
        <v>116</v>
      </c>
      <c r="T282" s="68">
        <v>29</v>
      </c>
      <c r="U282" s="68">
        <v>5</v>
      </c>
      <c r="V282" s="68">
        <v>7</v>
      </c>
      <c r="W282" s="68">
        <v>8</v>
      </c>
      <c r="X282" s="68">
        <v>16</v>
      </c>
      <c r="Y282" s="68">
        <v>24</v>
      </c>
      <c r="Z282" s="68">
        <v>16</v>
      </c>
      <c r="AA282" s="68">
        <v>0</v>
      </c>
      <c r="AB282" s="69">
        <v>2</v>
      </c>
      <c r="AC282" s="69">
        <v>0</v>
      </c>
      <c r="AD282" s="70">
        <f>IFERROR(tblTarget[[#This Row],[Cluster Target]]/tblTarget[[#This Row],[Cluster PiN]],0)</f>
        <v>9.9950519544779806E-2</v>
      </c>
      <c r="AE282" s="79">
        <f>_xlfn.XLOOKUP(tblTarget[[#This Row],[ID]],tblResponse[ID],tblResponse[2024 Projected reached (Dec 2024)])</f>
        <v>0</v>
      </c>
      <c r="AF282" s="79">
        <f>_xlfn.XLOOKUP(tblTarget[[#This Row],[ID]],tblResponse[ID],tblResponse[2024 Intercluster reached -August RPM])</f>
        <v>18712.891079708679</v>
      </c>
      <c r="AG282" s="79">
        <v>1</v>
      </c>
      <c r="AH282" s="79"/>
      <c r="AI282" s="79"/>
      <c r="AJ282" s="70" t="str">
        <f>IF(tblTarget[[#This Row],[Target to PiN (%)]]&gt;Targ_vs_PiN,"Flagged","")</f>
        <v/>
      </c>
      <c r="AK282" s="69" t="str">
        <f>IF(AND(tblTarget[[#This Row],[Qualifies for exception]]="Flagged",tblTarget[[#This Row],[Target to PiN (%)]]&gt;Targ_severity5),"Flagged","")</f>
        <v/>
      </c>
      <c r="AL282" s="68" t="str">
        <f>IFERROR(IF(AND(tblTarget[[#This Row],[Intercluser Severity]]=4,tblTarget[[#This Row],[Qualifies for exception]]="Flagged",(tblTarget[[#This Row],[Cluster Target]]-tblTarget[[#This Row],[2024 Response capacity up to December]])/tblTarget[[#This Row],[Cluster Target]]&gt;Diff_severity4),"Flagged",""),"No target")</f>
        <v/>
      </c>
      <c r="AM282" s="68" t="str">
        <f>IFERROR(IF(AND(tblTarget[[#This Row],[Intercluser Severity]]=3,tblTarget[[#This Row],[Qualifies for exception]]="Flagged",(tblTarget[[#This Row],[Cluster Target]]-tblTarget[[#This Row],[2024 Response capacity up to December]])/tblTarget[[#This Row],[Cluster Target]]&gt;Diff_severity3),"Flagged",""),"No target")</f>
        <v/>
      </c>
      <c r="AN282" s="81" t="s">
        <v>1099</v>
      </c>
      <c r="AO282" s="81"/>
      <c r="AP282" s="81" t="s">
        <v>15</v>
      </c>
      <c r="AQ282" s="81" t="s">
        <v>1098</v>
      </c>
    </row>
    <row r="283" spans="1:43" ht="15.95" customHeight="1" x14ac:dyDescent="0.2">
      <c r="A283" s="62" t="s">
        <v>720</v>
      </c>
      <c r="B283" s="63" t="s">
        <v>216</v>
      </c>
      <c r="C283" s="64" t="s">
        <v>217</v>
      </c>
      <c r="D283" s="63" t="s">
        <v>218</v>
      </c>
      <c r="E283" s="64" t="s">
        <v>219</v>
      </c>
      <c r="F283" s="65">
        <v>50471</v>
      </c>
      <c r="G283" s="66" t="s">
        <v>436</v>
      </c>
      <c r="H283" s="71">
        <v>44046</v>
      </c>
      <c r="I283" s="68">
        <v>4</v>
      </c>
      <c r="J283" s="68">
        <v>4</v>
      </c>
      <c r="K283" s="91">
        <v>4405</v>
      </c>
      <c r="L283" s="91">
        <v>2225.3274834001095</v>
      </c>
      <c r="M283" s="91">
        <v>2179.672516599891</v>
      </c>
      <c r="N283" s="91">
        <v>2422.75</v>
      </c>
      <c r="O283" s="91">
        <v>1717.95</v>
      </c>
      <c r="P283" s="91">
        <v>264.3</v>
      </c>
      <c r="Q283" s="85">
        <v>660.75</v>
      </c>
      <c r="R283" s="68" t="s">
        <v>436</v>
      </c>
      <c r="S283" s="86">
        <v>634</v>
      </c>
      <c r="T283" s="68">
        <v>159</v>
      </c>
      <c r="U283" s="68">
        <v>30</v>
      </c>
      <c r="V283" s="68">
        <v>40</v>
      </c>
      <c r="W283" s="68">
        <v>44</v>
      </c>
      <c r="X283" s="68">
        <v>88</v>
      </c>
      <c r="Y283" s="68">
        <v>132</v>
      </c>
      <c r="Z283" s="68">
        <v>88</v>
      </c>
      <c r="AA283" s="68">
        <v>0</v>
      </c>
      <c r="AB283" s="69">
        <v>12</v>
      </c>
      <c r="AC283" s="69">
        <v>37.669527532706297</v>
      </c>
      <c r="AD283" s="70">
        <f>IFERROR(tblTarget[[#This Row],[Cluster Target]]/tblTarget[[#This Row],[Cluster PiN]],0)</f>
        <v>0.10000908141488445</v>
      </c>
      <c r="AE283" s="79">
        <f>_xlfn.XLOOKUP(tblTarget[[#This Row],[ID]],tblResponse[ID],tblResponse[2024 Projected reached (Dec 2024)])</f>
        <v>0</v>
      </c>
      <c r="AF283" s="79">
        <f>_xlfn.XLOOKUP(tblTarget[[#This Row],[ID]],tblResponse[ID],tblResponse[2024 Intercluster reached -August RPM])</f>
        <v>13151.265694279473</v>
      </c>
      <c r="AG283" s="79">
        <v>1</v>
      </c>
      <c r="AH283" s="79"/>
      <c r="AI283" s="79"/>
      <c r="AJ283" s="70" t="str">
        <f>IF(tblTarget[[#This Row],[Target to PiN (%)]]&gt;Targ_vs_PiN,"Flagged","")</f>
        <v/>
      </c>
      <c r="AK283" s="69" t="str">
        <f>IF(AND(tblTarget[[#This Row],[Qualifies for exception]]="Flagged",tblTarget[[#This Row],[Target to PiN (%)]]&gt;Targ_severity5),"Flagged","")</f>
        <v/>
      </c>
      <c r="AL283" s="68" t="str">
        <f>IFERROR(IF(AND(tblTarget[[#This Row],[Intercluser Severity]]=4,tblTarget[[#This Row],[Qualifies for exception]]="Flagged",(tblTarget[[#This Row],[Cluster Target]]-tblTarget[[#This Row],[2024 Response capacity up to December]])/tblTarget[[#This Row],[Cluster Target]]&gt;Diff_severity4),"Flagged",""),"No target")</f>
        <v>Flagged</v>
      </c>
      <c r="AM283" s="68" t="str">
        <f>IFERROR(IF(AND(tblTarget[[#This Row],[Intercluser Severity]]=3,tblTarget[[#This Row],[Qualifies for exception]]="Flagged",(tblTarget[[#This Row],[Cluster Target]]-tblTarget[[#This Row],[2024 Response capacity up to December]])/tblTarget[[#This Row],[Cluster Target]]&gt;Diff_severity3),"Flagged",""),"No target")</f>
        <v/>
      </c>
      <c r="AN283" s="81" t="s">
        <v>1099</v>
      </c>
      <c r="AO283" s="81"/>
      <c r="AP283" s="81" t="s">
        <v>1099</v>
      </c>
      <c r="AQ283" s="81" t="s">
        <v>1107</v>
      </c>
    </row>
    <row r="284" spans="1:43" ht="15.95" customHeight="1" x14ac:dyDescent="0.2">
      <c r="A284" s="62" t="s">
        <v>721</v>
      </c>
      <c r="B284" s="63" t="s">
        <v>216</v>
      </c>
      <c r="C284" s="64" t="s">
        <v>217</v>
      </c>
      <c r="D284" s="63" t="s">
        <v>220</v>
      </c>
      <c r="E284" s="64" t="s">
        <v>221</v>
      </c>
      <c r="F284" s="65">
        <v>126167</v>
      </c>
      <c r="G284" s="66" t="s">
        <v>436</v>
      </c>
      <c r="H284" s="71">
        <v>75814</v>
      </c>
      <c r="I284" s="68">
        <v>3</v>
      </c>
      <c r="J284" s="68">
        <v>3</v>
      </c>
      <c r="K284" s="91">
        <v>15163</v>
      </c>
      <c r="L284" s="91">
        <v>7614.3210462338984</v>
      </c>
      <c r="M284" s="91">
        <v>7548.6789537661007</v>
      </c>
      <c r="N284" s="91">
        <v>8339.6500000000015</v>
      </c>
      <c r="O284" s="91">
        <v>5913.5700000000006</v>
      </c>
      <c r="P284" s="91">
        <v>909.78</v>
      </c>
      <c r="Q284" s="85">
        <v>2274.4499999999998</v>
      </c>
      <c r="R284" s="68" t="s">
        <v>436</v>
      </c>
      <c r="S284" s="86">
        <v>2183</v>
      </c>
      <c r="T284" s="68">
        <v>546</v>
      </c>
      <c r="U284" s="68">
        <v>102</v>
      </c>
      <c r="V284" s="68">
        <v>136</v>
      </c>
      <c r="W284" s="68">
        <v>152</v>
      </c>
      <c r="X284" s="68">
        <v>303</v>
      </c>
      <c r="Y284" s="68">
        <v>455</v>
      </c>
      <c r="Z284" s="68">
        <v>303</v>
      </c>
      <c r="AA284" s="68">
        <v>0</v>
      </c>
      <c r="AB284" s="69">
        <v>44</v>
      </c>
      <c r="AC284" s="69">
        <v>75.339055065412595</v>
      </c>
      <c r="AD284" s="70">
        <f>IFERROR(tblTarget[[#This Row],[Cluster Target]]/tblTarget[[#This Row],[Cluster PiN]],0)</f>
        <v>0.20000263803519139</v>
      </c>
      <c r="AE284" s="79">
        <f>_xlfn.XLOOKUP(tblTarget[[#This Row],[ID]],tblResponse[ID],tblResponse[2024 Projected reached (Dec 2024)])</f>
        <v>81200</v>
      </c>
      <c r="AF284" s="79">
        <f>_xlfn.XLOOKUP(tblTarget[[#This Row],[ID]],tblResponse[ID],tblResponse[2024 Intercluster reached -August RPM])</f>
        <v>68199.424151948799</v>
      </c>
      <c r="AG284" s="79">
        <v>5</v>
      </c>
      <c r="AH284" s="79"/>
      <c r="AI284" s="79"/>
      <c r="AJ284" s="70" t="str">
        <f>IF(tblTarget[[#This Row],[Target to PiN (%)]]&gt;Targ_vs_PiN,"Flagged","")</f>
        <v/>
      </c>
      <c r="AK284" s="69" t="str">
        <f>IF(AND(tblTarget[[#This Row],[Qualifies for exception]]="Flagged",tblTarget[[#This Row],[Target to PiN (%)]]&gt;Targ_severity5),"Flagged","")</f>
        <v/>
      </c>
      <c r="AL284" s="68" t="str">
        <f>IFERROR(IF(AND(tblTarget[[#This Row],[Intercluser Severity]]=4,tblTarget[[#This Row],[Qualifies for exception]]="Flagged",(tblTarget[[#This Row],[Cluster Target]]-tblTarget[[#This Row],[2024 Response capacity up to December]])/tblTarget[[#This Row],[Cluster Target]]&gt;Diff_severity4),"Flagged",""),"No target")</f>
        <v/>
      </c>
      <c r="AM284" s="68" t="str">
        <f>IFERROR(IF(AND(tblTarget[[#This Row],[Intercluser Severity]]=3,tblTarget[[#This Row],[Qualifies for exception]]="Flagged",(tblTarget[[#This Row],[Cluster Target]]-tblTarget[[#This Row],[2024 Response capacity up to December]])/tblTarget[[#This Row],[Cluster Target]]&gt;Diff_severity3),"Flagged",""),"No target")</f>
        <v/>
      </c>
      <c r="AN284" s="81" t="s">
        <v>1099</v>
      </c>
      <c r="AO284" s="81"/>
      <c r="AP284" s="81" t="s">
        <v>1099</v>
      </c>
      <c r="AQ284" s="81" t="s">
        <v>1107</v>
      </c>
    </row>
    <row r="285" spans="1:43" ht="15.95" customHeight="1" x14ac:dyDescent="0.2">
      <c r="A285" s="62" t="s">
        <v>722</v>
      </c>
      <c r="B285" s="63" t="s">
        <v>216</v>
      </c>
      <c r="C285" s="64" t="s">
        <v>217</v>
      </c>
      <c r="D285" s="63" t="s">
        <v>222</v>
      </c>
      <c r="E285" s="64" t="s">
        <v>223</v>
      </c>
      <c r="F285" s="65">
        <v>18121</v>
      </c>
      <c r="G285" s="66" t="s">
        <v>436</v>
      </c>
      <c r="H285" s="71">
        <v>15323</v>
      </c>
      <c r="I285" s="68">
        <v>3</v>
      </c>
      <c r="J285" s="68">
        <v>4</v>
      </c>
      <c r="K285" s="91">
        <v>6129</v>
      </c>
      <c r="L285" s="91">
        <v>3021.6839924531096</v>
      </c>
      <c r="M285" s="91">
        <v>3107.3160075468904</v>
      </c>
      <c r="N285" s="91">
        <v>3370.9500000000003</v>
      </c>
      <c r="O285" s="91">
        <v>2390.31</v>
      </c>
      <c r="P285" s="91">
        <v>367.74</v>
      </c>
      <c r="Q285" s="85">
        <v>919.35</v>
      </c>
      <c r="R285" s="68" t="s">
        <v>436</v>
      </c>
      <c r="S285" s="86">
        <v>883</v>
      </c>
      <c r="T285" s="68">
        <v>221</v>
      </c>
      <c r="U285" s="68">
        <v>41</v>
      </c>
      <c r="V285" s="68">
        <v>55</v>
      </c>
      <c r="W285" s="68">
        <v>61</v>
      </c>
      <c r="X285" s="68">
        <v>123</v>
      </c>
      <c r="Y285" s="68">
        <v>184</v>
      </c>
      <c r="Z285" s="68">
        <v>123</v>
      </c>
      <c r="AA285" s="68">
        <v>0</v>
      </c>
      <c r="AB285" s="69">
        <v>18</v>
      </c>
      <c r="AC285" s="69">
        <v>37.669527532706297</v>
      </c>
      <c r="AD285" s="70">
        <f>IFERROR(tblTarget[[#This Row],[Cluster Target]]/tblTarget[[#This Row],[Cluster PiN]],0)</f>
        <v>0.3999869477256412</v>
      </c>
      <c r="AE285" s="79">
        <f>_xlfn.XLOOKUP(tblTarget[[#This Row],[ID]],tblResponse[ID],tblResponse[2024 Projected reached (Dec 2024)])</f>
        <v>2715</v>
      </c>
      <c r="AF285" s="79">
        <f>_xlfn.XLOOKUP(tblTarget[[#This Row],[ID]],tblResponse[ID],tblResponse[2024 Intercluster reached -August RPM])</f>
        <v>30456.764660746903</v>
      </c>
      <c r="AG285" s="79">
        <v>2</v>
      </c>
      <c r="AH285" s="79"/>
      <c r="AI285" s="79"/>
      <c r="AJ285" s="70" t="str">
        <f>IF(tblTarget[[#This Row],[Target to PiN (%)]]&gt;Targ_vs_PiN,"Flagged","")</f>
        <v/>
      </c>
      <c r="AK285" s="69" t="str">
        <f>IF(AND(tblTarget[[#This Row],[Qualifies for exception]]="Flagged",tblTarget[[#This Row],[Target to PiN (%)]]&gt;Targ_severity5),"Flagged","")</f>
        <v/>
      </c>
      <c r="AL285" s="68" t="str">
        <f>IFERROR(IF(AND(tblTarget[[#This Row],[Intercluser Severity]]=4,tblTarget[[#This Row],[Qualifies for exception]]="Flagged",(tblTarget[[#This Row],[Cluster Target]]-tblTarget[[#This Row],[2024 Response capacity up to December]])/tblTarget[[#This Row],[Cluster Target]]&gt;Diff_severity4),"Flagged",""),"No target")</f>
        <v>Flagged</v>
      </c>
      <c r="AM285" s="68" t="str">
        <f>IFERROR(IF(AND(tblTarget[[#This Row],[Intercluser Severity]]=3,tblTarget[[#This Row],[Qualifies for exception]]="Flagged",(tblTarget[[#This Row],[Cluster Target]]-tblTarget[[#This Row],[2024 Response capacity up to December]])/tblTarget[[#This Row],[Cluster Target]]&gt;Diff_severity3),"Flagged",""),"No target")</f>
        <v/>
      </c>
      <c r="AN285" s="81" t="s">
        <v>1099</v>
      </c>
      <c r="AO285" s="81"/>
      <c r="AP285" s="81" t="s">
        <v>1099</v>
      </c>
      <c r="AQ285" s="81" t="s">
        <v>1107</v>
      </c>
    </row>
    <row r="286" spans="1:43" ht="15.95" customHeight="1" x14ac:dyDescent="0.2">
      <c r="A286" s="62" t="s">
        <v>723</v>
      </c>
      <c r="B286" s="63" t="s">
        <v>216</v>
      </c>
      <c r="C286" s="64" t="s">
        <v>217</v>
      </c>
      <c r="D286" s="63" t="s">
        <v>224</v>
      </c>
      <c r="E286" s="64" t="s">
        <v>225</v>
      </c>
      <c r="F286" s="65">
        <v>55712</v>
      </c>
      <c r="G286" s="66" t="s">
        <v>436</v>
      </c>
      <c r="H286" s="71">
        <v>9741</v>
      </c>
      <c r="I286" s="68">
        <v>2</v>
      </c>
      <c r="J286" s="68">
        <v>3</v>
      </c>
      <c r="K286" s="91">
        <v>0</v>
      </c>
      <c r="L286" s="91">
        <v>0</v>
      </c>
      <c r="M286" s="91">
        <v>0</v>
      </c>
      <c r="N286" s="91">
        <v>0</v>
      </c>
      <c r="O286" s="91">
        <v>0</v>
      </c>
      <c r="P286" s="91">
        <v>0</v>
      </c>
      <c r="Q286" s="85">
        <v>0</v>
      </c>
      <c r="R286" s="68" t="s">
        <v>436</v>
      </c>
      <c r="S286" s="86">
        <v>0</v>
      </c>
      <c r="T286" s="68">
        <v>0</v>
      </c>
      <c r="U286" s="68">
        <v>0</v>
      </c>
      <c r="V286" s="68">
        <v>0</v>
      </c>
      <c r="W286" s="68">
        <v>0</v>
      </c>
      <c r="X286" s="68">
        <v>0</v>
      </c>
      <c r="Y286" s="68">
        <v>0</v>
      </c>
      <c r="Z286" s="68">
        <v>0</v>
      </c>
      <c r="AA286" s="68">
        <v>0</v>
      </c>
      <c r="AB286" s="69">
        <v>0</v>
      </c>
      <c r="AC286" s="69">
        <v>0</v>
      </c>
      <c r="AD286" s="70">
        <f>IFERROR(tblTarget[[#This Row],[Cluster Target]]/tblTarget[[#This Row],[Cluster PiN]],0)</f>
        <v>0</v>
      </c>
      <c r="AE286" s="79">
        <f>_xlfn.XLOOKUP(tblTarget[[#This Row],[ID]],tblResponse[ID],tblResponse[2024 Projected reached (Dec 2024)])</f>
        <v>0</v>
      </c>
      <c r="AF286" s="79">
        <f>_xlfn.XLOOKUP(tblTarget[[#This Row],[ID]],tblResponse[ID],tblResponse[2024 Intercluster reached -August RPM])</f>
        <v>43839.550639780668</v>
      </c>
      <c r="AG286" s="79">
        <v>2</v>
      </c>
      <c r="AH286" s="79"/>
      <c r="AI286" s="79"/>
      <c r="AJ286" s="70" t="str">
        <f>IF(tblTarget[[#This Row],[Target to PiN (%)]]&gt;Targ_vs_PiN,"Flagged","")</f>
        <v/>
      </c>
      <c r="AK286" s="69" t="str">
        <f>IF(AND(tblTarget[[#This Row],[Qualifies for exception]]="Flagged",tblTarget[[#This Row],[Target to PiN (%)]]&gt;Targ_severity5),"Flagged","")</f>
        <v/>
      </c>
      <c r="AL286" s="68" t="str">
        <f>IFERROR(IF(AND(tblTarget[[#This Row],[Intercluser Severity]]=4,tblTarget[[#This Row],[Qualifies for exception]]="Flagged",(tblTarget[[#This Row],[Cluster Target]]-tblTarget[[#This Row],[2024 Response capacity up to December]])/tblTarget[[#This Row],[Cluster Target]]&gt;Diff_severity4),"Flagged",""),"No target")</f>
        <v>No target</v>
      </c>
      <c r="AM286" s="68" t="str">
        <f>IFERROR(IF(AND(tblTarget[[#This Row],[Intercluser Severity]]=3,tblTarget[[#This Row],[Qualifies for exception]]="Flagged",(tblTarget[[#This Row],[Cluster Target]]-tblTarget[[#This Row],[2024 Response capacity up to December]])/tblTarget[[#This Row],[Cluster Target]]&gt;Diff_severity3),"Flagged",""),"No target")</f>
        <v>No target</v>
      </c>
      <c r="AN286" s="81" t="s">
        <v>1099</v>
      </c>
      <c r="AO286" s="81"/>
      <c r="AP286" s="81" t="s">
        <v>1099</v>
      </c>
      <c r="AQ286" s="81" t="s">
        <v>1107</v>
      </c>
    </row>
    <row r="287" spans="1:43" ht="15.95" customHeight="1" x14ac:dyDescent="0.2">
      <c r="A287" s="62" t="s">
        <v>724</v>
      </c>
      <c r="B287" s="72" t="s">
        <v>216</v>
      </c>
      <c r="C287" s="64" t="s">
        <v>217</v>
      </c>
      <c r="D287" s="63" t="s">
        <v>226</v>
      </c>
      <c r="E287" s="64" t="s">
        <v>227</v>
      </c>
      <c r="F287" s="65">
        <v>21640</v>
      </c>
      <c r="G287" s="66" t="s">
        <v>436</v>
      </c>
      <c r="H287" s="71">
        <v>16422</v>
      </c>
      <c r="I287" s="68">
        <v>3</v>
      </c>
      <c r="J287" s="68">
        <v>4</v>
      </c>
      <c r="K287" s="91">
        <v>1642</v>
      </c>
      <c r="L287" s="91">
        <v>822.42115621739538</v>
      </c>
      <c r="M287" s="91">
        <v>819.57884378260462</v>
      </c>
      <c r="N287" s="91">
        <v>903.1</v>
      </c>
      <c r="O287" s="91">
        <v>640.38</v>
      </c>
      <c r="P287" s="91">
        <v>98.52</v>
      </c>
      <c r="Q287" s="85">
        <v>246.29999999999998</v>
      </c>
      <c r="R287" s="68" t="s">
        <v>436</v>
      </c>
      <c r="S287" s="86">
        <v>236</v>
      </c>
      <c r="T287" s="68">
        <v>59</v>
      </c>
      <c r="U287" s="68">
        <v>11</v>
      </c>
      <c r="V287" s="68">
        <v>15</v>
      </c>
      <c r="W287" s="68">
        <v>16</v>
      </c>
      <c r="X287" s="68">
        <v>33</v>
      </c>
      <c r="Y287" s="68">
        <v>49</v>
      </c>
      <c r="Z287" s="68">
        <v>33</v>
      </c>
      <c r="AA287" s="68">
        <v>0</v>
      </c>
      <c r="AB287" s="69">
        <v>4</v>
      </c>
      <c r="AC287" s="69">
        <v>0</v>
      </c>
      <c r="AD287" s="70">
        <f>IFERROR(tblTarget[[#This Row],[Cluster Target]]/tblTarget[[#This Row],[Cluster PiN]],0)</f>
        <v>9.9987821215442696E-2</v>
      </c>
      <c r="AE287" s="79">
        <f>_xlfn.XLOOKUP(tblTarget[[#This Row],[ID]],tblResponse[ID],tblResponse[2024 Projected reached (Dec 2024)])</f>
        <v>0</v>
      </c>
      <c r="AF287" s="79">
        <f>_xlfn.XLOOKUP(tblTarget[[#This Row],[ID]],tblResponse[ID],tblResponse[2024 Intercluster reached -August RPM])</f>
        <v>19080.868449681897</v>
      </c>
      <c r="AG287" s="79">
        <v>1</v>
      </c>
      <c r="AH287" s="79"/>
      <c r="AI287" s="79"/>
      <c r="AJ287" s="70" t="str">
        <f>IF(tblTarget[[#This Row],[Target to PiN (%)]]&gt;Targ_vs_PiN,"Flagged","")</f>
        <v/>
      </c>
      <c r="AK287" s="69" t="str">
        <f>IF(AND(tblTarget[[#This Row],[Qualifies for exception]]="Flagged",tblTarget[[#This Row],[Target to PiN (%)]]&gt;Targ_severity5),"Flagged","")</f>
        <v/>
      </c>
      <c r="AL287" s="68" t="str">
        <f>IFERROR(IF(AND(tblTarget[[#This Row],[Intercluser Severity]]=4,tblTarget[[#This Row],[Qualifies for exception]]="Flagged",(tblTarget[[#This Row],[Cluster Target]]-tblTarget[[#This Row],[2024 Response capacity up to December]])/tblTarget[[#This Row],[Cluster Target]]&gt;Diff_severity4),"Flagged",""),"No target")</f>
        <v>Flagged</v>
      </c>
      <c r="AM287" s="68" t="str">
        <f>IFERROR(IF(AND(tblTarget[[#This Row],[Intercluser Severity]]=3,tblTarget[[#This Row],[Qualifies for exception]]="Flagged",(tblTarget[[#This Row],[Cluster Target]]-tblTarget[[#This Row],[2024 Response capacity up to December]])/tblTarget[[#This Row],[Cluster Target]]&gt;Diff_severity3),"Flagged",""),"No target")</f>
        <v/>
      </c>
      <c r="AN287" s="81" t="s">
        <v>1099</v>
      </c>
      <c r="AO287" s="81"/>
      <c r="AP287" s="81" t="s">
        <v>1099</v>
      </c>
      <c r="AQ287" s="81" t="s">
        <v>1107</v>
      </c>
    </row>
    <row r="288" spans="1:43" ht="15.95" customHeight="1" x14ac:dyDescent="0.2">
      <c r="A288" s="62" t="s">
        <v>725</v>
      </c>
      <c r="B288" s="63" t="s">
        <v>216</v>
      </c>
      <c r="C288" s="64" t="s">
        <v>217</v>
      </c>
      <c r="D288" s="63" t="s">
        <v>228</v>
      </c>
      <c r="E288" s="64" t="s">
        <v>229</v>
      </c>
      <c r="F288" s="65">
        <v>34059</v>
      </c>
      <c r="G288" s="66" t="s">
        <v>436</v>
      </c>
      <c r="H288" s="71">
        <v>22372</v>
      </c>
      <c r="I288" s="68">
        <v>3</v>
      </c>
      <c r="J288" s="68">
        <v>3</v>
      </c>
      <c r="K288" s="91">
        <v>4474</v>
      </c>
      <c r="L288" s="91">
        <v>2256.7959486868112</v>
      </c>
      <c r="M288" s="91">
        <v>2217.2040513131888</v>
      </c>
      <c r="N288" s="91">
        <v>2460.7000000000003</v>
      </c>
      <c r="O288" s="91">
        <v>1744.8600000000001</v>
      </c>
      <c r="P288" s="91">
        <v>268.44</v>
      </c>
      <c r="Q288" s="85">
        <v>671.1</v>
      </c>
      <c r="R288" s="68" t="s">
        <v>436</v>
      </c>
      <c r="S288" s="86">
        <v>644</v>
      </c>
      <c r="T288" s="68">
        <v>161</v>
      </c>
      <c r="U288" s="68">
        <v>30</v>
      </c>
      <c r="V288" s="68">
        <v>40</v>
      </c>
      <c r="W288" s="68">
        <v>45</v>
      </c>
      <c r="X288" s="68">
        <v>89</v>
      </c>
      <c r="Y288" s="68">
        <v>134</v>
      </c>
      <c r="Z288" s="68">
        <v>89</v>
      </c>
      <c r="AA288" s="68">
        <v>0</v>
      </c>
      <c r="AB288" s="69">
        <v>14</v>
      </c>
      <c r="AC288" s="69">
        <v>37.669527532706297</v>
      </c>
      <c r="AD288" s="70">
        <f>IFERROR(tblTarget[[#This Row],[Cluster Target]]/tblTarget[[#This Row],[Cluster PiN]],0)</f>
        <v>0.19998212050777758</v>
      </c>
      <c r="AE288" s="79">
        <f>_xlfn.XLOOKUP(tblTarget[[#This Row],[ID]],tblResponse[ID],tblResponse[2024 Projected reached (Dec 2024)])</f>
        <v>0</v>
      </c>
      <c r="AF288" s="79">
        <f>_xlfn.XLOOKUP(tblTarget[[#This Row],[ID]],tblResponse[ID],tblResponse[2024 Intercluster reached -August RPM])</f>
        <v>14560.656133036478</v>
      </c>
      <c r="AG288" s="79">
        <v>2</v>
      </c>
      <c r="AH288" s="79"/>
      <c r="AI288" s="79"/>
      <c r="AJ288" s="70" t="str">
        <f>IF(tblTarget[[#This Row],[Target to PiN (%)]]&gt;Targ_vs_PiN,"Flagged","")</f>
        <v/>
      </c>
      <c r="AK288" s="69" t="str">
        <f>IF(AND(tblTarget[[#This Row],[Qualifies for exception]]="Flagged",tblTarget[[#This Row],[Target to PiN (%)]]&gt;Targ_severity5),"Flagged","")</f>
        <v/>
      </c>
      <c r="AL288" s="68" t="str">
        <f>IFERROR(IF(AND(tblTarget[[#This Row],[Intercluser Severity]]=4,tblTarget[[#This Row],[Qualifies for exception]]="Flagged",(tblTarget[[#This Row],[Cluster Target]]-tblTarget[[#This Row],[2024 Response capacity up to December]])/tblTarget[[#This Row],[Cluster Target]]&gt;Diff_severity4),"Flagged",""),"No target")</f>
        <v/>
      </c>
      <c r="AM288" s="68" t="str">
        <f>IFERROR(IF(AND(tblTarget[[#This Row],[Intercluser Severity]]=3,tblTarget[[#This Row],[Qualifies for exception]]="Flagged",(tblTarget[[#This Row],[Cluster Target]]-tblTarget[[#This Row],[2024 Response capacity up to December]])/tblTarget[[#This Row],[Cluster Target]]&gt;Diff_severity3),"Flagged",""),"No target")</f>
        <v>Flagged</v>
      </c>
      <c r="AN288" s="81" t="s">
        <v>1099</v>
      </c>
      <c r="AO288" s="81"/>
      <c r="AP288" s="81" t="s">
        <v>1099</v>
      </c>
      <c r="AQ288" s="81" t="s">
        <v>1107</v>
      </c>
    </row>
    <row r="289" spans="1:43" ht="15.95" customHeight="1" x14ac:dyDescent="0.2">
      <c r="A289" s="62" t="s">
        <v>726</v>
      </c>
      <c r="B289" s="63" t="s">
        <v>216</v>
      </c>
      <c r="C289" s="64" t="s">
        <v>217</v>
      </c>
      <c r="D289" s="63" t="s">
        <v>230</v>
      </c>
      <c r="E289" s="64" t="s">
        <v>231</v>
      </c>
      <c r="F289" s="65">
        <v>9671</v>
      </c>
      <c r="G289" s="66" t="s">
        <v>436</v>
      </c>
      <c r="H289" s="71">
        <v>4076</v>
      </c>
      <c r="I289" s="68">
        <v>3</v>
      </c>
      <c r="J289" s="68">
        <v>3</v>
      </c>
      <c r="K289" s="91">
        <v>815</v>
      </c>
      <c r="L289" s="91">
        <v>406.83424702294514</v>
      </c>
      <c r="M289" s="91">
        <v>408.16575297705486</v>
      </c>
      <c r="N289" s="91">
        <v>448.25000000000006</v>
      </c>
      <c r="O289" s="91">
        <v>317.85000000000002</v>
      </c>
      <c r="P289" s="91">
        <v>48.9</v>
      </c>
      <c r="Q289" s="85">
        <v>122.25</v>
      </c>
      <c r="R289" s="68" t="s">
        <v>436</v>
      </c>
      <c r="S289" s="86">
        <v>117</v>
      </c>
      <c r="T289" s="68">
        <v>29</v>
      </c>
      <c r="U289" s="68">
        <v>6</v>
      </c>
      <c r="V289" s="68">
        <v>7</v>
      </c>
      <c r="W289" s="68">
        <v>8</v>
      </c>
      <c r="X289" s="68">
        <v>16</v>
      </c>
      <c r="Y289" s="68">
        <v>24</v>
      </c>
      <c r="Z289" s="68">
        <v>16</v>
      </c>
      <c r="AA289" s="68">
        <v>0</v>
      </c>
      <c r="AB289" s="69">
        <v>2</v>
      </c>
      <c r="AC289" s="69">
        <v>0</v>
      </c>
      <c r="AD289" s="70">
        <f>IFERROR(tblTarget[[#This Row],[Cluster Target]]/tblTarget[[#This Row],[Cluster PiN]],0)</f>
        <v>0.19995093228655544</v>
      </c>
      <c r="AE289" s="79">
        <f>_xlfn.XLOOKUP(tblTarget[[#This Row],[ID]],tblResponse[ID],tblResponse[2024 Projected reached (Dec 2024)])</f>
        <v>0</v>
      </c>
      <c r="AF289" s="79">
        <f>_xlfn.XLOOKUP(tblTarget[[#This Row],[ID]],tblResponse[ID],tblResponse[2024 Intercluster reached -August RPM])</f>
        <v>11954.268710340213</v>
      </c>
      <c r="AG289" s="79">
        <v>2</v>
      </c>
      <c r="AH289" s="79"/>
      <c r="AI289" s="79"/>
      <c r="AJ289" s="70" t="str">
        <f>IF(tblTarget[[#This Row],[Target to PiN (%)]]&gt;Targ_vs_PiN,"Flagged","")</f>
        <v/>
      </c>
      <c r="AK289" s="69" t="str">
        <f>IF(AND(tblTarget[[#This Row],[Qualifies for exception]]="Flagged",tblTarget[[#This Row],[Target to PiN (%)]]&gt;Targ_severity5),"Flagged","")</f>
        <v/>
      </c>
      <c r="AL289" s="68" t="str">
        <f>IFERROR(IF(AND(tblTarget[[#This Row],[Intercluser Severity]]=4,tblTarget[[#This Row],[Qualifies for exception]]="Flagged",(tblTarget[[#This Row],[Cluster Target]]-tblTarget[[#This Row],[2024 Response capacity up to December]])/tblTarget[[#This Row],[Cluster Target]]&gt;Diff_severity4),"Flagged",""),"No target")</f>
        <v/>
      </c>
      <c r="AM289" s="68" t="str">
        <f>IFERROR(IF(AND(tblTarget[[#This Row],[Intercluser Severity]]=3,tblTarget[[#This Row],[Qualifies for exception]]="Flagged",(tblTarget[[#This Row],[Cluster Target]]-tblTarget[[#This Row],[2024 Response capacity up to December]])/tblTarget[[#This Row],[Cluster Target]]&gt;Diff_severity3),"Flagged",""),"No target")</f>
        <v>Flagged</v>
      </c>
      <c r="AN289" s="81" t="s">
        <v>1099</v>
      </c>
      <c r="AO289" s="81"/>
      <c r="AP289" s="81" t="s">
        <v>1099</v>
      </c>
      <c r="AQ289" s="81" t="s">
        <v>1107</v>
      </c>
    </row>
    <row r="290" spans="1:43" ht="15.95" customHeight="1" x14ac:dyDescent="0.2">
      <c r="A290" s="62" t="s">
        <v>727</v>
      </c>
      <c r="B290" s="63" t="s">
        <v>232</v>
      </c>
      <c r="C290" s="64" t="s">
        <v>233</v>
      </c>
      <c r="D290" s="63" t="s">
        <v>234</v>
      </c>
      <c r="E290" s="64" t="s">
        <v>235</v>
      </c>
      <c r="F290" s="65">
        <v>85184</v>
      </c>
      <c r="G290" s="66" t="s">
        <v>436</v>
      </c>
      <c r="H290" s="67">
        <v>51905</v>
      </c>
      <c r="I290" s="68">
        <v>3</v>
      </c>
      <c r="J290" s="68">
        <v>4</v>
      </c>
      <c r="K290" s="91">
        <v>5191</v>
      </c>
      <c r="L290" s="91">
        <v>2743.8385958357826</v>
      </c>
      <c r="M290" s="91">
        <v>2447.1614041642174</v>
      </c>
      <c r="N290" s="91">
        <v>2855.05</v>
      </c>
      <c r="O290" s="91">
        <v>2024.49</v>
      </c>
      <c r="P290" s="91">
        <v>311.45999999999998</v>
      </c>
      <c r="Q290" s="85">
        <v>778.65</v>
      </c>
      <c r="R290" s="68" t="s">
        <v>436</v>
      </c>
      <c r="S290" s="86">
        <v>748</v>
      </c>
      <c r="T290" s="68">
        <v>187</v>
      </c>
      <c r="U290" s="68">
        <v>35</v>
      </c>
      <c r="V290" s="68">
        <v>47</v>
      </c>
      <c r="W290" s="68">
        <v>52</v>
      </c>
      <c r="X290" s="68">
        <v>104</v>
      </c>
      <c r="Y290" s="68">
        <v>156</v>
      </c>
      <c r="Z290" s="68">
        <v>104</v>
      </c>
      <c r="AA290" s="68">
        <v>0</v>
      </c>
      <c r="AB290" s="69">
        <v>16</v>
      </c>
      <c r="AC290" s="69">
        <v>37.669527532706297</v>
      </c>
      <c r="AD290" s="70">
        <f>IFERROR(tblTarget[[#This Row],[Cluster Target]]/tblTarget[[#This Row],[Cluster PiN]],0)</f>
        <v>0.10000963298333494</v>
      </c>
      <c r="AE290" s="79">
        <f>_xlfn.XLOOKUP(tblTarget[[#This Row],[ID]],tblResponse[ID],tblResponse[2024 Projected reached (Dec 2024)])</f>
        <v>2525</v>
      </c>
      <c r="AF290" s="79">
        <f>_xlfn.XLOOKUP(tblTarget[[#This Row],[ID]],tblResponse[ID],tblResponse[2024 Intercluster reached -August RPM])</f>
        <v>28486.701177282837</v>
      </c>
      <c r="AG290" s="79">
        <v>2</v>
      </c>
      <c r="AH290" s="79"/>
      <c r="AI290" s="79"/>
      <c r="AJ290" s="70" t="str">
        <f>IF(tblTarget[[#This Row],[Target to PiN (%)]]&gt;Targ_vs_PiN,"Flagged","")</f>
        <v/>
      </c>
      <c r="AK290" s="69" t="str">
        <f>IF(AND(tblTarget[[#This Row],[Qualifies for exception]]="Flagged",tblTarget[[#This Row],[Target to PiN (%)]]&gt;Targ_severity5),"Flagged","")</f>
        <v/>
      </c>
      <c r="AL290" s="68" t="str">
        <f>IFERROR(IF(AND(tblTarget[[#This Row],[Intercluser Severity]]=4,tblTarget[[#This Row],[Qualifies for exception]]="Flagged",(tblTarget[[#This Row],[Cluster Target]]-tblTarget[[#This Row],[2024 Response capacity up to December]])/tblTarget[[#This Row],[Cluster Target]]&gt;Diff_severity4),"Flagged",""),"No target")</f>
        <v>Flagged</v>
      </c>
      <c r="AM290" s="68" t="str">
        <f>IFERROR(IF(AND(tblTarget[[#This Row],[Intercluser Severity]]=3,tblTarget[[#This Row],[Qualifies for exception]]="Flagged",(tblTarget[[#This Row],[Cluster Target]]-tblTarget[[#This Row],[2024 Response capacity up to December]])/tblTarget[[#This Row],[Cluster Target]]&gt;Diff_severity3),"Flagged",""),"No target")</f>
        <v/>
      </c>
      <c r="AN290" s="81" t="s">
        <v>1099</v>
      </c>
      <c r="AO290" s="81"/>
      <c r="AP290" s="81" t="s">
        <v>1099</v>
      </c>
      <c r="AQ290" s="81" t="s">
        <v>1107</v>
      </c>
    </row>
    <row r="291" spans="1:43" ht="15.95" customHeight="1" x14ac:dyDescent="0.2">
      <c r="A291" s="62" t="s">
        <v>728</v>
      </c>
      <c r="B291" s="63" t="s">
        <v>232</v>
      </c>
      <c r="C291" s="64" t="s">
        <v>233</v>
      </c>
      <c r="D291" s="63" t="s">
        <v>236</v>
      </c>
      <c r="E291" s="64" t="s">
        <v>237</v>
      </c>
      <c r="F291" s="65">
        <v>12315</v>
      </c>
      <c r="G291" s="66" t="s">
        <v>436</v>
      </c>
      <c r="H291" s="67">
        <v>5249</v>
      </c>
      <c r="I291" s="68">
        <v>3</v>
      </c>
      <c r="J291" s="68">
        <v>3</v>
      </c>
      <c r="K291" s="91">
        <v>0</v>
      </c>
      <c r="L291" s="91">
        <v>0</v>
      </c>
      <c r="M291" s="91">
        <v>0</v>
      </c>
      <c r="N291" s="91">
        <v>0</v>
      </c>
      <c r="O291" s="91">
        <v>0</v>
      </c>
      <c r="P291" s="91">
        <v>0</v>
      </c>
      <c r="Q291" s="85">
        <v>0</v>
      </c>
      <c r="R291" s="68" t="s">
        <v>436</v>
      </c>
      <c r="S291" s="86">
        <v>0</v>
      </c>
      <c r="T291" s="68">
        <v>0</v>
      </c>
      <c r="U291" s="68">
        <v>0</v>
      </c>
      <c r="V291" s="68">
        <v>0</v>
      </c>
      <c r="W291" s="68">
        <v>0</v>
      </c>
      <c r="X291" s="68">
        <v>0</v>
      </c>
      <c r="Y291" s="68">
        <v>0</v>
      </c>
      <c r="Z291" s="68">
        <v>0</v>
      </c>
      <c r="AA291" s="68">
        <v>0</v>
      </c>
      <c r="AB291" s="69">
        <v>0</v>
      </c>
      <c r="AC291" s="69">
        <v>0</v>
      </c>
      <c r="AD291" s="70">
        <f>IFERROR(tblTarget[[#This Row],[Cluster Target]]/tblTarget[[#This Row],[Cluster PiN]],0)</f>
        <v>0</v>
      </c>
      <c r="AE291" s="79">
        <f>_xlfn.XLOOKUP(tblTarget[[#This Row],[ID]],tblResponse[ID],tblResponse[2024 Projected reached (Dec 2024)])</f>
        <v>0</v>
      </c>
      <c r="AF291" s="79">
        <f>_xlfn.XLOOKUP(tblTarget[[#This Row],[ID]],tblResponse[ID],tblResponse[2024 Intercluster reached -August RPM])</f>
        <v>1842.1706504555318</v>
      </c>
      <c r="AG291" s="79">
        <v>1</v>
      </c>
      <c r="AH291" s="79"/>
      <c r="AI291" s="79"/>
      <c r="AJ291" s="70" t="str">
        <f>IF(tblTarget[[#This Row],[Target to PiN (%)]]&gt;Targ_vs_PiN,"Flagged","")</f>
        <v/>
      </c>
      <c r="AK291" s="69" t="str">
        <f>IF(AND(tblTarget[[#This Row],[Qualifies for exception]]="Flagged",tblTarget[[#This Row],[Target to PiN (%)]]&gt;Targ_severity5),"Flagged","")</f>
        <v/>
      </c>
      <c r="AL291" s="68" t="str">
        <f>IFERROR(IF(AND(tblTarget[[#This Row],[Intercluser Severity]]=4,tblTarget[[#This Row],[Qualifies for exception]]="Flagged",(tblTarget[[#This Row],[Cluster Target]]-tblTarget[[#This Row],[2024 Response capacity up to December]])/tblTarget[[#This Row],[Cluster Target]]&gt;Diff_severity4),"Flagged",""),"No target")</f>
        <v>No target</v>
      </c>
      <c r="AM291" s="68" t="str">
        <f>IFERROR(IF(AND(tblTarget[[#This Row],[Intercluser Severity]]=3,tblTarget[[#This Row],[Qualifies for exception]]="Flagged",(tblTarget[[#This Row],[Cluster Target]]-tblTarget[[#This Row],[2024 Response capacity up to December]])/tblTarget[[#This Row],[Cluster Target]]&gt;Diff_severity3),"Flagged",""),"No target")</f>
        <v>No target</v>
      </c>
      <c r="AN291" s="81" t="s">
        <v>1099</v>
      </c>
      <c r="AO291" s="81"/>
      <c r="AP291" s="81" t="s">
        <v>1099</v>
      </c>
      <c r="AQ291" s="81" t="s">
        <v>1107</v>
      </c>
    </row>
    <row r="292" spans="1:43" ht="15.95" customHeight="1" x14ac:dyDescent="0.2">
      <c r="A292" s="62" t="s">
        <v>729</v>
      </c>
      <c r="B292" s="63" t="s">
        <v>232</v>
      </c>
      <c r="C292" s="64" t="s">
        <v>233</v>
      </c>
      <c r="D292" s="63" t="s">
        <v>238</v>
      </c>
      <c r="E292" s="64" t="s">
        <v>239</v>
      </c>
      <c r="F292" s="65">
        <v>143722</v>
      </c>
      <c r="G292" s="66" t="s">
        <v>436</v>
      </c>
      <c r="H292" s="67">
        <v>85971</v>
      </c>
      <c r="I292" s="68">
        <v>4</v>
      </c>
      <c r="J292" s="68">
        <v>3</v>
      </c>
      <c r="K292" s="91">
        <v>51583</v>
      </c>
      <c r="L292" s="91">
        <v>26978.181006868082</v>
      </c>
      <c r="M292" s="91">
        <v>24604.818993131921</v>
      </c>
      <c r="N292" s="91">
        <v>28370.65</v>
      </c>
      <c r="O292" s="91">
        <v>20117.37</v>
      </c>
      <c r="P292" s="91">
        <v>3094.98</v>
      </c>
      <c r="Q292" s="85">
        <v>7737.45</v>
      </c>
      <c r="R292" s="68" t="s">
        <v>436</v>
      </c>
      <c r="S292" s="86">
        <v>7428</v>
      </c>
      <c r="T292" s="68">
        <v>1857</v>
      </c>
      <c r="U292" s="68">
        <v>348</v>
      </c>
      <c r="V292" s="68">
        <v>464</v>
      </c>
      <c r="W292" s="68">
        <v>516</v>
      </c>
      <c r="X292" s="68">
        <v>1032</v>
      </c>
      <c r="Y292" s="68">
        <v>1547</v>
      </c>
      <c r="Z292" s="68">
        <v>1032</v>
      </c>
      <c r="AA292" s="68">
        <v>0</v>
      </c>
      <c r="AB292" s="69">
        <v>152</v>
      </c>
      <c r="AC292" s="69">
        <v>301.35622026165038</v>
      </c>
      <c r="AD292" s="70">
        <f>IFERROR(tblTarget[[#This Row],[Cluster Target]]/tblTarget[[#This Row],[Cluster PiN]],0)</f>
        <v>0.60000465273173509</v>
      </c>
      <c r="AE292" s="79">
        <f>_xlfn.XLOOKUP(tblTarget[[#This Row],[ID]],tblResponse[ID],tblResponse[2024 Projected reached (Dec 2024)])</f>
        <v>11965</v>
      </c>
      <c r="AF292" s="79">
        <f>_xlfn.XLOOKUP(tblTarget[[#This Row],[ID]],tblResponse[ID],tblResponse[2024 Intercluster reached -August RPM])</f>
        <v>23772.365810535175</v>
      </c>
      <c r="AG292" s="79">
        <v>4</v>
      </c>
      <c r="AH292" s="79"/>
      <c r="AI292" s="79"/>
      <c r="AJ292" s="70" t="str">
        <f>IF(tblTarget[[#This Row],[Target to PiN (%)]]&gt;Targ_vs_PiN,"Flagged","")</f>
        <v/>
      </c>
      <c r="AK292" s="69" t="str">
        <f>IF(AND(tblTarget[[#This Row],[Qualifies for exception]]="Flagged",tblTarget[[#This Row],[Target to PiN (%)]]&gt;Targ_severity5),"Flagged","")</f>
        <v/>
      </c>
      <c r="AL292" s="68" t="str">
        <f>IFERROR(IF(AND(tblTarget[[#This Row],[Intercluser Severity]]=4,tblTarget[[#This Row],[Qualifies for exception]]="Flagged",(tblTarget[[#This Row],[Cluster Target]]-tblTarget[[#This Row],[2024 Response capacity up to December]])/tblTarget[[#This Row],[Cluster Target]]&gt;Diff_severity4),"Flagged",""),"No target")</f>
        <v/>
      </c>
      <c r="AM292" s="68" t="str">
        <f>IFERROR(IF(AND(tblTarget[[#This Row],[Intercluser Severity]]=3,tblTarget[[#This Row],[Qualifies for exception]]="Flagged",(tblTarget[[#This Row],[Cluster Target]]-tblTarget[[#This Row],[2024 Response capacity up to December]])/tblTarget[[#This Row],[Cluster Target]]&gt;Diff_severity3),"Flagged",""),"No target")</f>
        <v>Flagged</v>
      </c>
      <c r="AN292" s="81" t="s">
        <v>1099</v>
      </c>
      <c r="AO292" s="81"/>
      <c r="AP292" s="81" t="s">
        <v>1099</v>
      </c>
      <c r="AQ292" s="81" t="s">
        <v>1107</v>
      </c>
    </row>
    <row r="293" spans="1:43" ht="15.95" customHeight="1" x14ac:dyDescent="0.2">
      <c r="A293" s="62" t="s">
        <v>730</v>
      </c>
      <c r="B293" s="63" t="s">
        <v>232</v>
      </c>
      <c r="C293" s="64" t="s">
        <v>233</v>
      </c>
      <c r="D293" s="63" t="s">
        <v>240</v>
      </c>
      <c r="E293" s="64" t="s">
        <v>241</v>
      </c>
      <c r="F293" s="65">
        <v>159983</v>
      </c>
      <c r="G293" s="66" t="s">
        <v>436</v>
      </c>
      <c r="H293" s="67">
        <v>67578</v>
      </c>
      <c r="I293" s="68">
        <v>3</v>
      </c>
      <c r="J293" s="68">
        <v>3</v>
      </c>
      <c r="K293" s="91">
        <v>13516</v>
      </c>
      <c r="L293" s="91">
        <v>7119.4819714148398</v>
      </c>
      <c r="M293" s="91">
        <v>6396.5180285851593</v>
      </c>
      <c r="N293" s="91">
        <v>7433.8</v>
      </c>
      <c r="O293" s="91">
        <v>5271.24</v>
      </c>
      <c r="P293" s="91">
        <v>810.95999999999992</v>
      </c>
      <c r="Q293" s="85">
        <v>2027.3999999999999</v>
      </c>
      <c r="R293" s="68" t="s">
        <v>436</v>
      </c>
      <c r="S293" s="86">
        <v>1946</v>
      </c>
      <c r="T293" s="68">
        <v>487</v>
      </c>
      <c r="U293" s="68">
        <v>91</v>
      </c>
      <c r="V293" s="68">
        <v>122</v>
      </c>
      <c r="W293" s="68">
        <v>135</v>
      </c>
      <c r="X293" s="68">
        <v>270</v>
      </c>
      <c r="Y293" s="68">
        <v>405</v>
      </c>
      <c r="Z293" s="68">
        <v>270</v>
      </c>
      <c r="AA293" s="68">
        <v>0</v>
      </c>
      <c r="AB293" s="69">
        <v>40</v>
      </c>
      <c r="AC293" s="69">
        <v>75.339055065412595</v>
      </c>
      <c r="AD293" s="70">
        <f>IFERROR(tblTarget[[#This Row],[Cluster Target]]/tblTarget[[#This Row],[Cluster PiN]],0)</f>
        <v>0.20000591908609311</v>
      </c>
      <c r="AE293" s="79">
        <f>_xlfn.XLOOKUP(tblTarget[[#This Row],[ID]],tblResponse[ID],tblResponse[2024 Projected reached (Dec 2024)])</f>
        <v>31585</v>
      </c>
      <c r="AF293" s="79">
        <f>_xlfn.XLOOKUP(tblTarget[[#This Row],[ID]],tblResponse[ID],tblResponse[2024 Intercluster reached -August RPM])</f>
        <v>19981.542307141561</v>
      </c>
      <c r="AG293" s="79">
        <v>6</v>
      </c>
      <c r="AH293" s="79"/>
      <c r="AI293" s="79"/>
      <c r="AJ293" s="70" t="str">
        <f>IF(tblTarget[[#This Row],[Target to PiN (%)]]&gt;Targ_vs_PiN,"Flagged","")</f>
        <v/>
      </c>
      <c r="AK293" s="69" t="str">
        <f>IF(AND(tblTarget[[#This Row],[Qualifies for exception]]="Flagged",tblTarget[[#This Row],[Target to PiN (%)]]&gt;Targ_severity5),"Flagged","")</f>
        <v/>
      </c>
      <c r="AL293" s="68" t="str">
        <f>IFERROR(IF(AND(tblTarget[[#This Row],[Intercluser Severity]]=4,tblTarget[[#This Row],[Qualifies for exception]]="Flagged",(tblTarget[[#This Row],[Cluster Target]]-tblTarget[[#This Row],[2024 Response capacity up to December]])/tblTarget[[#This Row],[Cluster Target]]&gt;Diff_severity4),"Flagged",""),"No target")</f>
        <v/>
      </c>
      <c r="AM293" s="68" t="str">
        <f>IFERROR(IF(AND(tblTarget[[#This Row],[Intercluser Severity]]=3,tblTarget[[#This Row],[Qualifies for exception]]="Flagged",(tblTarget[[#This Row],[Cluster Target]]-tblTarget[[#This Row],[2024 Response capacity up to December]])/tblTarget[[#This Row],[Cluster Target]]&gt;Diff_severity3),"Flagged",""),"No target")</f>
        <v/>
      </c>
      <c r="AN293" s="81" t="s">
        <v>1099</v>
      </c>
      <c r="AO293" s="81"/>
      <c r="AP293" s="81" t="s">
        <v>1099</v>
      </c>
      <c r="AQ293" s="81" t="s">
        <v>1107</v>
      </c>
    </row>
    <row r="294" spans="1:43" ht="15.95" customHeight="1" x14ac:dyDescent="0.2">
      <c r="A294" s="62" t="s">
        <v>731</v>
      </c>
      <c r="B294" s="63" t="s">
        <v>232</v>
      </c>
      <c r="C294" s="64" t="s">
        <v>233</v>
      </c>
      <c r="D294" s="63" t="s">
        <v>242</v>
      </c>
      <c r="E294" s="64" t="s">
        <v>243</v>
      </c>
      <c r="F294" s="65">
        <v>19378</v>
      </c>
      <c r="G294" s="66" t="s">
        <v>436</v>
      </c>
      <c r="H294" s="67">
        <v>5926</v>
      </c>
      <c r="I294" s="68">
        <v>3</v>
      </c>
      <c r="J294" s="68">
        <v>3</v>
      </c>
      <c r="K294" s="91">
        <v>593</v>
      </c>
      <c r="L294" s="91">
        <v>313.53939129106703</v>
      </c>
      <c r="M294" s="91">
        <v>279.46060870893291</v>
      </c>
      <c r="N294" s="91">
        <v>326.15000000000003</v>
      </c>
      <c r="O294" s="91">
        <v>231.27</v>
      </c>
      <c r="P294" s="91">
        <v>35.58</v>
      </c>
      <c r="Q294" s="85">
        <v>88.95</v>
      </c>
      <c r="R294" s="68" t="s">
        <v>436</v>
      </c>
      <c r="S294" s="86">
        <v>85</v>
      </c>
      <c r="T294" s="68">
        <v>21</v>
      </c>
      <c r="U294" s="68">
        <v>4</v>
      </c>
      <c r="V294" s="68">
        <v>5</v>
      </c>
      <c r="W294" s="68">
        <v>6</v>
      </c>
      <c r="X294" s="68">
        <v>12</v>
      </c>
      <c r="Y294" s="68">
        <v>18</v>
      </c>
      <c r="Z294" s="68">
        <v>12</v>
      </c>
      <c r="AA294" s="68">
        <v>0</v>
      </c>
      <c r="AB294" s="69">
        <v>2</v>
      </c>
      <c r="AC294" s="69">
        <v>0</v>
      </c>
      <c r="AD294" s="70">
        <f>IFERROR(tblTarget[[#This Row],[Cluster Target]]/tblTarget[[#This Row],[Cluster PiN]],0)</f>
        <v>0.10006749915626055</v>
      </c>
      <c r="AE294" s="79">
        <f>_xlfn.XLOOKUP(tblTarget[[#This Row],[ID]],tblResponse[ID],tblResponse[2024 Projected reached (Dec 2024)])</f>
        <v>10200</v>
      </c>
      <c r="AF294" s="79">
        <f>_xlfn.XLOOKUP(tblTarget[[#This Row],[ID]],tblResponse[ID],tblResponse[2024 Intercluster reached -August RPM])</f>
        <v>2112.5155452302702</v>
      </c>
      <c r="AG294" s="79">
        <v>3</v>
      </c>
      <c r="AH294" s="79"/>
      <c r="AI294" s="79"/>
      <c r="AJ294" s="70" t="str">
        <f>IF(tblTarget[[#This Row],[Target to PiN (%)]]&gt;Targ_vs_PiN,"Flagged","")</f>
        <v/>
      </c>
      <c r="AK294" s="69" t="str">
        <f>IF(AND(tblTarget[[#This Row],[Qualifies for exception]]="Flagged",tblTarget[[#This Row],[Target to PiN (%)]]&gt;Targ_severity5),"Flagged","")</f>
        <v/>
      </c>
      <c r="AL294" s="68" t="str">
        <f>IFERROR(IF(AND(tblTarget[[#This Row],[Intercluser Severity]]=4,tblTarget[[#This Row],[Qualifies for exception]]="Flagged",(tblTarget[[#This Row],[Cluster Target]]-tblTarget[[#This Row],[2024 Response capacity up to December]])/tblTarget[[#This Row],[Cluster Target]]&gt;Diff_severity4),"Flagged",""),"No target")</f>
        <v/>
      </c>
      <c r="AM294" s="68" t="str">
        <f>IFERROR(IF(AND(tblTarget[[#This Row],[Intercluser Severity]]=3,tblTarget[[#This Row],[Qualifies for exception]]="Flagged",(tblTarget[[#This Row],[Cluster Target]]-tblTarget[[#This Row],[2024 Response capacity up to December]])/tblTarget[[#This Row],[Cluster Target]]&gt;Diff_severity3),"Flagged",""),"No target")</f>
        <v/>
      </c>
      <c r="AN294" s="81" t="s">
        <v>1099</v>
      </c>
      <c r="AO294" s="81"/>
      <c r="AP294" s="81" t="s">
        <v>1099</v>
      </c>
      <c r="AQ294" s="81" t="s">
        <v>1107</v>
      </c>
    </row>
    <row r="295" spans="1:43" ht="15.95" customHeight="1" x14ac:dyDescent="0.2">
      <c r="A295" s="62" t="s">
        <v>732</v>
      </c>
      <c r="B295" s="63" t="s">
        <v>232</v>
      </c>
      <c r="C295" s="64" t="s">
        <v>233</v>
      </c>
      <c r="D295" s="63" t="s">
        <v>244</v>
      </c>
      <c r="E295" s="64" t="s">
        <v>245</v>
      </c>
      <c r="F295" s="65">
        <v>54837</v>
      </c>
      <c r="G295" s="66" t="s">
        <v>436</v>
      </c>
      <c r="H295" s="67">
        <v>43010</v>
      </c>
      <c r="I295" s="68">
        <v>3</v>
      </c>
      <c r="J295" s="68">
        <v>3</v>
      </c>
      <c r="K295" s="91">
        <v>17204</v>
      </c>
      <c r="L295" s="91">
        <v>8871.8673076740379</v>
      </c>
      <c r="M295" s="91">
        <v>8332.1326923259639</v>
      </c>
      <c r="N295" s="91">
        <v>9462.2000000000007</v>
      </c>
      <c r="O295" s="91">
        <v>6709.56</v>
      </c>
      <c r="P295" s="91">
        <v>1032.24</v>
      </c>
      <c r="Q295" s="85">
        <v>2580.6</v>
      </c>
      <c r="R295" s="68" t="s">
        <v>436</v>
      </c>
      <c r="S295" s="86">
        <v>2477</v>
      </c>
      <c r="T295" s="68">
        <v>619</v>
      </c>
      <c r="U295" s="68">
        <v>116</v>
      </c>
      <c r="V295" s="68">
        <v>155</v>
      </c>
      <c r="W295" s="68">
        <v>172</v>
      </c>
      <c r="X295" s="68">
        <v>344</v>
      </c>
      <c r="Y295" s="68">
        <v>516</v>
      </c>
      <c r="Z295" s="68">
        <v>344</v>
      </c>
      <c r="AA295" s="68">
        <v>0</v>
      </c>
      <c r="AB295" s="69">
        <v>50</v>
      </c>
      <c r="AC295" s="69">
        <v>113.00858259811889</v>
      </c>
      <c r="AD295" s="70">
        <f>IFERROR(tblTarget[[#This Row],[Cluster Target]]/tblTarget[[#This Row],[Cluster PiN]],0)</f>
        <v>0.4</v>
      </c>
      <c r="AE295" s="79">
        <f>_xlfn.XLOOKUP(tblTarget[[#This Row],[ID]],tblResponse[ID],tblResponse[2024 Projected reached (Dec 2024)])</f>
        <v>1115</v>
      </c>
      <c r="AF295" s="79">
        <f>_xlfn.XLOOKUP(tblTarget[[#This Row],[ID]],tblResponse[ID],tblResponse[2024 Intercluster reached -August RPM])</f>
        <v>13423.03796442261</v>
      </c>
      <c r="AG295" s="79">
        <v>4</v>
      </c>
      <c r="AH295" s="79"/>
      <c r="AI295" s="79"/>
      <c r="AJ295" s="70" t="str">
        <f>IF(tblTarget[[#This Row],[Target to PiN (%)]]&gt;Targ_vs_PiN,"Flagged","")</f>
        <v/>
      </c>
      <c r="AK295" s="69" t="str">
        <f>IF(AND(tblTarget[[#This Row],[Qualifies for exception]]="Flagged",tblTarget[[#This Row],[Target to PiN (%)]]&gt;Targ_severity5),"Flagged","")</f>
        <v/>
      </c>
      <c r="AL295" s="68" t="str">
        <f>IFERROR(IF(AND(tblTarget[[#This Row],[Intercluser Severity]]=4,tblTarget[[#This Row],[Qualifies for exception]]="Flagged",(tblTarget[[#This Row],[Cluster Target]]-tblTarget[[#This Row],[2024 Response capacity up to December]])/tblTarget[[#This Row],[Cluster Target]]&gt;Diff_severity4),"Flagged",""),"No target")</f>
        <v/>
      </c>
      <c r="AM295" s="68" t="str">
        <f>IFERROR(IF(AND(tblTarget[[#This Row],[Intercluser Severity]]=3,tblTarget[[#This Row],[Qualifies for exception]]="Flagged",(tblTarget[[#This Row],[Cluster Target]]-tblTarget[[#This Row],[2024 Response capacity up to December]])/tblTarget[[#This Row],[Cluster Target]]&gt;Diff_severity3),"Flagged",""),"No target")</f>
        <v>Flagged</v>
      </c>
      <c r="AN295" s="81" t="s">
        <v>1099</v>
      </c>
      <c r="AO295" s="81"/>
      <c r="AP295" s="81" t="s">
        <v>1099</v>
      </c>
      <c r="AQ295" s="81" t="s">
        <v>1107</v>
      </c>
    </row>
    <row r="296" spans="1:43" ht="15.95" customHeight="1" x14ac:dyDescent="0.2">
      <c r="A296" s="62" t="s">
        <v>733</v>
      </c>
      <c r="B296" s="63" t="s">
        <v>232</v>
      </c>
      <c r="C296" s="64" t="s">
        <v>233</v>
      </c>
      <c r="D296" s="63" t="s">
        <v>246</v>
      </c>
      <c r="E296" s="64" t="s">
        <v>247</v>
      </c>
      <c r="F296" s="65">
        <v>16970</v>
      </c>
      <c r="G296" s="66" t="s">
        <v>436</v>
      </c>
      <c r="H296" s="67">
        <v>9920</v>
      </c>
      <c r="I296" s="68">
        <v>3</v>
      </c>
      <c r="J296" s="68">
        <v>4</v>
      </c>
      <c r="K296" s="91">
        <v>496</v>
      </c>
      <c r="L296" s="91">
        <v>256.59113817330211</v>
      </c>
      <c r="M296" s="91">
        <v>239.40886182669789</v>
      </c>
      <c r="N296" s="91">
        <v>272.8</v>
      </c>
      <c r="O296" s="91">
        <v>193.44</v>
      </c>
      <c r="P296" s="91">
        <v>29.759999999999998</v>
      </c>
      <c r="Q296" s="85">
        <v>74.399999999999991</v>
      </c>
      <c r="R296" s="68" t="s">
        <v>436</v>
      </c>
      <c r="S296" s="86">
        <v>71</v>
      </c>
      <c r="T296" s="68">
        <v>18</v>
      </c>
      <c r="U296" s="68">
        <v>3</v>
      </c>
      <c r="V296" s="68">
        <v>4</v>
      </c>
      <c r="W296" s="68">
        <v>5</v>
      </c>
      <c r="X296" s="68">
        <v>10</v>
      </c>
      <c r="Y296" s="68">
        <v>15</v>
      </c>
      <c r="Z296" s="68">
        <v>10</v>
      </c>
      <c r="AA296" s="68">
        <v>0</v>
      </c>
      <c r="AB296" s="69">
        <v>2</v>
      </c>
      <c r="AC296" s="69">
        <v>0</v>
      </c>
      <c r="AD296" s="70">
        <f>IFERROR(tblTarget[[#This Row],[Cluster Target]]/tblTarget[[#This Row],[Cluster PiN]],0)</f>
        <v>0.05</v>
      </c>
      <c r="AE296" s="79">
        <f>_xlfn.XLOOKUP(tblTarget[[#This Row],[ID]],tblResponse[ID],tblResponse[2024 Projected reached (Dec 2024)])</f>
        <v>0</v>
      </c>
      <c r="AF296" s="79">
        <f>_xlfn.XLOOKUP(tblTarget[[#This Row],[ID]],tblResponse[ID],tblResponse[2024 Intercluster reached -August RPM])</f>
        <v>2876.1613673236452</v>
      </c>
      <c r="AG296" s="79">
        <v>1</v>
      </c>
      <c r="AH296" s="79"/>
      <c r="AI296" s="79"/>
      <c r="AJ296" s="70" t="str">
        <f>IF(tblTarget[[#This Row],[Target to PiN (%)]]&gt;Targ_vs_PiN,"Flagged","")</f>
        <v/>
      </c>
      <c r="AK296" s="69" t="str">
        <f>IF(AND(tblTarget[[#This Row],[Qualifies for exception]]="Flagged",tblTarget[[#This Row],[Target to PiN (%)]]&gt;Targ_severity5),"Flagged","")</f>
        <v/>
      </c>
      <c r="AL296" s="68" t="str">
        <f>IFERROR(IF(AND(tblTarget[[#This Row],[Intercluser Severity]]=4,tblTarget[[#This Row],[Qualifies for exception]]="Flagged",(tblTarget[[#This Row],[Cluster Target]]-tblTarget[[#This Row],[2024 Response capacity up to December]])/tblTarget[[#This Row],[Cluster Target]]&gt;Diff_severity4),"Flagged",""),"No target")</f>
        <v>Flagged</v>
      </c>
      <c r="AM296" s="68" t="str">
        <f>IFERROR(IF(AND(tblTarget[[#This Row],[Intercluser Severity]]=3,tblTarget[[#This Row],[Qualifies for exception]]="Flagged",(tblTarget[[#This Row],[Cluster Target]]-tblTarget[[#This Row],[2024 Response capacity up to December]])/tblTarget[[#This Row],[Cluster Target]]&gt;Diff_severity3),"Flagged",""),"No target")</f>
        <v/>
      </c>
      <c r="AN296" s="81" t="s">
        <v>1099</v>
      </c>
      <c r="AO296" s="81"/>
      <c r="AP296" s="81" t="s">
        <v>1099</v>
      </c>
      <c r="AQ296" s="81" t="s">
        <v>1107</v>
      </c>
    </row>
    <row r="297" spans="1:43" ht="15.95" customHeight="1" x14ac:dyDescent="0.2">
      <c r="A297" s="62" t="s">
        <v>734</v>
      </c>
      <c r="B297" s="63" t="s">
        <v>232</v>
      </c>
      <c r="C297" s="64" t="s">
        <v>233</v>
      </c>
      <c r="D297" s="63" t="s">
        <v>248</v>
      </c>
      <c r="E297" s="64" t="s">
        <v>249</v>
      </c>
      <c r="F297" s="65">
        <v>133362</v>
      </c>
      <c r="G297" s="66" t="s">
        <v>436</v>
      </c>
      <c r="H297" s="67">
        <v>108828</v>
      </c>
      <c r="I297" s="68">
        <v>4</v>
      </c>
      <c r="J297" s="68">
        <v>4</v>
      </c>
      <c r="K297" s="91">
        <v>65297</v>
      </c>
      <c r="L297" s="91">
        <v>33885.475543278153</v>
      </c>
      <c r="M297" s="91">
        <v>31411.52445672184</v>
      </c>
      <c r="N297" s="91">
        <v>35913.350000000006</v>
      </c>
      <c r="O297" s="91">
        <v>25465.83</v>
      </c>
      <c r="P297" s="91">
        <v>3917.8199999999997</v>
      </c>
      <c r="Q297" s="85">
        <v>9794.5499999999993</v>
      </c>
      <c r="R297" s="68" t="s">
        <v>436</v>
      </c>
      <c r="S297" s="86">
        <v>9403</v>
      </c>
      <c r="T297" s="68">
        <v>2351</v>
      </c>
      <c r="U297" s="68">
        <v>441</v>
      </c>
      <c r="V297" s="68">
        <v>588</v>
      </c>
      <c r="W297" s="68">
        <v>653</v>
      </c>
      <c r="X297" s="68">
        <v>1306</v>
      </c>
      <c r="Y297" s="68">
        <v>1959</v>
      </c>
      <c r="Z297" s="68">
        <v>1306</v>
      </c>
      <c r="AA297" s="68">
        <v>0</v>
      </c>
      <c r="AB297" s="69">
        <v>192</v>
      </c>
      <c r="AC297" s="69">
        <v>414.36480285976927</v>
      </c>
      <c r="AD297" s="70">
        <f>IFERROR(tblTarget[[#This Row],[Cluster Target]]/tblTarget[[#This Row],[Cluster PiN]],0)</f>
        <v>0.60000183776234062</v>
      </c>
      <c r="AE297" s="79">
        <f>_xlfn.XLOOKUP(tblTarget[[#This Row],[ID]],tblResponse[ID],tblResponse[2024 Projected reached (Dec 2024)])</f>
        <v>6060</v>
      </c>
      <c r="AF297" s="79">
        <f>_xlfn.XLOOKUP(tblTarget[[#This Row],[ID]],tblResponse[ID],tblResponse[2024 Intercluster reached -August RPM])</f>
        <v>15247.794635383676</v>
      </c>
      <c r="AG297" s="79">
        <v>3</v>
      </c>
      <c r="AH297" s="79"/>
      <c r="AI297" s="79"/>
      <c r="AJ297" s="70" t="str">
        <f>IF(tblTarget[[#This Row],[Target to PiN (%)]]&gt;Targ_vs_PiN,"Flagged","")</f>
        <v/>
      </c>
      <c r="AK297" s="69" t="str">
        <f>IF(AND(tblTarget[[#This Row],[Qualifies for exception]]="Flagged",tblTarget[[#This Row],[Target to PiN (%)]]&gt;Targ_severity5),"Flagged","")</f>
        <v/>
      </c>
      <c r="AL297" s="68" t="str">
        <f>IFERROR(IF(AND(tblTarget[[#This Row],[Intercluser Severity]]=4,tblTarget[[#This Row],[Qualifies for exception]]="Flagged",(tblTarget[[#This Row],[Cluster Target]]-tblTarget[[#This Row],[2024 Response capacity up to December]])/tblTarget[[#This Row],[Cluster Target]]&gt;Diff_severity4),"Flagged",""),"No target")</f>
        <v>Flagged</v>
      </c>
      <c r="AM297" s="68" t="str">
        <f>IFERROR(IF(AND(tblTarget[[#This Row],[Intercluser Severity]]=3,tblTarget[[#This Row],[Qualifies for exception]]="Flagged",(tblTarget[[#This Row],[Cluster Target]]-tblTarget[[#This Row],[2024 Response capacity up to December]])/tblTarget[[#This Row],[Cluster Target]]&gt;Diff_severity3),"Flagged",""),"No target")</f>
        <v/>
      </c>
      <c r="AN297" s="81" t="s">
        <v>1099</v>
      </c>
      <c r="AO297" s="81"/>
      <c r="AP297" s="81" t="s">
        <v>1099</v>
      </c>
      <c r="AQ297" s="81" t="s">
        <v>1107</v>
      </c>
    </row>
    <row r="298" spans="1:43" ht="15.95" customHeight="1" x14ac:dyDescent="0.2">
      <c r="A298" s="62" t="s">
        <v>735</v>
      </c>
      <c r="B298" s="63" t="s">
        <v>232</v>
      </c>
      <c r="C298" s="64" t="s">
        <v>233</v>
      </c>
      <c r="D298" s="63" t="s">
        <v>250</v>
      </c>
      <c r="E298" s="64" t="s">
        <v>251</v>
      </c>
      <c r="F298" s="65">
        <v>26377</v>
      </c>
      <c r="G298" s="66" t="s">
        <v>436</v>
      </c>
      <c r="H298" s="67">
        <v>16779</v>
      </c>
      <c r="I298" s="68">
        <v>3</v>
      </c>
      <c r="J298" s="68">
        <v>4</v>
      </c>
      <c r="K298" s="91">
        <v>839</v>
      </c>
      <c r="L298" s="91">
        <v>435.06750084030921</v>
      </c>
      <c r="M298" s="91">
        <v>403.93249915969074</v>
      </c>
      <c r="N298" s="91">
        <v>461.45000000000005</v>
      </c>
      <c r="O298" s="91">
        <v>327.21000000000004</v>
      </c>
      <c r="P298" s="91">
        <v>50.339999999999996</v>
      </c>
      <c r="Q298" s="85">
        <v>125.85</v>
      </c>
      <c r="R298" s="68" t="s">
        <v>436</v>
      </c>
      <c r="S298" s="86">
        <v>121</v>
      </c>
      <c r="T298" s="68">
        <v>30</v>
      </c>
      <c r="U298" s="68">
        <v>6</v>
      </c>
      <c r="V298" s="68">
        <v>8</v>
      </c>
      <c r="W298" s="68">
        <v>8</v>
      </c>
      <c r="X298" s="68">
        <v>17</v>
      </c>
      <c r="Y298" s="68">
        <v>25</v>
      </c>
      <c r="Z298" s="68">
        <v>17</v>
      </c>
      <c r="AA298" s="68">
        <v>0</v>
      </c>
      <c r="AB298" s="69">
        <v>2</v>
      </c>
      <c r="AC298" s="69">
        <v>0</v>
      </c>
      <c r="AD298" s="70">
        <f>IFERROR(tblTarget[[#This Row],[Cluster Target]]/tblTarget[[#This Row],[Cluster PiN]],0)</f>
        <v>5.00029799153704E-2</v>
      </c>
      <c r="AE298" s="79">
        <f>_xlfn.XLOOKUP(tblTarget[[#This Row],[ID]],tblResponse[ID],tblResponse[2024 Projected reached (Dec 2024)])</f>
        <v>0</v>
      </c>
      <c r="AF298" s="79">
        <f>_xlfn.XLOOKUP(tblTarget[[#This Row],[ID]],tblResponse[ID],tblResponse[2024 Intercluster reached -August RPM])</f>
        <v>14559.51423274176</v>
      </c>
      <c r="AG298" s="79">
        <v>1</v>
      </c>
      <c r="AH298" s="79"/>
      <c r="AI298" s="79"/>
      <c r="AJ298" s="70" t="str">
        <f>IF(tblTarget[[#This Row],[Target to PiN (%)]]&gt;Targ_vs_PiN,"Flagged","")</f>
        <v/>
      </c>
      <c r="AK298" s="69" t="str">
        <f>IF(AND(tblTarget[[#This Row],[Qualifies for exception]]="Flagged",tblTarget[[#This Row],[Target to PiN (%)]]&gt;Targ_severity5),"Flagged","")</f>
        <v/>
      </c>
      <c r="AL298" s="68" t="str">
        <f>IFERROR(IF(AND(tblTarget[[#This Row],[Intercluser Severity]]=4,tblTarget[[#This Row],[Qualifies for exception]]="Flagged",(tblTarget[[#This Row],[Cluster Target]]-tblTarget[[#This Row],[2024 Response capacity up to December]])/tblTarget[[#This Row],[Cluster Target]]&gt;Diff_severity4),"Flagged",""),"No target")</f>
        <v>Flagged</v>
      </c>
      <c r="AM298" s="68" t="str">
        <f>IFERROR(IF(AND(tblTarget[[#This Row],[Intercluser Severity]]=3,tblTarget[[#This Row],[Qualifies for exception]]="Flagged",(tblTarget[[#This Row],[Cluster Target]]-tblTarget[[#This Row],[2024 Response capacity up to December]])/tblTarget[[#This Row],[Cluster Target]]&gt;Diff_severity3),"Flagged",""),"No target")</f>
        <v/>
      </c>
      <c r="AN298" s="81" t="s">
        <v>1099</v>
      </c>
      <c r="AO298" s="81"/>
      <c r="AP298" s="81" t="s">
        <v>1099</v>
      </c>
      <c r="AQ298" s="81" t="s">
        <v>1107</v>
      </c>
    </row>
    <row r="299" spans="1:43" ht="15.95" customHeight="1" x14ac:dyDescent="0.2">
      <c r="A299" s="62" t="s">
        <v>736</v>
      </c>
      <c r="B299" s="63" t="s">
        <v>252</v>
      </c>
      <c r="C299" s="64" t="s">
        <v>253</v>
      </c>
      <c r="D299" s="63" t="s">
        <v>254</v>
      </c>
      <c r="E299" s="64" t="s">
        <v>255</v>
      </c>
      <c r="F299" s="65">
        <v>1595</v>
      </c>
      <c r="G299" s="66" t="s">
        <v>436</v>
      </c>
      <c r="H299" s="67">
        <v>1068</v>
      </c>
      <c r="I299" s="68">
        <v>3</v>
      </c>
      <c r="J299" s="68">
        <v>3</v>
      </c>
      <c r="K299" s="91">
        <v>427</v>
      </c>
      <c r="L299" s="91">
        <v>195.04421514252547</v>
      </c>
      <c r="M299" s="91">
        <v>231.95578485747453</v>
      </c>
      <c r="N299" s="91">
        <v>234.85000000000002</v>
      </c>
      <c r="O299" s="91">
        <v>166.53</v>
      </c>
      <c r="P299" s="91">
        <v>25.619999999999997</v>
      </c>
      <c r="Q299" s="85">
        <v>64.05</v>
      </c>
      <c r="R299" s="68" t="s">
        <v>436</v>
      </c>
      <c r="S299" s="86">
        <v>61</v>
      </c>
      <c r="T299" s="68">
        <v>15</v>
      </c>
      <c r="U299" s="68">
        <v>3</v>
      </c>
      <c r="V299" s="68">
        <v>4</v>
      </c>
      <c r="W299" s="68">
        <v>4</v>
      </c>
      <c r="X299" s="68">
        <v>9</v>
      </c>
      <c r="Y299" s="68">
        <v>13</v>
      </c>
      <c r="Z299" s="68">
        <v>9</v>
      </c>
      <c r="AA299" s="68">
        <v>0</v>
      </c>
      <c r="AB299" s="69">
        <v>2</v>
      </c>
      <c r="AC299" s="69">
        <v>0</v>
      </c>
      <c r="AD299" s="70">
        <f>IFERROR(tblTarget[[#This Row],[Cluster Target]]/tblTarget[[#This Row],[Cluster PiN]],0)</f>
        <v>0.39981273408239698</v>
      </c>
      <c r="AE299" s="79">
        <f>_xlfn.XLOOKUP(tblTarget[[#This Row],[ID]],tblResponse[ID],tblResponse[2024 Projected reached (Dec 2024)])</f>
        <v>0</v>
      </c>
      <c r="AF299" s="79">
        <f>_xlfn.XLOOKUP(tblTarget[[#This Row],[ID]],tblResponse[ID],tblResponse[2024 Intercluster reached -August RPM])</f>
        <v>8698.4254950224786</v>
      </c>
      <c r="AG299" s="79">
        <v>1</v>
      </c>
      <c r="AH299" s="79"/>
      <c r="AI299" s="79"/>
      <c r="AJ299" s="70" t="str">
        <f>IF(tblTarget[[#This Row],[Target to PiN (%)]]&gt;Targ_vs_PiN,"Flagged","")</f>
        <v/>
      </c>
      <c r="AK299" s="69" t="str">
        <f>IF(AND(tblTarget[[#This Row],[Qualifies for exception]]="Flagged",tblTarget[[#This Row],[Target to PiN (%)]]&gt;Targ_severity5),"Flagged","")</f>
        <v/>
      </c>
      <c r="AL299" s="68" t="str">
        <f>IFERROR(IF(AND(tblTarget[[#This Row],[Intercluser Severity]]=4,tblTarget[[#This Row],[Qualifies for exception]]="Flagged",(tblTarget[[#This Row],[Cluster Target]]-tblTarget[[#This Row],[2024 Response capacity up to December]])/tblTarget[[#This Row],[Cluster Target]]&gt;Diff_severity4),"Flagged",""),"No target")</f>
        <v/>
      </c>
      <c r="AM299" s="68" t="str">
        <f>IFERROR(IF(AND(tblTarget[[#This Row],[Intercluser Severity]]=3,tblTarget[[#This Row],[Qualifies for exception]]="Flagged",(tblTarget[[#This Row],[Cluster Target]]-tblTarget[[#This Row],[2024 Response capacity up to December]])/tblTarget[[#This Row],[Cluster Target]]&gt;Diff_severity3),"Flagged",""),"No target")</f>
        <v>Flagged</v>
      </c>
      <c r="AN299" s="81" t="s">
        <v>1099</v>
      </c>
      <c r="AO299" s="81"/>
      <c r="AP299" s="81" t="s">
        <v>1099</v>
      </c>
      <c r="AQ299" s="81" t="s">
        <v>1107</v>
      </c>
    </row>
    <row r="300" spans="1:43" ht="15.95" customHeight="1" x14ac:dyDescent="0.2">
      <c r="A300" s="62" t="s">
        <v>737</v>
      </c>
      <c r="B300" s="63" t="s">
        <v>252</v>
      </c>
      <c r="C300" s="64" t="s">
        <v>253</v>
      </c>
      <c r="D300" s="63" t="s">
        <v>256</v>
      </c>
      <c r="E300" s="64" t="s">
        <v>257</v>
      </c>
      <c r="F300" s="65">
        <v>239573</v>
      </c>
      <c r="G300" s="66" t="s">
        <v>436</v>
      </c>
      <c r="H300" s="67">
        <v>153124</v>
      </c>
      <c r="I300" s="68">
        <v>3</v>
      </c>
      <c r="J300" s="68">
        <v>3</v>
      </c>
      <c r="K300" s="91">
        <v>61250</v>
      </c>
      <c r="L300" s="91">
        <v>30734.457911807418</v>
      </c>
      <c r="M300" s="91">
        <v>30515.542088192578</v>
      </c>
      <c r="N300" s="91">
        <v>33687.5</v>
      </c>
      <c r="O300" s="91">
        <v>23887.5</v>
      </c>
      <c r="P300" s="91">
        <v>3675</v>
      </c>
      <c r="Q300" s="85">
        <v>9187.5</v>
      </c>
      <c r="R300" s="68" t="s">
        <v>436</v>
      </c>
      <c r="S300" s="86">
        <v>8820</v>
      </c>
      <c r="T300" s="68">
        <v>2205</v>
      </c>
      <c r="U300" s="68">
        <v>413</v>
      </c>
      <c r="V300" s="68">
        <v>551</v>
      </c>
      <c r="W300" s="68">
        <v>613</v>
      </c>
      <c r="X300" s="68">
        <v>1225</v>
      </c>
      <c r="Y300" s="68">
        <v>1838</v>
      </c>
      <c r="Z300" s="68">
        <v>1225</v>
      </c>
      <c r="AA300" s="68">
        <v>608.22827704498309</v>
      </c>
      <c r="AB300" s="69">
        <v>180</v>
      </c>
      <c r="AC300" s="69">
        <v>376.69527532706297</v>
      </c>
      <c r="AD300" s="70">
        <f>IFERROR(tblTarget[[#This Row],[Cluster Target]]/tblTarget[[#This Row],[Cluster PiN]],0)</f>
        <v>0.4000026122619576</v>
      </c>
      <c r="AE300" s="79">
        <f>_xlfn.XLOOKUP(tblTarget[[#This Row],[ID]],tblResponse[ID],tblResponse[2024 Projected reached (Dec 2024)])</f>
        <v>48000</v>
      </c>
      <c r="AF300" s="79">
        <f>_xlfn.XLOOKUP(tblTarget[[#This Row],[ID]],tblResponse[ID],tblResponse[2024 Intercluster reached -August RPM])</f>
        <v>33843.069984736292</v>
      </c>
      <c r="AG300" s="79">
        <v>8</v>
      </c>
      <c r="AH300" s="79"/>
      <c r="AI300" s="79"/>
      <c r="AJ300" s="70" t="str">
        <f>IF(tblTarget[[#This Row],[Target to PiN (%)]]&gt;Targ_vs_PiN,"Flagged","")</f>
        <v/>
      </c>
      <c r="AK300" s="69" t="str">
        <f>IF(AND(tblTarget[[#This Row],[Qualifies for exception]]="Flagged",tblTarget[[#This Row],[Target to PiN (%)]]&gt;Targ_severity5),"Flagged","")</f>
        <v/>
      </c>
      <c r="AL300" s="68" t="str">
        <f>IFERROR(IF(AND(tblTarget[[#This Row],[Intercluser Severity]]=4,tblTarget[[#This Row],[Qualifies for exception]]="Flagged",(tblTarget[[#This Row],[Cluster Target]]-tblTarget[[#This Row],[2024 Response capacity up to December]])/tblTarget[[#This Row],[Cluster Target]]&gt;Diff_severity4),"Flagged",""),"No target")</f>
        <v/>
      </c>
      <c r="AM300" s="68" t="str">
        <f>IFERROR(IF(AND(tblTarget[[#This Row],[Intercluser Severity]]=3,tblTarget[[#This Row],[Qualifies for exception]]="Flagged",(tblTarget[[#This Row],[Cluster Target]]-tblTarget[[#This Row],[2024 Response capacity up to December]])/tblTarget[[#This Row],[Cluster Target]]&gt;Diff_severity3),"Flagged",""),"No target")</f>
        <v>Flagged</v>
      </c>
      <c r="AN300" s="81" t="s">
        <v>1099</v>
      </c>
      <c r="AO300" s="81"/>
      <c r="AP300" s="81" t="s">
        <v>1099</v>
      </c>
      <c r="AQ300" s="81" t="s">
        <v>1107</v>
      </c>
    </row>
    <row r="301" spans="1:43" ht="15.95" customHeight="1" x14ac:dyDescent="0.2">
      <c r="A301" s="62" t="s">
        <v>738</v>
      </c>
      <c r="B301" s="63" t="s">
        <v>252</v>
      </c>
      <c r="C301" s="64" t="s">
        <v>253</v>
      </c>
      <c r="D301" s="63" t="s">
        <v>258</v>
      </c>
      <c r="E301" s="64" t="s">
        <v>259</v>
      </c>
      <c r="F301" s="65">
        <v>2415</v>
      </c>
      <c r="G301" s="66" t="s">
        <v>436</v>
      </c>
      <c r="H301" s="67">
        <v>1189</v>
      </c>
      <c r="I301" s="68">
        <v>3</v>
      </c>
      <c r="J301" s="68">
        <v>3</v>
      </c>
      <c r="K301" s="91">
        <v>713</v>
      </c>
      <c r="L301" s="91">
        <v>325.47479240940987</v>
      </c>
      <c r="M301" s="91">
        <v>387.52520759059013</v>
      </c>
      <c r="N301" s="91">
        <v>392.15000000000003</v>
      </c>
      <c r="O301" s="91">
        <v>278.07</v>
      </c>
      <c r="P301" s="91">
        <v>42.78</v>
      </c>
      <c r="Q301" s="85">
        <v>106.95</v>
      </c>
      <c r="R301" s="68" t="s">
        <v>436</v>
      </c>
      <c r="S301" s="86">
        <v>103</v>
      </c>
      <c r="T301" s="68">
        <v>26</v>
      </c>
      <c r="U301" s="68">
        <v>5</v>
      </c>
      <c r="V301" s="68">
        <v>6</v>
      </c>
      <c r="W301" s="68">
        <v>7</v>
      </c>
      <c r="X301" s="68">
        <v>14</v>
      </c>
      <c r="Y301" s="68">
        <v>21</v>
      </c>
      <c r="Z301" s="68">
        <v>14</v>
      </c>
      <c r="AA301" s="68">
        <v>0</v>
      </c>
      <c r="AB301" s="69">
        <v>2</v>
      </c>
      <c r="AC301" s="69">
        <v>0</v>
      </c>
      <c r="AD301" s="70">
        <f>IFERROR(tblTarget[[#This Row],[Cluster Target]]/tblTarget[[#This Row],[Cluster PiN]],0)</f>
        <v>0.59966358284272503</v>
      </c>
      <c r="AE301" s="79">
        <f>_xlfn.XLOOKUP(tblTarget[[#This Row],[ID]],tblResponse[ID],tblResponse[2024 Projected reached (Dec 2024)])</f>
        <v>24335</v>
      </c>
      <c r="AF301" s="79">
        <f>_xlfn.XLOOKUP(tblTarget[[#This Row],[ID]],tblResponse[ID],tblResponse[2024 Intercluster reached -August RPM])</f>
        <v>13083.322626743688</v>
      </c>
      <c r="AG301" s="79">
        <v>4</v>
      </c>
      <c r="AH301" s="79"/>
      <c r="AI301" s="79"/>
      <c r="AJ301" s="70" t="str">
        <f>IF(tblTarget[[#This Row],[Target to PiN (%)]]&gt;Targ_vs_PiN,"Flagged","")</f>
        <v/>
      </c>
      <c r="AK301" s="69" t="str">
        <f>IF(AND(tblTarget[[#This Row],[Qualifies for exception]]="Flagged",tblTarget[[#This Row],[Target to PiN (%)]]&gt;Targ_severity5),"Flagged","")</f>
        <v/>
      </c>
      <c r="AL301" s="68" t="str">
        <f>IFERROR(IF(AND(tblTarget[[#This Row],[Intercluser Severity]]=4,tblTarget[[#This Row],[Qualifies for exception]]="Flagged",(tblTarget[[#This Row],[Cluster Target]]-tblTarget[[#This Row],[2024 Response capacity up to December]])/tblTarget[[#This Row],[Cluster Target]]&gt;Diff_severity4),"Flagged",""),"No target")</f>
        <v/>
      </c>
      <c r="AM301" s="68" t="str">
        <f>IFERROR(IF(AND(tblTarget[[#This Row],[Intercluser Severity]]=3,tblTarget[[#This Row],[Qualifies for exception]]="Flagged",(tblTarget[[#This Row],[Cluster Target]]-tblTarget[[#This Row],[2024 Response capacity up to December]])/tblTarget[[#This Row],[Cluster Target]]&gt;Diff_severity3),"Flagged",""),"No target")</f>
        <v/>
      </c>
      <c r="AN301" s="81" t="s">
        <v>1099</v>
      </c>
      <c r="AO301" s="81"/>
      <c r="AP301" s="81" t="s">
        <v>1099</v>
      </c>
      <c r="AQ301" s="81" t="s">
        <v>1107</v>
      </c>
    </row>
    <row r="302" spans="1:43" ht="15.95" customHeight="1" x14ac:dyDescent="0.2">
      <c r="A302" s="62" t="s">
        <v>739</v>
      </c>
      <c r="B302" s="63" t="s">
        <v>252</v>
      </c>
      <c r="C302" s="64" t="s">
        <v>253</v>
      </c>
      <c r="D302" s="63" t="s">
        <v>260</v>
      </c>
      <c r="E302" s="64" t="s">
        <v>261</v>
      </c>
      <c r="F302" s="65">
        <v>490</v>
      </c>
      <c r="G302" s="66" t="s">
        <v>436</v>
      </c>
      <c r="H302" s="67">
        <v>107</v>
      </c>
      <c r="I302" s="68">
        <v>3</v>
      </c>
      <c r="J302" s="68">
        <v>3</v>
      </c>
      <c r="K302" s="91">
        <v>0</v>
      </c>
      <c r="L302" s="91">
        <v>0</v>
      </c>
      <c r="M302" s="91">
        <v>0</v>
      </c>
      <c r="N302" s="91">
        <v>0</v>
      </c>
      <c r="O302" s="91">
        <v>0</v>
      </c>
      <c r="P302" s="91">
        <v>0</v>
      </c>
      <c r="Q302" s="85">
        <v>0</v>
      </c>
      <c r="R302" s="68" t="s">
        <v>436</v>
      </c>
      <c r="S302" s="86">
        <v>0</v>
      </c>
      <c r="T302" s="68">
        <v>0</v>
      </c>
      <c r="U302" s="68">
        <v>0</v>
      </c>
      <c r="V302" s="68">
        <v>0</v>
      </c>
      <c r="W302" s="68">
        <v>0</v>
      </c>
      <c r="X302" s="68">
        <v>0</v>
      </c>
      <c r="Y302" s="68">
        <v>0</v>
      </c>
      <c r="Z302" s="68">
        <v>0</v>
      </c>
      <c r="AA302" s="68">
        <v>0</v>
      </c>
      <c r="AB302" s="69">
        <v>0</v>
      </c>
      <c r="AC302" s="69">
        <v>0</v>
      </c>
      <c r="AD302" s="70">
        <f>IFERROR(tblTarget[[#This Row],[Cluster Target]]/tblTarget[[#This Row],[Cluster PiN]],0)</f>
        <v>0</v>
      </c>
      <c r="AE302" s="79">
        <f>_xlfn.XLOOKUP(tblTarget[[#This Row],[ID]],tblResponse[ID],tblResponse[2024 Projected reached (Dec 2024)])</f>
        <v>0</v>
      </c>
      <c r="AF302" s="79">
        <f>_xlfn.XLOOKUP(tblTarget[[#This Row],[ID]],tblResponse[ID],tblResponse[2024 Intercluster reached -August RPM])</f>
        <v>902.38670790174115</v>
      </c>
      <c r="AG302" s="79">
        <v>1</v>
      </c>
      <c r="AH302" s="79"/>
      <c r="AI302" s="79"/>
      <c r="AJ302" s="70" t="str">
        <f>IF(tblTarget[[#This Row],[Target to PiN (%)]]&gt;Targ_vs_PiN,"Flagged","")</f>
        <v/>
      </c>
      <c r="AK302" s="69" t="str">
        <f>IF(AND(tblTarget[[#This Row],[Qualifies for exception]]="Flagged",tblTarget[[#This Row],[Target to PiN (%)]]&gt;Targ_severity5),"Flagged","")</f>
        <v/>
      </c>
      <c r="AL302" s="68" t="str">
        <f>IFERROR(IF(AND(tblTarget[[#This Row],[Intercluser Severity]]=4,tblTarget[[#This Row],[Qualifies for exception]]="Flagged",(tblTarget[[#This Row],[Cluster Target]]-tblTarget[[#This Row],[2024 Response capacity up to December]])/tblTarget[[#This Row],[Cluster Target]]&gt;Diff_severity4),"Flagged",""),"No target")</f>
        <v>No target</v>
      </c>
      <c r="AM302" s="68" t="str">
        <f>IFERROR(IF(AND(tblTarget[[#This Row],[Intercluser Severity]]=3,tblTarget[[#This Row],[Qualifies for exception]]="Flagged",(tblTarget[[#This Row],[Cluster Target]]-tblTarget[[#This Row],[2024 Response capacity up to December]])/tblTarget[[#This Row],[Cluster Target]]&gt;Diff_severity3),"Flagged",""),"No target")</f>
        <v>No target</v>
      </c>
      <c r="AN302" s="81" t="s">
        <v>1099</v>
      </c>
      <c r="AO302" s="81"/>
      <c r="AP302" s="81" t="s">
        <v>1099</v>
      </c>
      <c r="AQ302" s="81" t="s">
        <v>1107</v>
      </c>
    </row>
    <row r="303" spans="1:43" ht="15.95" customHeight="1" x14ac:dyDescent="0.2">
      <c r="A303" s="62" t="s">
        <v>740</v>
      </c>
      <c r="B303" s="63" t="s">
        <v>252</v>
      </c>
      <c r="C303" s="64" t="s">
        <v>253</v>
      </c>
      <c r="D303" s="63" t="s">
        <v>262</v>
      </c>
      <c r="E303" s="64" t="s">
        <v>263</v>
      </c>
      <c r="F303" s="65">
        <v>280</v>
      </c>
      <c r="G303" s="66" t="s">
        <v>436</v>
      </c>
      <c r="H303" s="67">
        <v>180</v>
      </c>
      <c r="I303" s="68">
        <v>4</v>
      </c>
      <c r="J303" s="68">
        <v>3</v>
      </c>
      <c r="K303" s="91">
        <v>144</v>
      </c>
      <c r="L303" s="91">
        <v>65.303245883618857</v>
      </c>
      <c r="M303" s="91">
        <v>78.696754116381143</v>
      </c>
      <c r="N303" s="91">
        <v>79.2</v>
      </c>
      <c r="O303" s="91">
        <v>56.160000000000004</v>
      </c>
      <c r="P303" s="91">
        <v>8.64</v>
      </c>
      <c r="Q303" s="85">
        <v>21.599999999999998</v>
      </c>
      <c r="R303" s="68" t="s">
        <v>436</v>
      </c>
      <c r="S303" s="86">
        <v>21</v>
      </c>
      <c r="T303" s="68">
        <v>5</v>
      </c>
      <c r="U303" s="68">
        <v>1</v>
      </c>
      <c r="V303" s="68">
        <v>1</v>
      </c>
      <c r="W303" s="68">
        <v>1</v>
      </c>
      <c r="X303" s="68">
        <v>3</v>
      </c>
      <c r="Y303" s="68">
        <v>4</v>
      </c>
      <c r="Z303" s="68">
        <v>3</v>
      </c>
      <c r="AA303" s="68">
        <v>0</v>
      </c>
      <c r="AB303" s="69">
        <v>0</v>
      </c>
      <c r="AC303" s="69">
        <v>0</v>
      </c>
      <c r="AD303" s="70">
        <f>IFERROR(tblTarget[[#This Row],[Cluster Target]]/tblTarget[[#This Row],[Cluster PiN]],0)</f>
        <v>0.8</v>
      </c>
      <c r="AE303" s="79">
        <f>_xlfn.XLOOKUP(tblTarget[[#This Row],[ID]],tblResponse[ID],tblResponse[2024 Projected reached (Dec 2024)])</f>
        <v>0</v>
      </c>
      <c r="AF303" s="79">
        <f>_xlfn.XLOOKUP(tblTarget[[#This Row],[ID]],tblResponse[ID],tblResponse[2024 Intercluster reached -August RPM])</f>
        <v>2600.1069710753113</v>
      </c>
      <c r="AG303" s="79">
        <v>1</v>
      </c>
      <c r="AH303" s="79"/>
      <c r="AI303" s="79"/>
      <c r="AJ303" s="70" t="str">
        <f>IF(tblTarget[[#This Row],[Target to PiN (%)]]&gt;Targ_vs_PiN,"Flagged","")</f>
        <v/>
      </c>
      <c r="AK303" s="69" t="str">
        <f>IF(AND(tblTarget[[#This Row],[Qualifies for exception]]="Flagged",tblTarget[[#This Row],[Target to PiN (%)]]&gt;Targ_severity5),"Flagged","")</f>
        <v/>
      </c>
      <c r="AL303" s="68" t="str">
        <f>IFERROR(IF(AND(tblTarget[[#This Row],[Intercluser Severity]]=4,tblTarget[[#This Row],[Qualifies for exception]]="Flagged",(tblTarget[[#This Row],[Cluster Target]]-tblTarget[[#This Row],[2024 Response capacity up to December]])/tblTarget[[#This Row],[Cluster Target]]&gt;Diff_severity4),"Flagged",""),"No target")</f>
        <v/>
      </c>
      <c r="AM303" s="68" t="str">
        <f>IFERROR(IF(AND(tblTarget[[#This Row],[Intercluser Severity]]=3,tblTarget[[#This Row],[Qualifies for exception]]="Flagged",(tblTarget[[#This Row],[Cluster Target]]-tblTarget[[#This Row],[2024 Response capacity up to December]])/tblTarget[[#This Row],[Cluster Target]]&gt;Diff_severity3),"Flagged",""),"No target")</f>
        <v>Flagged</v>
      </c>
      <c r="AN303" s="81" t="s">
        <v>1099</v>
      </c>
      <c r="AO303" s="81"/>
      <c r="AP303" s="81" t="s">
        <v>1099</v>
      </c>
      <c r="AQ303" s="81" t="s">
        <v>1107</v>
      </c>
    </row>
    <row r="304" spans="1:43" ht="15.95" customHeight="1" x14ac:dyDescent="0.2">
      <c r="A304" s="62" t="s">
        <v>741</v>
      </c>
      <c r="B304" s="63" t="s">
        <v>252</v>
      </c>
      <c r="C304" s="64" t="s">
        <v>253</v>
      </c>
      <c r="D304" s="63" t="s">
        <v>264</v>
      </c>
      <c r="E304" s="64" t="s">
        <v>265</v>
      </c>
      <c r="F304" s="65">
        <v>6987</v>
      </c>
      <c r="G304" s="66" t="s">
        <v>436</v>
      </c>
      <c r="H304" s="67">
        <v>1591</v>
      </c>
      <c r="I304" s="68">
        <v>3</v>
      </c>
      <c r="J304" s="68">
        <v>3</v>
      </c>
      <c r="K304" s="91">
        <v>955</v>
      </c>
      <c r="L304" s="91">
        <v>453.78775542023612</v>
      </c>
      <c r="M304" s="91">
        <v>501.21224457976393</v>
      </c>
      <c r="N304" s="91">
        <v>525.25</v>
      </c>
      <c r="O304" s="91">
        <v>372.45</v>
      </c>
      <c r="P304" s="91">
        <v>57.3</v>
      </c>
      <c r="Q304" s="85">
        <v>143.25</v>
      </c>
      <c r="R304" s="68" t="s">
        <v>436</v>
      </c>
      <c r="S304" s="86">
        <v>138</v>
      </c>
      <c r="T304" s="68">
        <v>34</v>
      </c>
      <c r="U304" s="68">
        <v>6</v>
      </c>
      <c r="V304" s="68">
        <v>9</v>
      </c>
      <c r="W304" s="68">
        <v>10</v>
      </c>
      <c r="X304" s="68">
        <v>19</v>
      </c>
      <c r="Y304" s="68">
        <v>29</v>
      </c>
      <c r="Z304" s="68">
        <v>19</v>
      </c>
      <c r="AA304" s="68">
        <v>0</v>
      </c>
      <c r="AB304" s="69">
        <v>2</v>
      </c>
      <c r="AC304" s="69">
        <v>0</v>
      </c>
      <c r="AD304" s="70">
        <f>IFERROR(tblTarget[[#This Row],[Cluster Target]]/tblTarget[[#This Row],[Cluster PiN]],0)</f>
        <v>0.60025141420490258</v>
      </c>
      <c r="AE304" s="79">
        <f>_xlfn.XLOOKUP(tblTarget[[#This Row],[ID]],tblResponse[ID],tblResponse[2024 Projected reached (Dec 2024)])</f>
        <v>0</v>
      </c>
      <c r="AF304" s="79">
        <f>_xlfn.XLOOKUP(tblTarget[[#This Row],[ID]],tblResponse[ID],tblResponse[2024 Intercluster reached -August RPM])</f>
        <v>5831.3993300565853</v>
      </c>
      <c r="AG304" s="79">
        <v>2</v>
      </c>
      <c r="AH304" s="79"/>
      <c r="AI304" s="79"/>
      <c r="AJ304" s="70" t="str">
        <f>IF(tblTarget[[#This Row],[Target to PiN (%)]]&gt;Targ_vs_PiN,"Flagged","")</f>
        <v/>
      </c>
      <c r="AK304" s="69" t="str">
        <f>IF(AND(tblTarget[[#This Row],[Qualifies for exception]]="Flagged",tblTarget[[#This Row],[Target to PiN (%)]]&gt;Targ_severity5),"Flagged","")</f>
        <v/>
      </c>
      <c r="AL304" s="68" t="str">
        <f>IFERROR(IF(AND(tblTarget[[#This Row],[Intercluser Severity]]=4,tblTarget[[#This Row],[Qualifies for exception]]="Flagged",(tblTarget[[#This Row],[Cluster Target]]-tblTarget[[#This Row],[2024 Response capacity up to December]])/tblTarget[[#This Row],[Cluster Target]]&gt;Diff_severity4),"Flagged",""),"No target")</f>
        <v/>
      </c>
      <c r="AM304" s="68" t="str">
        <f>IFERROR(IF(AND(tblTarget[[#This Row],[Intercluser Severity]]=3,tblTarget[[#This Row],[Qualifies for exception]]="Flagged",(tblTarget[[#This Row],[Cluster Target]]-tblTarget[[#This Row],[2024 Response capacity up to December]])/tblTarget[[#This Row],[Cluster Target]]&gt;Diff_severity3),"Flagged",""),"No target")</f>
        <v>Flagged</v>
      </c>
      <c r="AN304" s="81" t="s">
        <v>1099</v>
      </c>
      <c r="AO304" s="81"/>
      <c r="AP304" s="81" t="s">
        <v>1099</v>
      </c>
      <c r="AQ304" s="81" t="s">
        <v>1107</v>
      </c>
    </row>
    <row r="305" spans="1:43" ht="15.95" customHeight="1" x14ac:dyDescent="0.2">
      <c r="A305" s="62" t="s">
        <v>742</v>
      </c>
      <c r="B305" s="63" t="s">
        <v>252</v>
      </c>
      <c r="C305" s="64" t="s">
        <v>253</v>
      </c>
      <c r="D305" s="63" t="s">
        <v>266</v>
      </c>
      <c r="E305" s="64" t="s">
        <v>267</v>
      </c>
      <c r="F305" s="65">
        <v>260</v>
      </c>
      <c r="G305" s="66" t="s">
        <v>436</v>
      </c>
      <c r="H305" s="67">
        <v>212</v>
      </c>
      <c r="I305" s="68">
        <v>3</v>
      </c>
      <c r="J305" s="68">
        <v>3</v>
      </c>
      <c r="K305" s="91">
        <v>127</v>
      </c>
      <c r="L305" s="91">
        <v>58.768487081001005</v>
      </c>
      <c r="M305" s="91">
        <v>68.231512918998988</v>
      </c>
      <c r="N305" s="91">
        <v>69.850000000000009</v>
      </c>
      <c r="O305" s="91">
        <v>49.53</v>
      </c>
      <c r="P305" s="91">
        <v>7.62</v>
      </c>
      <c r="Q305" s="85">
        <v>19.05</v>
      </c>
      <c r="R305" s="68" t="s">
        <v>436</v>
      </c>
      <c r="S305" s="86">
        <v>18</v>
      </c>
      <c r="T305" s="68">
        <v>5</v>
      </c>
      <c r="U305" s="68">
        <v>1</v>
      </c>
      <c r="V305" s="68">
        <v>1</v>
      </c>
      <c r="W305" s="68">
        <v>1</v>
      </c>
      <c r="X305" s="68">
        <v>3</v>
      </c>
      <c r="Y305" s="68">
        <v>4</v>
      </c>
      <c r="Z305" s="68">
        <v>3</v>
      </c>
      <c r="AA305" s="68">
        <v>0</v>
      </c>
      <c r="AB305" s="69">
        <v>0</v>
      </c>
      <c r="AC305" s="69">
        <v>0</v>
      </c>
      <c r="AD305" s="70">
        <f>IFERROR(tblTarget[[#This Row],[Cluster Target]]/tblTarget[[#This Row],[Cluster PiN]],0)</f>
        <v>0.59905660377358494</v>
      </c>
      <c r="AE305" s="79">
        <f>_xlfn.XLOOKUP(tblTarget[[#This Row],[ID]],tblResponse[ID],tblResponse[2024 Projected reached (Dec 2024)])</f>
        <v>20665</v>
      </c>
      <c r="AF305" s="79">
        <f>_xlfn.XLOOKUP(tblTarget[[#This Row],[ID]],tblResponse[ID],tblResponse[2024 Intercluster reached -August RPM])</f>
        <v>22442.051967187464</v>
      </c>
      <c r="AG305" s="79">
        <v>4</v>
      </c>
      <c r="AH305" s="79"/>
      <c r="AI305" s="79"/>
      <c r="AJ305" s="70" t="str">
        <f>IF(tblTarget[[#This Row],[Target to PiN (%)]]&gt;Targ_vs_PiN,"Flagged","")</f>
        <v/>
      </c>
      <c r="AK305" s="69" t="str">
        <f>IF(AND(tblTarget[[#This Row],[Qualifies for exception]]="Flagged",tblTarget[[#This Row],[Target to PiN (%)]]&gt;Targ_severity5),"Flagged","")</f>
        <v/>
      </c>
      <c r="AL305" s="68" t="str">
        <f>IFERROR(IF(AND(tblTarget[[#This Row],[Intercluser Severity]]=4,tblTarget[[#This Row],[Qualifies for exception]]="Flagged",(tblTarget[[#This Row],[Cluster Target]]-tblTarget[[#This Row],[2024 Response capacity up to December]])/tblTarget[[#This Row],[Cluster Target]]&gt;Diff_severity4),"Flagged",""),"No target")</f>
        <v/>
      </c>
      <c r="AM305" s="68" t="str">
        <f>IFERROR(IF(AND(tblTarget[[#This Row],[Intercluser Severity]]=3,tblTarget[[#This Row],[Qualifies for exception]]="Flagged",(tblTarget[[#This Row],[Cluster Target]]-tblTarget[[#This Row],[2024 Response capacity up to December]])/tblTarget[[#This Row],[Cluster Target]]&gt;Diff_severity3),"Flagged",""),"No target")</f>
        <v/>
      </c>
      <c r="AN305" s="81" t="s">
        <v>1099</v>
      </c>
      <c r="AO305" s="81"/>
      <c r="AP305" s="81" t="s">
        <v>1099</v>
      </c>
      <c r="AQ305" s="81" t="s">
        <v>1107</v>
      </c>
    </row>
    <row r="306" spans="1:43" ht="15.95" customHeight="1" x14ac:dyDescent="0.2">
      <c r="A306" s="62" t="s">
        <v>743</v>
      </c>
      <c r="B306" s="63" t="s">
        <v>252</v>
      </c>
      <c r="C306" s="64" t="s">
        <v>253</v>
      </c>
      <c r="D306" s="63" t="s">
        <v>268</v>
      </c>
      <c r="E306" s="64" t="s">
        <v>269</v>
      </c>
      <c r="F306" s="65">
        <v>2335</v>
      </c>
      <c r="G306" s="66" t="s">
        <v>436</v>
      </c>
      <c r="H306" s="67">
        <v>1630</v>
      </c>
      <c r="I306" s="68">
        <v>3</v>
      </c>
      <c r="J306" s="68">
        <v>3</v>
      </c>
      <c r="K306" s="91">
        <v>0</v>
      </c>
      <c r="L306" s="91">
        <v>0</v>
      </c>
      <c r="M306" s="91">
        <v>0</v>
      </c>
      <c r="N306" s="91">
        <v>0</v>
      </c>
      <c r="O306" s="91">
        <v>0</v>
      </c>
      <c r="P306" s="91">
        <v>0</v>
      </c>
      <c r="Q306" s="85">
        <v>0</v>
      </c>
      <c r="R306" s="68" t="s">
        <v>436</v>
      </c>
      <c r="S306" s="86">
        <v>0</v>
      </c>
      <c r="T306" s="68">
        <v>0</v>
      </c>
      <c r="U306" s="68">
        <v>0</v>
      </c>
      <c r="V306" s="68">
        <v>0</v>
      </c>
      <c r="W306" s="68">
        <v>0</v>
      </c>
      <c r="X306" s="68">
        <v>0</v>
      </c>
      <c r="Y306" s="68">
        <v>0</v>
      </c>
      <c r="Z306" s="68">
        <v>0</v>
      </c>
      <c r="AA306" s="68">
        <v>0</v>
      </c>
      <c r="AB306" s="69">
        <v>0</v>
      </c>
      <c r="AC306" s="69">
        <v>0</v>
      </c>
      <c r="AD306" s="70">
        <f>IFERROR(tblTarget[[#This Row],[Cluster Target]]/tblTarget[[#This Row],[Cluster PiN]],0)</f>
        <v>0</v>
      </c>
      <c r="AE306" s="79">
        <f>_xlfn.XLOOKUP(tblTarget[[#This Row],[ID]],tblResponse[ID],tblResponse[2024 Projected reached (Dec 2024)])</f>
        <v>0</v>
      </c>
      <c r="AF306" s="79">
        <f>_xlfn.XLOOKUP(tblTarget[[#This Row],[ID]],tblResponse[ID],tblResponse[2024 Intercluster reached -August RPM])</f>
        <v>11330.505674349923</v>
      </c>
      <c r="AG306" s="79">
        <v>1</v>
      </c>
      <c r="AH306" s="79"/>
      <c r="AI306" s="79"/>
      <c r="AJ306" s="70" t="str">
        <f>IF(tblTarget[[#This Row],[Target to PiN (%)]]&gt;Targ_vs_PiN,"Flagged","")</f>
        <v/>
      </c>
      <c r="AK306" s="69" t="str">
        <f>IF(AND(tblTarget[[#This Row],[Qualifies for exception]]="Flagged",tblTarget[[#This Row],[Target to PiN (%)]]&gt;Targ_severity5),"Flagged","")</f>
        <v/>
      </c>
      <c r="AL306" s="68" t="str">
        <f>IFERROR(IF(AND(tblTarget[[#This Row],[Intercluser Severity]]=4,tblTarget[[#This Row],[Qualifies for exception]]="Flagged",(tblTarget[[#This Row],[Cluster Target]]-tblTarget[[#This Row],[2024 Response capacity up to December]])/tblTarget[[#This Row],[Cluster Target]]&gt;Diff_severity4),"Flagged",""),"No target")</f>
        <v>No target</v>
      </c>
      <c r="AM306" s="68" t="str">
        <f>IFERROR(IF(AND(tblTarget[[#This Row],[Intercluser Severity]]=3,tblTarget[[#This Row],[Qualifies for exception]]="Flagged",(tblTarget[[#This Row],[Cluster Target]]-tblTarget[[#This Row],[2024 Response capacity up to December]])/tblTarget[[#This Row],[Cluster Target]]&gt;Diff_severity3),"Flagged",""),"No target")</f>
        <v>No target</v>
      </c>
      <c r="AN306" s="81" t="s">
        <v>1099</v>
      </c>
      <c r="AO306" s="81"/>
      <c r="AP306" s="81" t="s">
        <v>1099</v>
      </c>
      <c r="AQ306" s="81" t="s">
        <v>1107</v>
      </c>
    </row>
    <row r="307" spans="1:43" ht="15.95" customHeight="1" x14ac:dyDescent="0.2">
      <c r="A307" s="62" t="s">
        <v>744</v>
      </c>
      <c r="B307" s="63" t="s">
        <v>252</v>
      </c>
      <c r="C307" s="64" t="s">
        <v>253</v>
      </c>
      <c r="D307" s="63" t="s">
        <v>270</v>
      </c>
      <c r="E307" s="64" t="s">
        <v>271</v>
      </c>
      <c r="F307" s="65">
        <v>7264</v>
      </c>
      <c r="G307" s="66" t="s">
        <v>436</v>
      </c>
      <c r="H307" s="67">
        <v>2646</v>
      </c>
      <c r="I307" s="68">
        <v>3</v>
      </c>
      <c r="J307" s="68">
        <v>3</v>
      </c>
      <c r="K307" s="91">
        <v>1588</v>
      </c>
      <c r="L307" s="91">
        <v>750.82005017612323</v>
      </c>
      <c r="M307" s="91">
        <v>837.17994982387677</v>
      </c>
      <c r="N307" s="91">
        <v>873.40000000000009</v>
      </c>
      <c r="O307" s="91">
        <v>619.32000000000005</v>
      </c>
      <c r="P307" s="91">
        <v>95.28</v>
      </c>
      <c r="Q307" s="85">
        <v>238.2</v>
      </c>
      <c r="R307" s="68" t="s">
        <v>436</v>
      </c>
      <c r="S307" s="86">
        <v>229</v>
      </c>
      <c r="T307" s="68">
        <v>57</v>
      </c>
      <c r="U307" s="68">
        <v>11</v>
      </c>
      <c r="V307" s="68">
        <v>14</v>
      </c>
      <c r="W307" s="68">
        <v>16</v>
      </c>
      <c r="X307" s="68">
        <v>32</v>
      </c>
      <c r="Y307" s="68">
        <v>48</v>
      </c>
      <c r="Z307" s="68">
        <v>32</v>
      </c>
      <c r="AA307" s="68">
        <v>0</v>
      </c>
      <c r="AB307" s="69">
        <v>4</v>
      </c>
      <c r="AC307" s="69">
        <v>0</v>
      </c>
      <c r="AD307" s="70">
        <f>IFERROR(tblTarget[[#This Row],[Cluster Target]]/tblTarget[[#This Row],[Cluster PiN]],0)</f>
        <v>0.60015117157974296</v>
      </c>
      <c r="AE307" s="79">
        <f>_xlfn.XLOOKUP(tblTarget[[#This Row],[ID]],tblResponse[ID],tblResponse[2024 Projected reached (Dec 2024)])</f>
        <v>7000</v>
      </c>
      <c r="AF307" s="79">
        <f>_xlfn.XLOOKUP(tblTarget[[#This Row],[ID]],tblResponse[ID],tblResponse[2024 Intercluster reached -August RPM])</f>
        <v>9117.7883782580557</v>
      </c>
      <c r="AG307" s="79">
        <v>2</v>
      </c>
      <c r="AH307" s="79"/>
      <c r="AI307" s="79"/>
      <c r="AJ307" s="70" t="str">
        <f>IF(tblTarget[[#This Row],[Target to PiN (%)]]&gt;Targ_vs_PiN,"Flagged","")</f>
        <v/>
      </c>
      <c r="AK307" s="69" t="str">
        <f>IF(AND(tblTarget[[#This Row],[Qualifies for exception]]="Flagged",tblTarget[[#This Row],[Target to PiN (%)]]&gt;Targ_severity5),"Flagged","")</f>
        <v/>
      </c>
      <c r="AL307" s="68" t="str">
        <f>IFERROR(IF(AND(tblTarget[[#This Row],[Intercluser Severity]]=4,tblTarget[[#This Row],[Qualifies for exception]]="Flagged",(tblTarget[[#This Row],[Cluster Target]]-tblTarget[[#This Row],[2024 Response capacity up to December]])/tblTarget[[#This Row],[Cluster Target]]&gt;Diff_severity4),"Flagged",""),"No target")</f>
        <v/>
      </c>
      <c r="AM307" s="68" t="str">
        <f>IFERROR(IF(AND(tblTarget[[#This Row],[Intercluser Severity]]=3,tblTarget[[#This Row],[Qualifies for exception]]="Flagged",(tblTarget[[#This Row],[Cluster Target]]-tblTarget[[#This Row],[2024 Response capacity up to December]])/tblTarget[[#This Row],[Cluster Target]]&gt;Diff_severity3),"Flagged",""),"No target")</f>
        <v/>
      </c>
      <c r="AN307" s="81" t="s">
        <v>1099</v>
      </c>
      <c r="AO307" s="81"/>
      <c r="AP307" s="81" t="s">
        <v>1099</v>
      </c>
      <c r="AQ307" s="81" t="s">
        <v>1107</v>
      </c>
    </row>
    <row r="308" spans="1:43" ht="15.95" customHeight="1" x14ac:dyDescent="0.2">
      <c r="A308" s="62" t="s">
        <v>745</v>
      </c>
      <c r="B308" s="63" t="s">
        <v>252</v>
      </c>
      <c r="C308" s="64" t="s">
        <v>253</v>
      </c>
      <c r="D308" s="63" t="s">
        <v>272</v>
      </c>
      <c r="E308" s="64" t="s">
        <v>273</v>
      </c>
      <c r="F308" s="65">
        <v>275</v>
      </c>
      <c r="G308" s="66" t="s">
        <v>436</v>
      </c>
      <c r="H308" s="67">
        <v>229</v>
      </c>
      <c r="I308" s="68">
        <v>4</v>
      </c>
      <c r="J308" s="68">
        <v>4</v>
      </c>
      <c r="K308" s="91">
        <v>23</v>
      </c>
      <c r="L308" s="91">
        <v>11.014024851222207</v>
      </c>
      <c r="M308" s="91">
        <v>11.985975148777793</v>
      </c>
      <c r="N308" s="91">
        <v>12.65</v>
      </c>
      <c r="O308" s="91">
        <v>8.9700000000000006</v>
      </c>
      <c r="P308" s="91">
        <v>1.38</v>
      </c>
      <c r="Q308" s="85">
        <v>3.4499999999999997</v>
      </c>
      <c r="R308" s="68" t="s">
        <v>436</v>
      </c>
      <c r="S308" s="86">
        <v>3</v>
      </c>
      <c r="T308" s="68">
        <v>1</v>
      </c>
      <c r="U308" s="68">
        <v>0</v>
      </c>
      <c r="V308" s="68">
        <v>0</v>
      </c>
      <c r="W308" s="68">
        <v>0</v>
      </c>
      <c r="X308" s="68">
        <v>0</v>
      </c>
      <c r="Y308" s="68">
        <v>1</v>
      </c>
      <c r="Z308" s="68">
        <v>0</v>
      </c>
      <c r="AA308" s="68">
        <v>0</v>
      </c>
      <c r="AB308" s="69">
        <v>0</v>
      </c>
      <c r="AC308" s="69">
        <v>0</v>
      </c>
      <c r="AD308" s="70">
        <f>IFERROR(tblTarget[[#This Row],[Cluster Target]]/tblTarget[[#This Row],[Cluster PiN]],0)</f>
        <v>0.10043668122270742</v>
      </c>
      <c r="AE308" s="79">
        <f>_xlfn.XLOOKUP(tblTarget[[#This Row],[ID]],tblResponse[ID],tblResponse[2024 Projected reached (Dec 2024)])</f>
        <v>0</v>
      </c>
      <c r="AF308" s="79">
        <f>_xlfn.XLOOKUP(tblTarget[[#This Row],[ID]],tblResponse[ID],tblResponse[2024 Intercluster reached -August RPM])</f>
        <v>10450.671497268884</v>
      </c>
      <c r="AG308" s="79">
        <v>1</v>
      </c>
      <c r="AH308" s="79"/>
      <c r="AI308" s="79"/>
      <c r="AJ308" s="70" t="str">
        <f>IF(tblTarget[[#This Row],[Target to PiN (%)]]&gt;Targ_vs_PiN,"Flagged","")</f>
        <v/>
      </c>
      <c r="AK308" s="69" t="str">
        <f>IF(AND(tblTarget[[#This Row],[Qualifies for exception]]="Flagged",tblTarget[[#This Row],[Target to PiN (%)]]&gt;Targ_severity5),"Flagged","")</f>
        <v/>
      </c>
      <c r="AL308" s="68" t="str">
        <f>IFERROR(IF(AND(tblTarget[[#This Row],[Intercluser Severity]]=4,tblTarget[[#This Row],[Qualifies for exception]]="Flagged",(tblTarget[[#This Row],[Cluster Target]]-tblTarget[[#This Row],[2024 Response capacity up to December]])/tblTarget[[#This Row],[Cluster Target]]&gt;Diff_severity4),"Flagged",""),"No target")</f>
        <v>Flagged</v>
      </c>
      <c r="AM308" s="68" t="str">
        <f>IFERROR(IF(AND(tblTarget[[#This Row],[Intercluser Severity]]=3,tblTarget[[#This Row],[Qualifies for exception]]="Flagged",(tblTarget[[#This Row],[Cluster Target]]-tblTarget[[#This Row],[2024 Response capacity up to December]])/tblTarget[[#This Row],[Cluster Target]]&gt;Diff_severity3),"Flagged",""),"No target")</f>
        <v/>
      </c>
      <c r="AN308" s="81" t="s">
        <v>1099</v>
      </c>
      <c r="AO308" s="81"/>
      <c r="AP308" s="81" t="s">
        <v>1099</v>
      </c>
      <c r="AQ308" s="81" t="s">
        <v>1107</v>
      </c>
    </row>
    <row r="309" spans="1:43" ht="15.95" customHeight="1" x14ac:dyDescent="0.2">
      <c r="A309" s="62" t="s">
        <v>746</v>
      </c>
      <c r="B309" s="63" t="s">
        <v>274</v>
      </c>
      <c r="C309" s="64" t="s">
        <v>275</v>
      </c>
      <c r="D309" s="63" t="s">
        <v>276</v>
      </c>
      <c r="E309" s="64" t="s">
        <v>277</v>
      </c>
      <c r="F309" s="65">
        <v>60325</v>
      </c>
      <c r="G309" s="66" t="s">
        <v>436</v>
      </c>
      <c r="H309" s="71">
        <v>14066</v>
      </c>
      <c r="I309" s="68">
        <v>3</v>
      </c>
      <c r="J309" s="68">
        <v>3</v>
      </c>
      <c r="K309" s="91">
        <v>5626</v>
      </c>
      <c r="L309" s="91">
        <v>2934.0197264448366</v>
      </c>
      <c r="M309" s="91">
        <v>2691.9802735551634</v>
      </c>
      <c r="N309" s="91">
        <v>3094.3</v>
      </c>
      <c r="O309" s="91">
        <v>2194.14</v>
      </c>
      <c r="P309" s="91">
        <v>337.56</v>
      </c>
      <c r="Q309" s="85">
        <v>843.9</v>
      </c>
      <c r="R309" s="68" t="s">
        <v>436</v>
      </c>
      <c r="S309" s="86">
        <v>810</v>
      </c>
      <c r="T309" s="68">
        <v>203</v>
      </c>
      <c r="U309" s="68">
        <v>38</v>
      </c>
      <c r="V309" s="68">
        <v>51</v>
      </c>
      <c r="W309" s="68">
        <v>56</v>
      </c>
      <c r="X309" s="68">
        <v>113</v>
      </c>
      <c r="Y309" s="68">
        <v>169</v>
      </c>
      <c r="Z309" s="68">
        <v>113</v>
      </c>
      <c r="AA309" s="68">
        <v>0</v>
      </c>
      <c r="AB309" s="69">
        <v>16</v>
      </c>
      <c r="AC309" s="69">
        <v>37.669527532706297</v>
      </c>
      <c r="AD309" s="70">
        <f>IFERROR(tblTarget[[#This Row],[Cluster Target]]/tblTarget[[#This Row],[Cluster PiN]],0)</f>
        <v>0.39997156263330014</v>
      </c>
      <c r="AE309" s="79">
        <f>_xlfn.XLOOKUP(tblTarget[[#This Row],[ID]],tblResponse[ID],tblResponse[2024 Projected reached (Dec 2024)])</f>
        <v>3865</v>
      </c>
      <c r="AF309" s="79">
        <f>_xlfn.XLOOKUP(tblTarget[[#This Row],[ID]],tblResponse[ID],tblResponse[2024 Intercluster reached -August RPM])</f>
        <v>27917.749355439064</v>
      </c>
      <c r="AG309" s="79">
        <v>3</v>
      </c>
      <c r="AH309" s="79"/>
      <c r="AI309" s="79"/>
      <c r="AJ309" s="70" t="str">
        <f>IF(tblTarget[[#This Row],[Target to PiN (%)]]&gt;Targ_vs_PiN,"Flagged","")</f>
        <v/>
      </c>
      <c r="AK309" s="69" t="str">
        <f>IF(AND(tblTarget[[#This Row],[Qualifies for exception]]="Flagged",tblTarget[[#This Row],[Target to PiN (%)]]&gt;Targ_severity5),"Flagged","")</f>
        <v/>
      </c>
      <c r="AL309" s="68" t="str">
        <f>IFERROR(IF(AND(tblTarget[[#This Row],[Intercluser Severity]]=4,tblTarget[[#This Row],[Qualifies for exception]]="Flagged",(tblTarget[[#This Row],[Cluster Target]]-tblTarget[[#This Row],[2024 Response capacity up to December]])/tblTarget[[#This Row],[Cluster Target]]&gt;Diff_severity4),"Flagged",""),"No target")</f>
        <v/>
      </c>
      <c r="AM309" s="68" t="str">
        <f>IFERROR(IF(AND(tblTarget[[#This Row],[Intercluser Severity]]=3,tblTarget[[#This Row],[Qualifies for exception]]="Flagged",(tblTarget[[#This Row],[Cluster Target]]-tblTarget[[#This Row],[2024 Response capacity up to December]])/tblTarget[[#This Row],[Cluster Target]]&gt;Diff_severity3),"Flagged",""),"No target")</f>
        <v>Flagged</v>
      </c>
      <c r="AN309" s="81" t="s">
        <v>1099</v>
      </c>
      <c r="AO309" s="81"/>
      <c r="AP309" s="81" t="s">
        <v>1099</v>
      </c>
      <c r="AQ309" s="81" t="s">
        <v>1107</v>
      </c>
    </row>
    <row r="310" spans="1:43" ht="15.95" customHeight="1" x14ac:dyDescent="0.2">
      <c r="A310" s="62" t="s">
        <v>747</v>
      </c>
      <c r="B310" s="63" t="s">
        <v>274</v>
      </c>
      <c r="C310" s="64" t="s">
        <v>275</v>
      </c>
      <c r="D310" s="63" t="s">
        <v>278</v>
      </c>
      <c r="E310" s="64" t="s">
        <v>279</v>
      </c>
      <c r="F310" s="65">
        <v>154013</v>
      </c>
      <c r="G310" s="66" t="s">
        <v>436</v>
      </c>
      <c r="H310" s="71">
        <v>50308</v>
      </c>
      <c r="I310" s="68">
        <v>3</v>
      </c>
      <c r="J310" s="68">
        <v>3</v>
      </c>
      <c r="K310" s="91">
        <v>30185</v>
      </c>
      <c r="L310" s="91">
        <v>15620.237489433932</v>
      </c>
      <c r="M310" s="91">
        <v>14564.762510566068</v>
      </c>
      <c r="N310" s="91">
        <v>16601.75</v>
      </c>
      <c r="O310" s="91">
        <v>11772.15</v>
      </c>
      <c r="P310" s="91">
        <v>1811.1</v>
      </c>
      <c r="Q310" s="85">
        <v>4527.75</v>
      </c>
      <c r="R310" s="68" t="s">
        <v>436</v>
      </c>
      <c r="S310" s="86">
        <v>4347</v>
      </c>
      <c r="T310" s="68">
        <v>1087</v>
      </c>
      <c r="U310" s="68">
        <v>204</v>
      </c>
      <c r="V310" s="68">
        <v>272</v>
      </c>
      <c r="W310" s="68">
        <v>302</v>
      </c>
      <c r="X310" s="68">
        <v>604</v>
      </c>
      <c r="Y310" s="68">
        <v>906</v>
      </c>
      <c r="Z310" s="68">
        <v>604</v>
      </c>
      <c r="AA310" s="68">
        <v>299.63412088394534</v>
      </c>
      <c r="AB310" s="69">
        <v>88</v>
      </c>
      <c r="AC310" s="69">
        <v>188.34763766353149</v>
      </c>
      <c r="AD310" s="70">
        <f>IFERROR(tblTarget[[#This Row],[Cluster Target]]/tblTarget[[#This Row],[Cluster PiN]],0)</f>
        <v>0.60000397551085316</v>
      </c>
      <c r="AE310" s="79">
        <f>_xlfn.XLOOKUP(tblTarget[[#This Row],[ID]],tblResponse[ID],tblResponse[2024 Projected reached (Dec 2024)])</f>
        <v>76525</v>
      </c>
      <c r="AF310" s="79">
        <f>_xlfn.XLOOKUP(tblTarget[[#This Row],[ID]],tblResponse[ID],tblResponse[2024 Intercluster reached -August RPM])</f>
        <v>37068.938317317647</v>
      </c>
      <c r="AG310" s="79">
        <v>7</v>
      </c>
      <c r="AH310" s="79"/>
      <c r="AI310" s="79"/>
      <c r="AJ310" s="70" t="str">
        <f>IF(tblTarget[[#This Row],[Target to PiN (%)]]&gt;Targ_vs_PiN,"Flagged","")</f>
        <v/>
      </c>
      <c r="AK310" s="69" t="str">
        <f>IF(AND(tblTarget[[#This Row],[Qualifies for exception]]="Flagged",tblTarget[[#This Row],[Target to PiN (%)]]&gt;Targ_severity5),"Flagged","")</f>
        <v/>
      </c>
      <c r="AL310" s="68" t="str">
        <f>IFERROR(IF(AND(tblTarget[[#This Row],[Intercluser Severity]]=4,tblTarget[[#This Row],[Qualifies for exception]]="Flagged",(tblTarget[[#This Row],[Cluster Target]]-tblTarget[[#This Row],[2024 Response capacity up to December]])/tblTarget[[#This Row],[Cluster Target]]&gt;Diff_severity4),"Flagged",""),"No target")</f>
        <v/>
      </c>
      <c r="AM310" s="68" t="str">
        <f>IFERROR(IF(AND(tblTarget[[#This Row],[Intercluser Severity]]=3,tblTarget[[#This Row],[Qualifies for exception]]="Flagged",(tblTarget[[#This Row],[Cluster Target]]-tblTarget[[#This Row],[2024 Response capacity up to December]])/tblTarget[[#This Row],[Cluster Target]]&gt;Diff_severity3),"Flagged",""),"No target")</f>
        <v/>
      </c>
      <c r="AN310" s="81" t="s">
        <v>1099</v>
      </c>
      <c r="AO310" s="81"/>
      <c r="AP310" s="81" t="s">
        <v>1099</v>
      </c>
      <c r="AQ310" s="81" t="s">
        <v>1107</v>
      </c>
    </row>
    <row r="311" spans="1:43" ht="15.95" customHeight="1" x14ac:dyDescent="0.2">
      <c r="A311" s="62" t="s">
        <v>748</v>
      </c>
      <c r="B311" s="63" t="s">
        <v>274</v>
      </c>
      <c r="C311" s="64" t="s">
        <v>275</v>
      </c>
      <c r="D311" s="63" t="s">
        <v>280</v>
      </c>
      <c r="E311" s="64" t="s">
        <v>281</v>
      </c>
      <c r="F311" s="65">
        <v>20</v>
      </c>
      <c r="G311" s="66" t="s">
        <v>436</v>
      </c>
      <c r="H311" s="71">
        <v>18</v>
      </c>
      <c r="I311" s="68">
        <v>3</v>
      </c>
      <c r="J311" s="68">
        <v>3</v>
      </c>
      <c r="K311" s="91">
        <v>0</v>
      </c>
      <c r="L311" s="91">
        <v>0</v>
      </c>
      <c r="M311" s="91">
        <v>0</v>
      </c>
      <c r="N311" s="91">
        <v>0</v>
      </c>
      <c r="O311" s="91">
        <v>0</v>
      </c>
      <c r="P311" s="91">
        <v>0</v>
      </c>
      <c r="Q311" s="85">
        <v>0</v>
      </c>
      <c r="R311" s="68" t="s">
        <v>436</v>
      </c>
      <c r="S311" s="86">
        <v>0</v>
      </c>
      <c r="T311" s="68">
        <v>0</v>
      </c>
      <c r="U311" s="68">
        <v>0</v>
      </c>
      <c r="V311" s="68">
        <v>0</v>
      </c>
      <c r="W311" s="68">
        <v>0</v>
      </c>
      <c r="X311" s="68">
        <v>0</v>
      </c>
      <c r="Y311" s="68">
        <v>0</v>
      </c>
      <c r="Z311" s="68">
        <v>0</v>
      </c>
      <c r="AA311" s="68">
        <v>0</v>
      </c>
      <c r="AB311" s="69">
        <v>0</v>
      </c>
      <c r="AC311" s="69">
        <v>0</v>
      </c>
      <c r="AD311" s="70">
        <f>IFERROR(tblTarget[[#This Row],[Cluster Target]]/tblTarget[[#This Row],[Cluster PiN]],0)</f>
        <v>0</v>
      </c>
      <c r="AE311" s="79">
        <f>_xlfn.XLOOKUP(tblTarget[[#This Row],[ID]],tblResponse[ID],tblResponse[2024 Projected reached (Dec 2024)])</f>
        <v>0</v>
      </c>
      <c r="AF311" s="79">
        <f>_xlfn.XLOOKUP(tblTarget[[#This Row],[ID]],tblResponse[ID],tblResponse[2024 Intercluster reached -August RPM])</f>
        <v>5634.1360541438671</v>
      </c>
      <c r="AG311" s="79">
        <v>1</v>
      </c>
      <c r="AH311" s="79"/>
      <c r="AI311" s="79"/>
      <c r="AJ311" s="70" t="str">
        <f>IF(tblTarget[[#This Row],[Target to PiN (%)]]&gt;Targ_vs_PiN,"Flagged","")</f>
        <v/>
      </c>
      <c r="AK311" s="69" t="str">
        <f>IF(AND(tblTarget[[#This Row],[Qualifies for exception]]="Flagged",tblTarget[[#This Row],[Target to PiN (%)]]&gt;Targ_severity5),"Flagged","")</f>
        <v/>
      </c>
      <c r="AL311" s="68" t="str">
        <f>IFERROR(IF(AND(tblTarget[[#This Row],[Intercluser Severity]]=4,tblTarget[[#This Row],[Qualifies for exception]]="Flagged",(tblTarget[[#This Row],[Cluster Target]]-tblTarget[[#This Row],[2024 Response capacity up to December]])/tblTarget[[#This Row],[Cluster Target]]&gt;Diff_severity4),"Flagged",""),"No target")</f>
        <v>No target</v>
      </c>
      <c r="AM311" s="68" t="str">
        <f>IFERROR(IF(AND(tblTarget[[#This Row],[Intercluser Severity]]=3,tblTarget[[#This Row],[Qualifies for exception]]="Flagged",(tblTarget[[#This Row],[Cluster Target]]-tblTarget[[#This Row],[2024 Response capacity up to December]])/tblTarget[[#This Row],[Cluster Target]]&gt;Diff_severity3),"Flagged",""),"No target")</f>
        <v>No target</v>
      </c>
      <c r="AN311" s="81" t="s">
        <v>1099</v>
      </c>
      <c r="AO311" s="81"/>
      <c r="AP311" s="81" t="s">
        <v>1099</v>
      </c>
      <c r="AQ311" s="81" t="s">
        <v>1107</v>
      </c>
    </row>
    <row r="312" spans="1:43" ht="15.95" customHeight="1" x14ac:dyDescent="0.2">
      <c r="A312" s="62" t="s">
        <v>749</v>
      </c>
      <c r="B312" s="63" t="s">
        <v>274</v>
      </c>
      <c r="C312" s="64" t="s">
        <v>275</v>
      </c>
      <c r="D312" s="63" t="s">
        <v>282</v>
      </c>
      <c r="E312" s="64" t="s">
        <v>283</v>
      </c>
      <c r="F312" s="65">
        <v>1645</v>
      </c>
      <c r="G312" s="66" t="s">
        <v>436</v>
      </c>
      <c r="H312" s="71">
        <v>723</v>
      </c>
      <c r="I312" s="68">
        <v>3</v>
      </c>
      <c r="J312" s="68">
        <v>3</v>
      </c>
      <c r="K312" s="91">
        <v>434</v>
      </c>
      <c r="L312" s="91">
        <v>204.80786407699134</v>
      </c>
      <c r="M312" s="91">
        <v>229.19213592300864</v>
      </c>
      <c r="N312" s="91">
        <v>238.70000000000002</v>
      </c>
      <c r="O312" s="91">
        <v>169.26000000000002</v>
      </c>
      <c r="P312" s="91">
        <v>26.04</v>
      </c>
      <c r="Q312" s="85">
        <v>65.099999999999994</v>
      </c>
      <c r="R312" s="68" t="s">
        <v>436</v>
      </c>
      <c r="S312" s="86">
        <v>62</v>
      </c>
      <c r="T312" s="68">
        <v>16</v>
      </c>
      <c r="U312" s="68">
        <v>3</v>
      </c>
      <c r="V312" s="68">
        <v>4</v>
      </c>
      <c r="W312" s="68">
        <v>4</v>
      </c>
      <c r="X312" s="68">
        <v>9</v>
      </c>
      <c r="Y312" s="68">
        <v>13</v>
      </c>
      <c r="Z312" s="68">
        <v>9</v>
      </c>
      <c r="AA312" s="68">
        <v>0</v>
      </c>
      <c r="AB312" s="69">
        <v>2</v>
      </c>
      <c r="AC312" s="69">
        <v>0</v>
      </c>
      <c r="AD312" s="70">
        <f>IFERROR(tblTarget[[#This Row],[Cluster Target]]/tblTarget[[#This Row],[Cluster PiN]],0)</f>
        <v>0.60027662517289071</v>
      </c>
      <c r="AE312" s="79">
        <f>_xlfn.XLOOKUP(tblTarget[[#This Row],[ID]],tblResponse[ID],tblResponse[2024 Projected reached (Dec 2024)])</f>
        <v>0</v>
      </c>
      <c r="AF312" s="79">
        <f>_xlfn.XLOOKUP(tblTarget[[#This Row],[ID]],tblResponse[ID],tblResponse[2024 Intercluster reached -August RPM])</f>
        <v>3381.1667726631517</v>
      </c>
      <c r="AG312" s="79">
        <v>1</v>
      </c>
      <c r="AH312" s="79"/>
      <c r="AI312" s="79"/>
      <c r="AJ312" s="70" t="str">
        <f>IF(tblTarget[[#This Row],[Target to PiN (%)]]&gt;Targ_vs_PiN,"Flagged","")</f>
        <v/>
      </c>
      <c r="AK312" s="69" t="str">
        <f>IF(AND(tblTarget[[#This Row],[Qualifies for exception]]="Flagged",tblTarget[[#This Row],[Target to PiN (%)]]&gt;Targ_severity5),"Flagged","")</f>
        <v/>
      </c>
      <c r="AL312" s="68" t="str">
        <f>IFERROR(IF(AND(tblTarget[[#This Row],[Intercluser Severity]]=4,tblTarget[[#This Row],[Qualifies for exception]]="Flagged",(tblTarget[[#This Row],[Cluster Target]]-tblTarget[[#This Row],[2024 Response capacity up to December]])/tblTarget[[#This Row],[Cluster Target]]&gt;Diff_severity4),"Flagged",""),"No target")</f>
        <v/>
      </c>
      <c r="AM312" s="68" t="str">
        <f>IFERROR(IF(AND(tblTarget[[#This Row],[Intercluser Severity]]=3,tblTarget[[#This Row],[Qualifies for exception]]="Flagged",(tblTarget[[#This Row],[Cluster Target]]-tblTarget[[#This Row],[2024 Response capacity up to December]])/tblTarget[[#This Row],[Cluster Target]]&gt;Diff_severity3),"Flagged",""),"No target")</f>
        <v>Flagged</v>
      </c>
      <c r="AN312" s="81" t="s">
        <v>1099</v>
      </c>
      <c r="AO312" s="81"/>
      <c r="AP312" s="81" t="s">
        <v>1099</v>
      </c>
      <c r="AQ312" s="81" t="s">
        <v>1107</v>
      </c>
    </row>
    <row r="313" spans="1:43" ht="15.95" customHeight="1" x14ac:dyDescent="0.2">
      <c r="A313" s="62" t="s">
        <v>750</v>
      </c>
      <c r="B313" s="63" t="s">
        <v>274</v>
      </c>
      <c r="C313" s="64" t="s">
        <v>275</v>
      </c>
      <c r="D313" s="63" t="s">
        <v>284</v>
      </c>
      <c r="E313" s="64" t="s">
        <v>285</v>
      </c>
      <c r="F313" s="65">
        <v>4155</v>
      </c>
      <c r="G313" s="66" t="s">
        <v>436</v>
      </c>
      <c r="H313" s="71">
        <v>3411</v>
      </c>
      <c r="I313" s="68">
        <v>3</v>
      </c>
      <c r="J313" s="68">
        <v>3</v>
      </c>
      <c r="K313" s="91">
        <v>2047</v>
      </c>
      <c r="L313" s="91">
        <v>979.27768415107403</v>
      </c>
      <c r="M313" s="91">
        <v>1067.722315848926</v>
      </c>
      <c r="N313" s="91">
        <v>1125.8500000000001</v>
      </c>
      <c r="O313" s="91">
        <v>798.33</v>
      </c>
      <c r="P313" s="91">
        <v>122.82</v>
      </c>
      <c r="Q313" s="85">
        <v>307.05</v>
      </c>
      <c r="R313" s="68" t="s">
        <v>436</v>
      </c>
      <c r="S313" s="86">
        <v>295</v>
      </c>
      <c r="T313" s="68">
        <v>74</v>
      </c>
      <c r="U313" s="68">
        <v>14</v>
      </c>
      <c r="V313" s="68">
        <v>18</v>
      </c>
      <c r="W313" s="68">
        <v>20</v>
      </c>
      <c r="X313" s="68">
        <v>41</v>
      </c>
      <c r="Y313" s="68">
        <v>61</v>
      </c>
      <c r="Z313" s="68">
        <v>41</v>
      </c>
      <c r="AA313" s="68">
        <v>0</v>
      </c>
      <c r="AB313" s="69">
        <v>6</v>
      </c>
      <c r="AC313" s="69">
        <v>0</v>
      </c>
      <c r="AD313" s="70">
        <f>IFERROR(tblTarget[[#This Row],[Cluster Target]]/tblTarget[[#This Row],[Cluster PiN]],0)</f>
        <v>0.60011726766344176</v>
      </c>
      <c r="AE313" s="79">
        <f>_xlfn.XLOOKUP(tblTarget[[#This Row],[ID]],tblResponse[ID],tblResponse[2024 Projected reached (Dec 2024)])</f>
        <v>2385</v>
      </c>
      <c r="AF313" s="79">
        <f>_xlfn.XLOOKUP(tblTarget[[#This Row],[ID]],tblResponse[ID],tblResponse[2024 Intercluster reached -August RPM])</f>
        <v>5494.8242181881415</v>
      </c>
      <c r="AG313" s="79">
        <v>2</v>
      </c>
      <c r="AH313" s="79"/>
      <c r="AI313" s="79"/>
      <c r="AJ313" s="70" t="str">
        <f>IF(tblTarget[[#This Row],[Target to PiN (%)]]&gt;Targ_vs_PiN,"Flagged","")</f>
        <v/>
      </c>
      <c r="AK313" s="69" t="str">
        <f>IF(AND(tblTarget[[#This Row],[Qualifies for exception]]="Flagged",tblTarget[[#This Row],[Target to PiN (%)]]&gt;Targ_severity5),"Flagged","")</f>
        <v/>
      </c>
      <c r="AL313" s="68" t="str">
        <f>IFERROR(IF(AND(tblTarget[[#This Row],[Intercluser Severity]]=4,tblTarget[[#This Row],[Qualifies for exception]]="Flagged",(tblTarget[[#This Row],[Cluster Target]]-tblTarget[[#This Row],[2024 Response capacity up to December]])/tblTarget[[#This Row],[Cluster Target]]&gt;Diff_severity4),"Flagged",""),"No target")</f>
        <v/>
      </c>
      <c r="AM313" s="68" t="str">
        <f>IFERROR(IF(AND(tblTarget[[#This Row],[Intercluser Severity]]=3,tblTarget[[#This Row],[Qualifies for exception]]="Flagged",(tblTarget[[#This Row],[Cluster Target]]-tblTarget[[#This Row],[2024 Response capacity up to December]])/tblTarget[[#This Row],[Cluster Target]]&gt;Diff_severity3),"Flagged",""),"No target")</f>
        <v/>
      </c>
      <c r="AN313" s="81" t="s">
        <v>1099</v>
      </c>
      <c r="AO313" s="81"/>
      <c r="AP313" s="81" t="s">
        <v>1099</v>
      </c>
      <c r="AQ313" s="81" t="s">
        <v>1107</v>
      </c>
    </row>
    <row r="314" spans="1:43" ht="15.95" customHeight="1" x14ac:dyDescent="0.2">
      <c r="A314" s="62" t="s">
        <v>751</v>
      </c>
      <c r="B314" s="63" t="s">
        <v>274</v>
      </c>
      <c r="C314" s="64" t="s">
        <v>275</v>
      </c>
      <c r="D314" s="63" t="s">
        <v>286</v>
      </c>
      <c r="E314" s="64" t="s">
        <v>287</v>
      </c>
      <c r="F314" s="65">
        <v>5790</v>
      </c>
      <c r="G314" s="66" t="s">
        <v>436</v>
      </c>
      <c r="H314" s="71">
        <v>871</v>
      </c>
      <c r="I314" s="68">
        <v>2</v>
      </c>
      <c r="J314" s="68">
        <v>3</v>
      </c>
      <c r="K314" s="91">
        <v>0</v>
      </c>
      <c r="L314" s="91">
        <v>0</v>
      </c>
      <c r="M314" s="91">
        <v>0</v>
      </c>
      <c r="N314" s="91">
        <v>0</v>
      </c>
      <c r="O314" s="91">
        <v>0</v>
      </c>
      <c r="P314" s="91">
        <v>0</v>
      </c>
      <c r="Q314" s="85">
        <v>0</v>
      </c>
      <c r="R314" s="68" t="s">
        <v>436</v>
      </c>
      <c r="S314" s="86">
        <v>0</v>
      </c>
      <c r="T314" s="68">
        <v>0</v>
      </c>
      <c r="U314" s="68">
        <v>0</v>
      </c>
      <c r="V314" s="68">
        <v>0</v>
      </c>
      <c r="W314" s="68">
        <v>0</v>
      </c>
      <c r="X314" s="68">
        <v>0</v>
      </c>
      <c r="Y314" s="68">
        <v>0</v>
      </c>
      <c r="Z314" s="68">
        <v>0</v>
      </c>
      <c r="AA314" s="68">
        <v>0</v>
      </c>
      <c r="AB314" s="69">
        <v>0</v>
      </c>
      <c r="AC314" s="69">
        <v>0</v>
      </c>
      <c r="AD314" s="70">
        <f>IFERROR(tblTarget[[#This Row],[Cluster Target]]/tblTarget[[#This Row],[Cluster PiN]],0)</f>
        <v>0</v>
      </c>
      <c r="AE314" s="79">
        <f>_xlfn.XLOOKUP(tblTarget[[#This Row],[ID]],tblResponse[ID],tblResponse[2024 Projected reached (Dec 2024)])</f>
        <v>0</v>
      </c>
      <c r="AF314" s="79">
        <f>_xlfn.XLOOKUP(tblTarget[[#This Row],[ID]],tblResponse[ID],tblResponse[2024 Intercluster reached -August RPM])</f>
        <v>24837.758785508064</v>
      </c>
      <c r="AG314" s="79">
        <v>1</v>
      </c>
      <c r="AH314" s="79"/>
      <c r="AI314" s="79"/>
      <c r="AJ314" s="70" t="str">
        <f>IF(tblTarget[[#This Row],[Target to PiN (%)]]&gt;Targ_vs_PiN,"Flagged","")</f>
        <v/>
      </c>
      <c r="AK314" s="69" t="str">
        <f>IF(AND(tblTarget[[#This Row],[Qualifies for exception]]="Flagged",tblTarget[[#This Row],[Target to PiN (%)]]&gt;Targ_severity5),"Flagged","")</f>
        <v/>
      </c>
      <c r="AL314" s="68" t="str">
        <f>IFERROR(IF(AND(tblTarget[[#This Row],[Intercluser Severity]]=4,tblTarget[[#This Row],[Qualifies for exception]]="Flagged",(tblTarget[[#This Row],[Cluster Target]]-tblTarget[[#This Row],[2024 Response capacity up to December]])/tblTarget[[#This Row],[Cluster Target]]&gt;Diff_severity4),"Flagged",""),"No target")</f>
        <v>No target</v>
      </c>
      <c r="AM314" s="68" t="str">
        <f>IFERROR(IF(AND(tblTarget[[#This Row],[Intercluser Severity]]=3,tblTarget[[#This Row],[Qualifies for exception]]="Flagged",(tblTarget[[#This Row],[Cluster Target]]-tblTarget[[#This Row],[2024 Response capacity up to December]])/tblTarget[[#This Row],[Cluster Target]]&gt;Diff_severity3),"Flagged",""),"No target")</f>
        <v>No target</v>
      </c>
      <c r="AN314" s="81" t="s">
        <v>1099</v>
      </c>
      <c r="AO314" s="81"/>
      <c r="AP314" s="81" t="s">
        <v>1099</v>
      </c>
      <c r="AQ314" s="81" t="s">
        <v>1107</v>
      </c>
    </row>
    <row r="315" spans="1:43" ht="15.95" customHeight="1" x14ac:dyDescent="0.2">
      <c r="A315" s="62" t="s">
        <v>752</v>
      </c>
      <c r="B315" s="63" t="s">
        <v>274</v>
      </c>
      <c r="C315" s="64" t="s">
        <v>275</v>
      </c>
      <c r="D315" s="63" t="s">
        <v>288</v>
      </c>
      <c r="E315" s="64" t="s">
        <v>289</v>
      </c>
      <c r="F315" s="65">
        <v>745</v>
      </c>
      <c r="G315" s="66" t="s">
        <v>436</v>
      </c>
      <c r="H315" s="71">
        <v>380</v>
      </c>
      <c r="I315" s="68">
        <v>3</v>
      </c>
      <c r="J315" s="68">
        <v>4</v>
      </c>
      <c r="K315" s="91">
        <v>19</v>
      </c>
      <c r="L315" s="91">
        <v>7.8116024501592092</v>
      </c>
      <c r="M315" s="91">
        <v>11.188397549840792</v>
      </c>
      <c r="N315" s="91">
        <v>10.450000000000001</v>
      </c>
      <c r="O315" s="91">
        <v>7.41</v>
      </c>
      <c r="P315" s="91">
        <v>1.1399999999999999</v>
      </c>
      <c r="Q315" s="85">
        <v>2.85</v>
      </c>
      <c r="R315" s="68" t="s">
        <v>436</v>
      </c>
      <c r="S315" s="86">
        <v>3</v>
      </c>
      <c r="T315" s="68">
        <v>1</v>
      </c>
      <c r="U315" s="68">
        <v>0</v>
      </c>
      <c r="V315" s="68">
        <v>0</v>
      </c>
      <c r="W315" s="68">
        <v>0</v>
      </c>
      <c r="X315" s="68">
        <v>0</v>
      </c>
      <c r="Y315" s="68">
        <v>1</v>
      </c>
      <c r="Z315" s="68">
        <v>0</v>
      </c>
      <c r="AA315" s="68">
        <v>0</v>
      </c>
      <c r="AB315" s="69">
        <v>0</v>
      </c>
      <c r="AC315" s="69">
        <v>0</v>
      </c>
      <c r="AD315" s="70">
        <f>IFERROR(tblTarget[[#This Row],[Cluster Target]]/tblTarget[[#This Row],[Cluster PiN]],0)</f>
        <v>0.05</v>
      </c>
      <c r="AE315" s="79">
        <f>_xlfn.XLOOKUP(tblTarget[[#This Row],[ID]],tblResponse[ID],tblResponse[2024 Projected reached (Dec 2024)])</f>
        <v>0</v>
      </c>
      <c r="AF315" s="79">
        <f>_xlfn.XLOOKUP(tblTarget[[#This Row],[ID]],tblResponse[ID],tblResponse[2024 Intercluster reached -August RPM])</f>
        <v>43378.508395787845</v>
      </c>
      <c r="AG315" s="79">
        <v>1</v>
      </c>
      <c r="AH315" s="79"/>
      <c r="AI315" s="79"/>
      <c r="AJ315" s="70" t="str">
        <f>IF(tblTarget[[#This Row],[Target to PiN (%)]]&gt;Targ_vs_PiN,"Flagged","")</f>
        <v/>
      </c>
      <c r="AK315" s="69" t="str">
        <f>IF(AND(tblTarget[[#This Row],[Qualifies for exception]]="Flagged",tblTarget[[#This Row],[Target to PiN (%)]]&gt;Targ_severity5),"Flagged","")</f>
        <v/>
      </c>
      <c r="AL315" s="68" t="str">
        <f>IFERROR(IF(AND(tblTarget[[#This Row],[Intercluser Severity]]=4,tblTarget[[#This Row],[Qualifies for exception]]="Flagged",(tblTarget[[#This Row],[Cluster Target]]-tblTarget[[#This Row],[2024 Response capacity up to December]])/tblTarget[[#This Row],[Cluster Target]]&gt;Diff_severity4),"Flagged",""),"No target")</f>
        <v>Flagged</v>
      </c>
      <c r="AM315" s="68" t="str">
        <f>IFERROR(IF(AND(tblTarget[[#This Row],[Intercluser Severity]]=3,tblTarget[[#This Row],[Qualifies for exception]]="Flagged",(tblTarget[[#This Row],[Cluster Target]]-tblTarget[[#This Row],[2024 Response capacity up to December]])/tblTarget[[#This Row],[Cluster Target]]&gt;Diff_severity3),"Flagged",""),"No target")</f>
        <v/>
      </c>
      <c r="AN315" s="81" t="s">
        <v>1099</v>
      </c>
      <c r="AO315" s="81"/>
      <c r="AP315" s="81" t="s">
        <v>1099</v>
      </c>
      <c r="AQ315" s="81" t="s">
        <v>1107</v>
      </c>
    </row>
    <row r="316" spans="1:43" ht="15.95" customHeight="1" x14ac:dyDescent="0.2">
      <c r="A316" s="62" t="s">
        <v>753</v>
      </c>
      <c r="B316" s="63" t="s">
        <v>274</v>
      </c>
      <c r="C316" s="64" t="s">
        <v>275</v>
      </c>
      <c r="D316" s="63" t="s">
        <v>290</v>
      </c>
      <c r="E316" s="64" t="s">
        <v>291</v>
      </c>
      <c r="F316" s="65">
        <v>3585</v>
      </c>
      <c r="G316" s="66" t="s">
        <v>436</v>
      </c>
      <c r="H316" s="71">
        <v>2167</v>
      </c>
      <c r="I316" s="68">
        <v>3</v>
      </c>
      <c r="J316" s="68">
        <v>3</v>
      </c>
      <c r="K316" s="91">
        <v>0</v>
      </c>
      <c r="L316" s="91">
        <v>0</v>
      </c>
      <c r="M316" s="91">
        <v>0</v>
      </c>
      <c r="N316" s="91">
        <v>0</v>
      </c>
      <c r="O316" s="91">
        <v>0</v>
      </c>
      <c r="P316" s="91">
        <v>0</v>
      </c>
      <c r="Q316" s="85">
        <v>0</v>
      </c>
      <c r="R316" s="68" t="s">
        <v>436</v>
      </c>
      <c r="S316" s="86">
        <v>0</v>
      </c>
      <c r="T316" s="68">
        <v>0</v>
      </c>
      <c r="U316" s="68">
        <v>0</v>
      </c>
      <c r="V316" s="68">
        <v>0</v>
      </c>
      <c r="W316" s="68">
        <v>0</v>
      </c>
      <c r="X316" s="68">
        <v>0</v>
      </c>
      <c r="Y316" s="68">
        <v>0</v>
      </c>
      <c r="Z316" s="68">
        <v>0</v>
      </c>
      <c r="AA316" s="68">
        <v>0</v>
      </c>
      <c r="AB316" s="69">
        <v>0</v>
      </c>
      <c r="AC316" s="69">
        <v>0</v>
      </c>
      <c r="AD316" s="70">
        <f>IFERROR(tblTarget[[#This Row],[Cluster Target]]/tblTarget[[#This Row],[Cluster PiN]],0)</f>
        <v>0</v>
      </c>
      <c r="AE316" s="79">
        <f>_xlfn.XLOOKUP(tblTarget[[#This Row],[ID]],tblResponse[ID],tblResponse[2024 Projected reached (Dec 2024)])</f>
        <v>0</v>
      </c>
      <c r="AF316" s="79">
        <f>_xlfn.XLOOKUP(tblTarget[[#This Row],[ID]],tblResponse[ID],tblResponse[2024 Intercluster reached -August RPM])</f>
        <v>20506.81644271233</v>
      </c>
      <c r="AG316" s="79">
        <v>1</v>
      </c>
      <c r="AH316" s="79"/>
      <c r="AI316" s="79"/>
      <c r="AJ316" s="70" t="str">
        <f>IF(tblTarget[[#This Row],[Target to PiN (%)]]&gt;Targ_vs_PiN,"Flagged","")</f>
        <v/>
      </c>
      <c r="AK316" s="69" t="str">
        <f>IF(AND(tblTarget[[#This Row],[Qualifies for exception]]="Flagged",tblTarget[[#This Row],[Target to PiN (%)]]&gt;Targ_severity5),"Flagged","")</f>
        <v/>
      </c>
      <c r="AL316" s="68" t="str">
        <f>IFERROR(IF(AND(tblTarget[[#This Row],[Intercluser Severity]]=4,tblTarget[[#This Row],[Qualifies for exception]]="Flagged",(tblTarget[[#This Row],[Cluster Target]]-tblTarget[[#This Row],[2024 Response capacity up to December]])/tblTarget[[#This Row],[Cluster Target]]&gt;Diff_severity4),"Flagged",""),"No target")</f>
        <v>No target</v>
      </c>
      <c r="AM316" s="68" t="str">
        <f>IFERROR(IF(AND(tblTarget[[#This Row],[Intercluser Severity]]=3,tblTarget[[#This Row],[Qualifies for exception]]="Flagged",(tblTarget[[#This Row],[Cluster Target]]-tblTarget[[#This Row],[2024 Response capacity up to December]])/tblTarget[[#This Row],[Cluster Target]]&gt;Diff_severity3),"Flagged",""),"No target")</f>
        <v>No target</v>
      </c>
      <c r="AN316" s="81" t="s">
        <v>1099</v>
      </c>
      <c r="AO316" s="81"/>
      <c r="AP316" s="81" t="s">
        <v>1099</v>
      </c>
      <c r="AQ316" s="81" t="s">
        <v>1107</v>
      </c>
    </row>
    <row r="317" spans="1:43" ht="15.95" customHeight="1" x14ac:dyDescent="0.2">
      <c r="A317" s="62" t="s">
        <v>754</v>
      </c>
      <c r="B317" s="63" t="s">
        <v>274</v>
      </c>
      <c r="C317" s="64" t="s">
        <v>275</v>
      </c>
      <c r="D317" s="63" t="s">
        <v>292</v>
      </c>
      <c r="E317" s="64" t="s">
        <v>293</v>
      </c>
      <c r="F317" s="65">
        <v>8209</v>
      </c>
      <c r="G317" s="66" t="s">
        <v>436</v>
      </c>
      <c r="H317" s="71">
        <v>1146</v>
      </c>
      <c r="I317" s="68">
        <v>2</v>
      </c>
      <c r="J317" s="68">
        <v>3</v>
      </c>
      <c r="K317" s="91">
        <v>0</v>
      </c>
      <c r="L317" s="91">
        <v>0</v>
      </c>
      <c r="M317" s="91">
        <v>0</v>
      </c>
      <c r="N317" s="91">
        <v>0</v>
      </c>
      <c r="O317" s="91">
        <v>0</v>
      </c>
      <c r="P317" s="91">
        <v>0</v>
      </c>
      <c r="Q317" s="85">
        <v>0</v>
      </c>
      <c r="R317" s="68" t="s">
        <v>436</v>
      </c>
      <c r="S317" s="86">
        <v>0</v>
      </c>
      <c r="T317" s="68">
        <v>0</v>
      </c>
      <c r="U317" s="68">
        <v>0</v>
      </c>
      <c r="V317" s="68">
        <v>0</v>
      </c>
      <c r="W317" s="68">
        <v>0</v>
      </c>
      <c r="X317" s="68">
        <v>0</v>
      </c>
      <c r="Y317" s="68">
        <v>0</v>
      </c>
      <c r="Z317" s="68">
        <v>0</v>
      </c>
      <c r="AA317" s="68">
        <v>0</v>
      </c>
      <c r="AB317" s="69">
        <v>0</v>
      </c>
      <c r="AC317" s="69">
        <v>0</v>
      </c>
      <c r="AD317" s="70">
        <f>IFERROR(tblTarget[[#This Row],[Cluster Target]]/tblTarget[[#This Row],[Cluster PiN]],0)</f>
        <v>0</v>
      </c>
      <c r="AE317" s="79">
        <f>_xlfn.XLOOKUP(tblTarget[[#This Row],[ID]],tblResponse[ID],tblResponse[2024 Projected reached (Dec 2024)])</f>
        <v>16880</v>
      </c>
      <c r="AF317" s="79">
        <f>_xlfn.XLOOKUP(tblTarget[[#This Row],[ID]],tblResponse[ID],tblResponse[2024 Intercluster reached -August RPM])</f>
        <v>7254.4925723502201</v>
      </c>
      <c r="AG317" s="79">
        <v>5</v>
      </c>
      <c r="AH317" s="79"/>
      <c r="AI317" s="79"/>
      <c r="AJ317" s="70" t="str">
        <f>IF(tblTarget[[#This Row],[Target to PiN (%)]]&gt;Targ_vs_PiN,"Flagged","")</f>
        <v/>
      </c>
      <c r="AK317" s="69" t="str">
        <f>IF(AND(tblTarget[[#This Row],[Qualifies for exception]]="Flagged",tblTarget[[#This Row],[Target to PiN (%)]]&gt;Targ_severity5),"Flagged","")</f>
        <v/>
      </c>
      <c r="AL317" s="68" t="str">
        <f>IFERROR(IF(AND(tblTarget[[#This Row],[Intercluser Severity]]=4,tblTarget[[#This Row],[Qualifies for exception]]="Flagged",(tblTarget[[#This Row],[Cluster Target]]-tblTarget[[#This Row],[2024 Response capacity up to December]])/tblTarget[[#This Row],[Cluster Target]]&gt;Diff_severity4),"Flagged",""),"No target")</f>
        <v>No target</v>
      </c>
      <c r="AM317" s="68" t="str">
        <f>IFERROR(IF(AND(tblTarget[[#This Row],[Intercluser Severity]]=3,tblTarget[[#This Row],[Qualifies for exception]]="Flagged",(tblTarget[[#This Row],[Cluster Target]]-tblTarget[[#This Row],[2024 Response capacity up to December]])/tblTarget[[#This Row],[Cluster Target]]&gt;Diff_severity3),"Flagged",""),"No target")</f>
        <v>No target</v>
      </c>
      <c r="AN317" s="81" t="s">
        <v>1099</v>
      </c>
      <c r="AO317" s="81"/>
      <c r="AP317" s="81" t="s">
        <v>1099</v>
      </c>
      <c r="AQ317" s="81" t="s">
        <v>1107</v>
      </c>
    </row>
    <row r="318" spans="1:43" ht="15.95" customHeight="1" x14ac:dyDescent="0.2">
      <c r="A318" s="62" t="s">
        <v>755</v>
      </c>
      <c r="B318" s="63" t="s">
        <v>274</v>
      </c>
      <c r="C318" s="64" t="s">
        <v>275</v>
      </c>
      <c r="D318" s="63" t="s">
        <v>294</v>
      </c>
      <c r="E318" s="64" t="s">
        <v>295</v>
      </c>
      <c r="F318" s="65">
        <v>0</v>
      </c>
      <c r="G318" s="66" t="s">
        <v>436</v>
      </c>
      <c r="H318" s="71">
        <v>0</v>
      </c>
      <c r="I318" s="68">
        <v>3</v>
      </c>
      <c r="J318" s="68">
        <v>3</v>
      </c>
      <c r="K318" s="91">
        <v>0</v>
      </c>
      <c r="L318" s="91">
        <v>0</v>
      </c>
      <c r="M318" s="91">
        <v>0</v>
      </c>
      <c r="N318" s="91">
        <v>0</v>
      </c>
      <c r="O318" s="91">
        <v>0</v>
      </c>
      <c r="P318" s="91">
        <v>0</v>
      </c>
      <c r="Q318" s="85">
        <v>0</v>
      </c>
      <c r="R318" s="68" t="s">
        <v>436</v>
      </c>
      <c r="S318" s="86">
        <v>0</v>
      </c>
      <c r="T318" s="68">
        <v>0</v>
      </c>
      <c r="U318" s="68">
        <v>0</v>
      </c>
      <c r="V318" s="68">
        <v>0</v>
      </c>
      <c r="W318" s="68">
        <v>0</v>
      </c>
      <c r="X318" s="68">
        <v>0</v>
      </c>
      <c r="Y318" s="68">
        <v>0</v>
      </c>
      <c r="Z318" s="68">
        <v>0</v>
      </c>
      <c r="AA318" s="68">
        <v>0</v>
      </c>
      <c r="AB318" s="69">
        <v>0</v>
      </c>
      <c r="AC318" s="69">
        <v>0</v>
      </c>
      <c r="AD318" s="70">
        <f>IFERROR(tblTarget[[#This Row],[Cluster Target]]/tblTarget[[#This Row],[Cluster PiN]],0)</f>
        <v>0</v>
      </c>
      <c r="AE318" s="79">
        <f>_xlfn.XLOOKUP(tblTarget[[#This Row],[ID]],tblResponse[ID],tblResponse[2024 Projected reached (Dec 2024)])</f>
        <v>2665</v>
      </c>
      <c r="AF318" s="79">
        <f>_xlfn.XLOOKUP(tblTarget[[#This Row],[ID]],tblResponse[ID],tblResponse[2024 Intercluster reached -August RPM])</f>
        <v>23622.20592177962</v>
      </c>
      <c r="AG318" s="79">
        <v>4</v>
      </c>
      <c r="AH318" s="79"/>
      <c r="AI318" s="79"/>
      <c r="AJ318" s="70" t="str">
        <f>IF(tblTarget[[#This Row],[Target to PiN (%)]]&gt;Targ_vs_PiN,"Flagged","")</f>
        <v/>
      </c>
      <c r="AK318" s="69" t="str">
        <f>IF(AND(tblTarget[[#This Row],[Qualifies for exception]]="Flagged",tblTarget[[#This Row],[Target to PiN (%)]]&gt;Targ_severity5),"Flagged","")</f>
        <v/>
      </c>
      <c r="AL318" s="68" t="str">
        <f>IFERROR(IF(AND(tblTarget[[#This Row],[Intercluser Severity]]=4,tblTarget[[#This Row],[Qualifies for exception]]="Flagged",(tblTarget[[#This Row],[Cluster Target]]-tblTarget[[#This Row],[2024 Response capacity up to December]])/tblTarget[[#This Row],[Cluster Target]]&gt;Diff_severity4),"Flagged",""),"No target")</f>
        <v>No target</v>
      </c>
      <c r="AM318" s="68" t="str">
        <f>IFERROR(IF(AND(tblTarget[[#This Row],[Intercluser Severity]]=3,tblTarget[[#This Row],[Qualifies for exception]]="Flagged",(tblTarget[[#This Row],[Cluster Target]]-tblTarget[[#This Row],[2024 Response capacity up to December]])/tblTarget[[#This Row],[Cluster Target]]&gt;Diff_severity3),"Flagged",""),"No target")</f>
        <v>No target</v>
      </c>
      <c r="AN318" s="81" t="s">
        <v>1099</v>
      </c>
      <c r="AO318" s="81"/>
      <c r="AP318" s="81" t="s">
        <v>1099</v>
      </c>
      <c r="AQ318" s="81" t="s">
        <v>1107</v>
      </c>
    </row>
    <row r="319" spans="1:43" ht="15.95" customHeight="1" x14ac:dyDescent="0.2">
      <c r="A319" s="62" t="s">
        <v>756</v>
      </c>
      <c r="B319" s="63" t="s">
        <v>274</v>
      </c>
      <c r="C319" s="64" t="s">
        <v>275</v>
      </c>
      <c r="D319" s="63" t="s">
        <v>296</v>
      </c>
      <c r="E319" s="64" t="s">
        <v>297</v>
      </c>
      <c r="F319" s="65">
        <v>4067</v>
      </c>
      <c r="G319" s="66" t="s">
        <v>436</v>
      </c>
      <c r="H319" s="71">
        <v>3506</v>
      </c>
      <c r="I319" s="68">
        <v>4</v>
      </c>
      <c r="J319" s="68">
        <v>3</v>
      </c>
      <c r="K319" s="91">
        <v>1402</v>
      </c>
      <c r="L319" s="91">
        <v>730.24567819630124</v>
      </c>
      <c r="M319" s="91">
        <v>671.75432180369864</v>
      </c>
      <c r="N319" s="91">
        <v>771.1</v>
      </c>
      <c r="O319" s="91">
        <v>546.78</v>
      </c>
      <c r="P319" s="91">
        <v>84.11999999999999</v>
      </c>
      <c r="Q319" s="85">
        <v>210.29999999999998</v>
      </c>
      <c r="R319" s="68" t="s">
        <v>436</v>
      </c>
      <c r="S319" s="86">
        <v>202</v>
      </c>
      <c r="T319" s="68">
        <v>50</v>
      </c>
      <c r="U319" s="68">
        <v>9</v>
      </c>
      <c r="V319" s="68">
        <v>13</v>
      </c>
      <c r="W319" s="68">
        <v>14</v>
      </c>
      <c r="X319" s="68">
        <v>28</v>
      </c>
      <c r="Y319" s="68">
        <v>42</v>
      </c>
      <c r="Z319" s="68">
        <v>28</v>
      </c>
      <c r="AA319" s="68">
        <v>0</v>
      </c>
      <c r="AB319" s="69">
        <v>4</v>
      </c>
      <c r="AC319" s="69">
        <v>0</v>
      </c>
      <c r="AD319" s="70">
        <f>IFERROR(tblTarget[[#This Row],[Cluster Target]]/tblTarget[[#This Row],[Cluster PiN]],0)</f>
        <v>0.39988590986879635</v>
      </c>
      <c r="AE319" s="79">
        <f>_xlfn.XLOOKUP(tblTarget[[#This Row],[ID]],tblResponse[ID],tblResponse[2024 Projected reached (Dec 2024)])</f>
        <v>0</v>
      </c>
      <c r="AF319" s="79">
        <f>_xlfn.XLOOKUP(tblTarget[[#This Row],[ID]],tblResponse[ID],tblResponse[2024 Intercluster reached -August RPM])</f>
        <v>19047.182390987684</v>
      </c>
      <c r="AG319" s="79">
        <v>1</v>
      </c>
      <c r="AH319" s="79"/>
      <c r="AI319" s="79"/>
      <c r="AJ319" s="70" t="str">
        <f>IF(tblTarget[[#This Row],[Target to PiN (%)]]&gt;Targ_vs_PiN,"Flagged","")</f>
        <v/>
      </c>
      <c r="AK319" s="69" t="str">
        <f>IF(AND(tblTarget[[#This Row],[Qualifies for exception]]="Flagged",tblTarget[[#This Row],[Target to PiN (%)]]&gt;Targ_severity5),"Flagged","")</f>
        <v/>
      </c>
      <c r="AL319" s="68" t="str">
        <f>IFERROR(IF(AND(tblTarget[[#This Row],[Intercluser Severity]]=4,tblTarget[[#This Row],[Qualifies for exception]]="Flagged",(tblTarget[[#This Row],[Cluster Target]]-tblTarget[[#This Row],[2024 Response capacity up to December]])/tblTarget[[#This Row],[Cluster Target]]&gt;Diff_severity4),"Flagged",""),"No target")</f>
        <v/>
      </c>
      <c r="AM319" s="68" t="str">
        <f>IFERROR(IF(AND(tblTarget[[#This Row],[Intercluser Severity]]=3,tblTarget[[#This Row],[Qualifies for exception]]="Flagged",(tblTarget[[#This Row],[Cluster Target]]-tblTarget[[#This Row],[2024 Response capacity up to December]])/tblTarget[[#This Row],[Cluster Target]]&gt;Diff_severity3),"Flagged",""),"No target")</f>
        <v>Flagged</v>
      </c>
      <c r="AN319" s="81" t="s">
        <v>1099</v>
      </c>
      <c r="AO319" s="81"/>
      <c r="AP319" s="81" t="s">
        <v>1099</v>
      </c>
      <c r="AQ319" s="81" t="s">
        <v>1107</v>
      </c>
    </row>
    <row r="320" spans="1:43" ht="15.95" customHeight="1" x14ac:dyDescent="0.2">
      <c r="A320" s="62" t="s">
        <v>757</v>
      </c>
      <c r="B320" s="63" t="s">
        <v>298</v>
      </c>
      <c r="C320" s="64" t="s">
        <v>299</v>
      </c>
      <c r="D320" s="63" t="s">
        <v>300</v>
      </c>
      <c r="E320" s="64" t="s">
        <v>301</v>
      </c>
      <c r="F320" s="65">
        <v>20155</v>
      </c>
      <c r="G320" s="66" t="s">
        <v>436</v>
      </c>
      <c r="H320" s="71">
        <v>5507</v>
      </c>
      <c r="I320" s="68">
        <v>3</v>
      </c>
      <c r="J320" s="68">
        <v>3</v>
      </c>
      <c r="K320" s="91">
        <v>275</v>
      </c>
      <c r="L320" s="91">
        <v>135.70110641799585</v>
      </c>
      <c r="M320" s="91">
        <v>139.29889358200415</v>
      </c>
      <c r="N320" s="91">
        <v>151.25</v>
      </c>
      <c r="O320" s="91">
        <v>107.25</v>
      </c>
      <c r="P320" s="91">
        <v>16.5</v>
      </c>
      <c r="Q320" s="85">
        <v>41.25</v>
      </c>
      <c r="R320" s="68" t="s">
        <v>436</v>
      </c>
      <c r="S320" s="86">
        <v>40</v>
      </c>
      <c r="T320" s="68">
        <v>10</v>
      </c>
      <c r="U320" s="68">
        <v>2</v>
      </c>
      <c r="V320" s="68">
        <v>2</v>
      </c>
      <c r="W320" s="68">
        <v>3</v>
      </c>
      <c r="X320" s="68">
        <v>6</v>
      </c>
      <c r="Y320" s="68">
        <v>8</v>
      </c>
      <c r="Z320" s="68">
        <v>6</v>
      </c>
      <c r="AA320" s="68">
        <v>0</v>
      </c>
      <c r="AB320" s="69">
        <v>0</v>
      </c>
      <c r="AC320" s="69">
        <v>0</v>
      </c>
      <c r="AD320" s="70">
        <f>IFERROR(tblTarget[[#This Row],[Cluster Target]]/tblTarget[[#This Row],[Cluster PiN]],0)</f>
        <v>4.9936444525149809E-2</v>
      </c>
      <c r="AE320" s="79">
        <f>_xlfn.XLOOKUP(tblTarget[[#This Row],[ID]],tblResponse[ID],tblResponse[2024 Projected reached (Dec 2024)])</f>
        <v>0</v>
      </c>
      <c r="AF320" s="79">
        <f>_xlfn.XLOOKUP(tblTarget[[#This Row],[ID]],tblResponse[ID],tblResponse[2024 Intercluster reached -August RPM])</f>
        <v>15909.240381099695</v>
      </c>
      <c r="AG320" s="79">
        <v>2</v>
      </c>
      <c r="AH320" s="79"/>
      <c r="AI320" s="79"/>
      <c r="AJ320" s="70" t="str">
        <f>IF(tblTarget[[#This Row],[Target to PiN (%)]]&gt;Targ_vs_PiN,"Flagged","")</f>
        <v/>
      </c>
      <c r="AK320" s="69" t="str">
        <f>IF(AND(tblTarget[[#This Row],[Qualifies for exception]]="Flagged",tblTarget[[#This Row],[Target to PiN (%)]]&gt;Targ_severity5),"Flagged","")</f>
        <v/>
      </c>
      <c r="AL320" s="68" t="str">
        <f>IFERROR(IF(AND(tblTarget[[#This Row],[Intercluser Severity]]=4,tblTarget[[#This Row],[Qualifies for exception]]="Flagged",(tblTarget[[#This Row],[Cluster Target]]-tblTarget[[#This Row],[2024 Response capacity up to December]])/tblTarget[[#This Row],[Cluster Target]]&gt;Diff_severity4),"Flagged",""),"No target")</f>
        <v/>
      </c>
      <c r="AM320" s="68" t="str">
        <f>IFERROR(IF(AND(tblTarget[[#This Row],[Intercluser Severity]]=3,tblTarget[[#This Row],[Qualifies for exception]]="Flagged",(tblTarget[[#This Row],[Cluster Target]]-tblTarget[[#This Row],[2024 Response capacity up to December]])/tblTarget[[#This Row],[Cluster Target]]&gt;Diff_severity3),"Flagged",""),"No target")</f>
        <v>Flagged</v>
      </c>
      <c r="AN320" s="81" t="s">
        <v>1099</v>
      </c>
      <c r="AO320" s="81"/>
      <c r="AP320" s="81" t="s">
        <v>1099</v>
      </c>
      <c r="AQ320" s="81" t="s">
        <v>1107</v>
      </c>
    </row>
    <row r="321" spans="1:43" ht="15.95" customHeight="1" x14ac:dyDescent="0.2">
      <c r="A321" s="62" t="s">
        <v>758</v>
      </c>
      <c r="B321" s="63" t="s">
        <v>298</v>
      </c>
      <c r="C321" s="64" t="s">
        <v>299</v>
      </c>
      <c r="D321" s="63" t="s">
        <v>302</v>
      </c>
      <c r="E321" s="64" t="s">
        <v>303</v>
      </c>
      <c r="F321" s="65">
        <v>79702</v>
      </c>
      <c r="G321" s="66" t="s">
        <v>436</v>
      </c>
      <c r="H321" s="71">
        <v>18146</v>
      </c>
      <c r="I321" s="68">
        <v>3</v>
      </c>
      <c r="J321" s="68">
        <v>3</v>
      </c>
      <c r="K321" s="91">
        <v>7258</v>
      </c>
      <c r="L321" s="91">
        <v>3755.6330266276314</v>
      </c>
      <c r="M321" s="91">
        <v>3502.3669733723686</v>
      </c>
      <c r="N321" s="91">
        <v>3991.9000000000005</v>
      </c>
      <c r="O321" s="91">
        <v>2830.62</v>
      </c>
      <c r="P321" s="91">
        <v>435.47999999999996</v>
      </c>
      <c r="Q321" s="85">
        <v>1088.7</v>
      </c>
      <c r="R321" s="68" t="s">
        <v>436</v>
      </c>
      <c r="S321" s="86">
        <v>1045</v>
      </c>
      <c r="T321" s="68">
        <v>261</v>
      </c>
      <c r="U321" s="68">
        <v>49</v>
      </c>
      <c r="V321" s="68">
        <v>65</v>
      </c>
      <c r="W321" s="68">
        <v>73</v>
      </c>
      <c r="X321" s="68">
        <v>145</v>
      </c>
      <c r="Y321" s="68">
        <v>218</v>
      </c>
      <c r="Z321" s="68">
        <v>145</v>
      </c>
      <c r="AA321" s="68">
        <v>0</v>
      </c>
      <c r="AB321" s="69">
        <v>22</v>
      </c>
      <c r="AC321" s="69">
        <v>37.669527532706297</v>
      </c>
      <c r="AD321" s="70">
        <f>IFERROR(tblTarget[[#This Row],[Cluster Target]]/tblTarget[[#This Row],[Cluster PiN]],0)</f>
        <v>0.39997795657445168</v>
      </c>
      <c r="AE321" s="79">
        <f>_xlfn.XLOOKUP(tblTarget[[#This Row],[ID]],tblResponse[ID],tblResponse[2024 Projected reached (Dec 2024)])</f>
        <v>3000</v>
      </c>
      <c r="AF321" s="79">
        <f>_xlfn.XLOOKUP(tblTarget[[#This Row],[ID]],tblResponse[ID],tblResponse[2024 Intercluster reached -August RPM])</f>
        <v>55940.2680629186</v>
      </c>
      <c r="AG321" s="79">
        <v>2</v>
      </c>
      <c r="AH321" s="79"/>
      <c r="AI321" s="79"/>
      <c r="AJ321" s="70" t="str">
        <f>IF(tblTarget[[#This Row],[Target to PiN (%)]]&gt;Targ_vs_PiN,"Flagged","")</f>
        <v/>
      </c>
      <c r="AK321" s="69" t="str">
        <f>IF(AND(tblTarget[[#This Row],[Qualifies for exception]]="Flagged",tblTarget[[#This Row],[Target to PiN (%)]]&gt;Targ_severity5),"Flagged","")</f>
        <v/>
      </c>
      <c r="AL321" s="68" t="str">
        <f>IFERROR(IF(AND(tblTarget[[#This Row],[Intercluser Severity]]=4,tblTarget[[#This Row],[Qualifies for exception]]="Flagged",(tblTarget[[#This Row],[Cluster Target]]-tblTarget[[#This Row],[2024 Response capacity up to December]])/tblTarget[[#This Row],[Cluster Target]]&gt;Diff_severity4),"Flagged",""),"No target")</f>
        <v/>
      </c>
      <c r="AM321" s="68" t="str">
        <f>IFERROR(IF(AND(tblTarget[[#This Row],[Intercluser Severity]]=3,tblTarget[[#This Row],[Qualifies for exception]]="Flagged",(tblTarget[[#This Row],[Cluster Target]]-tblTarget[[#This Row],[2024 Response capacity up to December]])/tblTarget[[#This Row],[Cluster Target]]&gt;Diff_severity3),"Flagged",""),"No target")</f>
        <v>Flagged</v>
      </c>
      <c r="AN321" s="81" t="s">
        <v>1099</v>
      </c>
      <c r="AO321" s="81"/>
      <c r="AP321" s="81" t="s">
        <v>1099</v>
      </c>
      <c r="AQ321" s="81" t="s">
        <v>1107</v>
      </c>
    </row>
    <row r="322" spans="1:43" ht="15.95" customHeight="1" x14ac:dyDescent="0.2">
      <c r="A322" s="62" t="s">
        <v>759</v>
      </c>
      <c r="B322" s="63" t="s">
        <v>298</v>
      </c>
      <c r="C322" s="64" t="s">
        <v>299</v>
      </c>
      <c r="D322" s="63" t="s">
        <v>304</v>
      </c>
      <c r="E322" s="64" t="s">
        <v>305</v>
      </c>
      <c r="F322" s="65">
        <v>53678</v>
      </c>
      <c r="G322" s="66" t="s">
        <v>436</v>
      </c>
      <c r="H322" s="71">
        <v>21607</v>
      </c>
      <c r="I322" s="68">
        <v>3</v>
      </c>
      <c r="J322" s="68">
        <v>4</v>
      </c>
      <c r="K322" s="91">
        <v>8643</v>
      </c>
      <c r="L322" s="91">
        <v>4586.4966371027349</v>
      </c>
      <c r="M322" s="91">
        <v>4056.5033628972656</v>
      </c>
      <c r="N322" s="91">
        <v>4753.6500000000005</v>
      </c>
      <c r="O322" s="91">
        <v>3370.77</v>
      </c>
      <c r="P322" s="91">
        <v>518.57999999999993</v>
      </c>
      <c r="Q322" s="85">
        <v>1296.45</v>
      </c>
      <c r="R322" s="68" t="s">
        <v>436</v>
      </c>
      <c r="S322" s="86">
        <v>1245</v>
      </c>
      <c r="T322" s="68">
        <v>311</v>
      </c>
      <c r="U322" s="68">
        <v>58</v>
      </c>
      <c r="V322" s="68">
        <v>78</v>
      </c>
      <c r="W322" s="68">
        <v>86</v>
      </c>
      <c r="X322" s="68">
        <v>173</v>
      </c>
      <c r="Y322" s="68">
        <v>259</v>
      </c>
      <c r="Z322" s="68">
        <v>173</v>
      </c>
      <c r="AA322" s="68">
        <v>0</v>
      </c>
      <c r="AB322" s="69">
        <v>26</v>
      </c>
      <c r="AC322" s="69">
        <v>37.669527532706297</v>
      </c>
      <c r="AD322" s="70">
        <f>IFERROR(tblTarget[[#This Row],[Cluster Target]]/tblTarget[[#This Row],[Cluster PiN]],0)</f>
        <v>0.40000925625954553</v>
      </c>
      <c r="AE322" s="79">
        <f>_xlfn.XLOOKUP(tblTarget[[#This Row],[ID]],tblResponse[ID],tblResponse[2024 Projected reached (Dec 2024)])</f>
        <v>3375</v>
      </c>
      <c r="AF322" s="79">
        <f>_xlfn.XLOOKUP(tblTarget[[#This Row],[ID]],tblResponse[ID],tblResponse[2024 Intercluster reached -August RPM])</f>
        <v>21025.239176514784</v>
      </c>
      <c r="AG322" s="79">
        <v>3</v>
      </c>
      <c r="AH322" s="79"/>
      <c r="AI322" s="79"/>
      <c r="AJ322" s="70" t="str">
        <f>IF(tblTarget[[#This Row],[Target to PiN (%)]]&gt;Targ_vs_PiN,"Flagged","")</f>
        <v/>
      </c>
      <c r="AK322" s="69" t="str">
        <f>IF(AND(tblTarget[[#This Row],[Qualifies for exception]]="Flagged",tblTarget[[#This Row],[Target to PiN (%)]]&gt;Targ_severity5),"Flagged","")</f>
        <v/>
      </c>
      <c r="AL322" s="68" t="str">
        <f>IFERROR(IF(AND(tblTarget[[#This Row],[Intercluser Severity]]=4,tblTarget[[#This Row],[Qualifies for exception]]="Flagged",(tblTarget[[#This Row],[Cluster Target]]-tblTarget[[#This Row],[2024 Response capacity up to December]])/tblTarget[[#This Row],[Cluster Target]]&gt;Diff_severity4),"Flagged",""),"No target")</f>
        <v>Flagged</v>
      </c>
      <c r="AM322" s="68" t="str">
        <f>IFERROR(IF(AND(tblTarget[[#This Row],[Intercluser Severity]]=3,tblTarget[[#This Row],[Qualifies for exception]]="Flagged",(tblTarget[[#This Row],[Cluster Target]]-tblTarget[[#This Row],[2024 Response capacity up to December]])/tblTarget[[#This Row],[Cluster Target]]&gt;Diff_severity3),"Flagged",""),"No target")</f>
        <v/>
      </c>
      <c r="AN322" s="81" t="s">
        <v>1099</v>
      </c>
      <c r="AO322" s="81"/>
      <c r="AP322" s="81" t="s">
        <v>1099</v>
      </c>
      <c r="AQ322" s="81" t="s">
        <v>1107</v>
      </c>
    </row>
    <row r="323" spans="1:43" ht="15.95" customHeight="1" x14ac:dyDescent="0.2">
      <c r="A323" s="62" t="s">
        <v>760</v>
      </c>
      <c r="B323" s="63" t="s">
        <v>298</v>
      </c>
      <c r="C323" s="64" t="s">
        <v>299</v>
      </c>
      <c r="D323" s="63" t="s">
        <v>306</v>
      </c>
      <c r="E323" s="64" t="s">
        <v>307</v>
      </c>
      <c r="F323" s="65">
        <v>57710</v>
      </c>
      <c r="G323" s="66" t="s">
        <v>436</v>
      </c>
      <c r="H323" s="71">
        <v>2069</v>
      </c>
      <c r="I323" s="68">
        <v>3</v>
      </c>
      <c r="J323" s="68">
        <v>3</v>
      </c>
      <c r="K323" s="91">
        <v>1241</v>
      </c>
      <c r="L323" s="91">
        <v>650.8162646815847</v>
      </c>
      <c r="M323" s="91">
        <v>590.1837353184153</v>
      </c>
      <c r="N323" s="91">
        <v>682.55000000000007</v>
      </c>
      <c r="O323" s="91">
        <v>483.99</v>
      </c>
      <c r="P323" s="91">
        <v>74.459999999999994</v>
      </c>
      <c r="Q323" s="85">
        <v>186.15</v>
      </c>
      <c r="R323" s="68" t="s">
        <v>436</v>
      </c>
      <c r="S323" s="86">
        <v>179</v>
      </c>
      <c r="T323" s="68">
        <v>45</v>
      </c>
      <c r="U323" s="68">
        <v>8</v>
      </c>
      <c r="V323" s="68">
        <v>11</v>
      </c>
      <c r="W323" s="68">
        <v>12</v>
      </c>
      <c r="X323" s="68">
        <v>25</v>
      </c>
      <c r="Y323" s="68">
        <v>37</v>
      </c>
      <c r="Z323" s="68">
        <v>25</v>
      </c>
      <c r="AA323" s="68">
        <v>0</v>
      </c>
      <c r="AB323" s="69">
        <v>4</v>
      </c>
      <c r="AC323" s="69">
        <v>0</v>
      </c>
      <c r="AD323" s="70">
        <f>IFERROR(tblTarget[[#This Row],[Cluster Target]]/tblTarget[[#This Row],[Cluster PiN]],0)</f>
        <v>0.59980666988883513</v>
      </c>
      <c r="AE323" s="79">
        <f>_xlfn.XLOOKUP(tblTarget[[#This Row],[ID]],tblResponse[ID],tblResponse[2024 Projected reached (Dec 2024)])</f>
        <v>2795</v>
      </c>
      <c r="AF323" s="79">
        <f>_xlfn.XLOOKUP(tblTarget[[#This Row],[ID]],tblResponse[ID],tblResponse[2024 Intercluster reached -August RPM])</f>
        <v>13395.917832423032</v>
      </c>
      <c r="AG323" s="79">
        <v>2</v>
      </c>
      <c r="AH323" s="79"/>
      <c r="AI323" s="79"/>
      <c r="AJ323" s="70" t="str">
        <f>IF(tblTarget[[#This Row],[Target to PiN (%)]]&gt;Targ_vs_PiN,"Flagged","")</f>
        <v/>
      </c>
      <c r="AK323" s="69" t="str">
        <f>IF(AND(tblTarget[[#This Row],[Qualifies for exception]]="Flagged",tblTarget[[#This Row],[Target to PiN (%)]]&gt;Targ_severity5),"Flagged","")</f>
        <v/>
      </c>
      <c r="AL323" s="68" t="str">
        <f>IFERROR(IF(AND(tblTarget[[#This Row],[Intercluser Severity]]=4,tblTarget[[#This Row],[Qualifies for exception]]="Flagged",(tblTarget[[#This Row],[Cluster Target]]-tblTarget[[#This Row],[2024 Response capacity up to December]])/tblTarget[[#This Row],[Cluster Target]]&gt;Diff_severity4),"Flagged",""),"No target")</f>
        <v/>
      </c>
      <c r="AM323" s="68" t="str">
        <f>IFERROR(IF(AND(tblTarget[[#This Row],[Intercluser Severity]]=3,tblTarget[[#This Row],[Qualifies for exception]]="Flagged",(tblTarget[[#This Row],[Cluster Target]]-tblTarget[[#This Row],[2024 Response capacity up to December]])/tblTarget[[#This Row],[Cluster Target]]&gt;Diff_severity3),"Flagged",""),"No target")</f>
        <v/>
      </c>
      <c r="AN323" s="81" t="s">
        <v>1099</v>
      </c>
      <c r="AO323" s="81"/>
      <c r="AP323" s="81" t="s">
        <v>1099</v>
      </c>
      <c r="AQ323" s="81" t="s">
        <v>1107</v>
      </c>
    </row>
    <row r="324" spans="1:43" ht="15.95" customHeight="1" x14ac:dyDescent="0.2">
      <c r="A324" s="62" t="s">
        <v>761</v>
      </c>
      <c r="B324" s="63" t="s">
        <v>298</v>
      </c>
      <c r="C324" s="64" t="s">
        <v>299</v>
      </c>
      <c r="D324" s="63" t="s">
        <v>308</v>
      </c>
      <c r="E324" s="64" t="s">
        <v>309</v>
      </c>
      <c r="F324" s="65">
        <v>51406</v>
      </c>
      <c r="G324" s="66" t="s">
        <v>436</v>
      </c>
      <c r="H324" s="71">
        <v>35836</v>
      </c>
      <c r="I324" s="68">
        <v>3</v>
      </c>
      <c r="J324" s="68">
        <v>3</v>
      </c>
      <c r="K324" s="91">
        <v>21502</v>
      </c>
      <c r="L324" s="91">
        <v>11208.687548643848</v>
      </c>
      <c r="M324" s="91">
        <v>10293.312451356154</v>
      </c>
      <c r="N324" s="91">
        <v>11826.1</v>
      </c>
      <c r="O324" s="91">
        <v>8385.7800000000007</v>
      </c>
      <c r="P324" s="91">
        <v>1290.1199999999999</v>
      </c>
      <c r="Q324" s="85">
        <v>3225.2999999999997</v>
      </c>
      <c r="R324" s="68" t="s">
        <v>436</v>
      </c>
      <c r="S324" s="86">
        <v>3096</v>
      </c>
      <c r="T324" s="68">
        <v>774</v>
      </c>
      <c r="U324" s="68">
        <v>145</v>
      </c>
      <c r="V324" s="68">
        <v>194</v>
      </c>
      <c r="W324" s="68">
        <v>215</v>
      </c>
      <c r="X324" s="68">
        <v>430</v>
      </c>
      <c r="Y324" s="68">
        <v>645</v>
      </c>
      <c r="Z324" s="68">
        <v>430</v>
      </c>
      <c r="AA324" s="68">
        <v>0</v>
      </c>
      <c r="AB324" s="69">
        <v>64</v>
      </c>
      <c r="AC324" s="69">
        <v>113.00858259811889</v>
      </c>
      <c r="AD324" s="70">
        <f>IFERROR(tblTarget[[#This Row],[Cluster Target]]/tblTarget[[#This Row],[Cluster PiN]],0)</f>
        <v>0.60001116196004023</v>
      </c>
      <c r="AE324" s="79">
        <f>_xlfn.XLOOKUP(tblTarget[[#This Row],[ID]],tblResponse[ID],tblResponse[2024 Projected reached (Dec 2024)])</f>
        <v>0</v>
      </c>
      <c r="AF324" s="79">
        <f>_xlfn.XLOOKUP(tblTarget[[#This Row],[ID]],tblResponse[ID],tblResponse[2024 Intercluster reached -August RPM])</f>
        <v>19098.282429176365</v>
      </c>
      <c r="AG324" s="79">
        <v>2</v>
      </c>
      <c r="AH324" s="79"/>
      <c r="AI324" s="79"/>
      <c r="AJ324" s="70" t="str">
        <f>IF(tblTarget[[#This Row],[Target to PiN (%)]]&gt;Targ_vs_PiN,"Flagged","")</f>
        <v/>
      </c>
      <c r="AK324" s="69" t="str">
        <f>IF(AND(tblTarget[[#This Row],[Qualifies for exception]]="Flagged",tblTarget[[#This Row],[Target to PiN (%)]]&gt;Targ_severity5),"Flagged","")</f>
        <v/>
      </c>
      <c r="AL324" s="68" t="str">
        <f>IFERROR(IF(AND(tblTarget[[#This Row],[Intercluser Severity]]=4,tblTarget[[#This Row],[Qualifies for exception]]="Flagged",(tblTarget[[#This Row],[Cluster Target]]-tblTarget[[#This Row],[2024 Response capacity up to December]])/tblTarget[[#This Row],[Cluster Target]]&gt;Diff_severity4),"Flagged",""),"No target")</f>
        <v/>
      </c>
      <c r="AM324" s="68" t="str">
        <f>IFERROR(IF(AND(tblTarget[[#This Row],[Intercluser Severity]]=3,tblTarget[[#This Row],[Qualifies for exception]]="Flagged",(tblTarget[[#This Row],[Cluster Target]]-tblTarget[[#This Row],[2024 Response capacity up to December]])/tblTarget[[#This Row],[Cluster Target]]&gt;Diff_severity3),"Flagged",""),"No target")</f>
        <v>Flagged</v>
      </c>
      <c r="AN324" s="81" t="s">
        <v>1099</v>
      </c>
      <c r="AO324" s="81"/>
      <c r="AP324" s="81" t="s">
        <v>1099</v>
      </c>
      <c r="AQ324" s="81" t="s">
        <v>1107</v>
      </c>
    </row>
    <row r="325" spans="1:43" ht="15.95" customHeight="1" x14ac:dyDescent="0.2">
      <c r="A325" s="62" t="s">
        <v>762</v>
      </c>
      <c r="B325" s="72" t="s">
        <v>298</v>
      </c>
      <c r="C325" s="64" t="s">
        <v>299</v>
      </c>
      <c r="D325" s="63" t="s">
        <v>310</v>
      </c>
      <c r="E325" s="64" t="s">
        <v>311</v>
      </c>
      <c r="F325" s="65">
        <v>18585</v>
      </c>
      <c r="G325" s="66" t="s">
        <v>436</v>
      </c>
      <c r="H325" s="71">
        <v>4160</v>
      </c>
      <c r="I325" s="68">
        <v>3</v>
      </c>
      <c r="J325" s="68">
        <v>4</v>
      </c>
      <c r="K325" s="91">
        <v>1664</v>
      </c>
      <c r="L325" s="91">
        <v>861.7486466296217</v>
      </c>
      <c r="M325" s="91">
        <v>802.2513533703783</v>
      </c>
      <c r="N325" s="91">
        <v>915.2</v>
      </c>
      <c r="O325" s="91">
        <v>648.96</v>
      </c>
      <c r="P325" s="91">
        <v>99.84</v>
      </c>
      <c r="Q325" s="85">
        <v>249.6</v>
      </c>
      <c r="R325" s="68" t="s">
        <v>436</v>
      </c>
      <c r="S325" s="86">
        <v>240</v>
      </c>
      <c r="T325" s="68">
        <v>60</v>
      </c>
      <c r="U325" s="68">
        <v>11</v>
      </c>
      <c r="V325" s="68">
        <v>15</v>
      </c>
      <c r="W325" s="68">
        <v>17</v>
      </c>
      <c r="X325" s="68">
        <v>33</v>
      </c>
      <c r="Y325" s="68">
        <v>50</v>
      </c>
      <c r="Z325" s="68">
        <v>33</v>
      </c>
      <c r="AA325" s="68">
        <v>0</v>
      </c>
      <c r="AB325" s="69">
        <v>4</v>
      </c>
      <c r="AC325" s="69">
        <v>0</v>
      </c>
      <c r="AD325" s="70">
        <f>IFERROR(tblTarget[[#This Row],[Cluster Target]]/tblTarget[[#This Row],[Cluster PiN]],0)</f>
        <v>0.4</v>
      </c>
      <c r="AE325" s="79">
        <f>_xlfn.XLOOKUP(tblTarget[[#This Row],[ID]],tblResponse[ID],tblResponse[2024 Projected reached (Dec 2024)])</f>
        <v>11635</v>
      </c>
      <c r="AF325" s="79">
        <f>_xlfn.XLOOKUP(tblTarget[[#This Row],[ID]],tblResponse[ID],tblResponse[2024 Intercluster reached -August RPM])</f>
        <v>28003.391877542992</v>
      </c>
      <c r="AG325" s="79">
        <v>7</v>
      </c>
      <c r="AH325" s="79"/>
      <c r="AI325" s="79"/>
      <c r="AJ325" s="70" t="str">
        <f>IF(tblTarget[[#This Row],[Target to PiN (%)]]&gt;Targ_vs_PiN,"Flagged","")</f>
        <v/>
      </c>
      <c r="AK325" s="69" t="str">
        <f>IF(AND(tblTarget[[#This Row],[Qualifies for exception]]="Flagged",tblTarget[[#This Row],[Target to PiN (%)]]&gt;Targ_severity5),"Flagged","")</f>
        <v/>
      </c>
      <c r="AL325" s="68" t="str">
        <f>IFERROR(IF(AND(tblTarget[[#This Row],[Intercluser Severity]]=4,tblTarget[[#This Row],[Qualifies for exception]]="Flagged",(tblTarget[[#This Row],[Cluster Target]]-tblTarget[[#This Row],[2024 Response capacity up to December]])/tblTarget[[#This Row],[Cluster Target]]&gt;Diff_severity4),"Flagged",""),"No target")</f>
        <v/>
      </c>
      <c r="AM325" s="68" t="str">
        <f>IFERROR(IF(AND(tblTarget[[#This Row],[Intercluser Severity]]=3,tblTarget[[#This Row],[Qualifies for exception]]="Flagged",(tblTarget[[#This Row],[Cluster Target]]-tblTarget[[#This Row],[2024 Response capacity up to December]])/tblTarget[[#This Row],[Cluster Target]]&gt;Diff_severity3),"Flagged",""),"No target")</f>
        <v/>
      </c>
      <c r="AN325" s="81" t="s">
        <v>1099</v>
      </c>
      <c r="AO325" s="81"/>
      <c r="AP325" s="81" t="s">
        <v>1099</v>
      </c>
      <c r="AQ325" s="81" t="s">
        <v>1107</v>
      </c>
    </row>
    <row r="326" spans="1:43" ht="15.95" customHeight="1" x14ac:dyDescent="0.2">
      <c r="A326" s="62" t="s">
        <v>763</v>
      </c>
      <c r="B326" s="63" t="s">
        <v>298</v>
      </c>
      <c r="C326" s="64" t="s">
        <v>299</v>
      </c>
      <c r="D326" s="63" t="s">
        <v>312</v>
      </c>
      <c r="E326" s="64" t="s">
        <v>313</v>
      </c>
      <c r="F326" s="65">
        <v>12202</v>
      </c>
      <c r="G326" s="66" t="s">
        <v>436</v>
      </c>
      <c r="H326" s="71">
        <v>3815</v>
      </c>
      <c r="I326" s="68">
        <v>3</v>
      </c>
      <c r="J326" s="68">
        <v>3</v>
      </c>
      <c r="K326" s="91">
        <v>2289</v>
      </c>
      <c r="L326" s="91">
        <v>1198.8692535364216</v>
      </c>
      <c r="M326" s="91">
        <v>1090.1307464635781</v>
      </c>
      <c r="N326" s="91">
        <v>1258.95</v>
      </c>
      <c r="O326" s="91">
        <v>892.71</v>
      </c>
      <c r="P326" s="91">
        <v>137.34</v>
      </c>
      <c r="Q326" s="85">
        <v>343.34999999999997</v>
      </c>
      <c r="R326" s="68" t="s">
        <v>436</v>
      </c>
      <c r="S326" s="86">
        <v>330</v>
      </c>
      <c r="T326" s="68">
        <v>82</v>
      </c>
      <c r="U326" s="68">
        <v>15</v>
      </c>
      <c r="V326" s="68">
        <v>21</v>
      </c>
      <c r="W326" s="68">
        <v>23</v>
      </c>
      <c r="X326" s="68">
        <v>46</v>
      </c>
      <c r="Y326" s="68">
        <v>69</v>
      </c>
      <c r="Z326" s="68">
        <v>46</v>
      </c>
      <c r="AA326" s="68">
        <v>0</v>
      </c>
      <c r="AB326" s="69">
        <v>6</v>
      </c>
      <c r="AC326" s="69">
        <v>0</v>
      </c>
      <c r="AD326" s="70">
        <f>IFERROR(tblTarget[[#This Row],[Cluster Target]]/tblTarget[[#This Row],[Cluster PiN]],0)</f>
        <v>0.6</v>
      </c>
      <c r="AE326" s="79">
        <f>_xlfn.XLOOKUP(tblTarget[[#This Row],[ID]],tblResponse[ID],tblResponse[2024 Projected reached (Dec 2024)])</f>
        <v>3845</v>
      </c>
      <c r="AF326" s="79">
        <f>_xlfn.XLOOKUP(tblTarget[[#This Row],[ID]],tblResponse[ID],tblResponse[2024 Intercluster reached -August RPM])</f>
        <v>14707.961271055237</v>
      </c>
      <c r="AG326" s="79">
        <v>2</v>
      </c>
      <c r="AH326" s="79"/>
      <c r="AI326" s="79"/>
      <c r="AJ326" s="70" t="str">
        <f>IF(tblTarget[[#This Row],[Target to PiN (%)]]&gt;Targ_vs_PiN,"Flagged","")</f>
        <v/>
      </c>
      <c r="AK326" s="69" t="str">
        <f>IF(AND(tblTarget[[#This Row],[Qualifies for exception]]="Flagged",tblTarget[[#This Row],[Target to PiN (%)]]&gt;Targ_severity5),"Flagged","")</f>
        <v/>
      </c>
      <c r="AL326" s="68" t="str">
        <f>IFERROR(IF(AND(tblTarget[[#This Row],[Intercluser Severity]]=4,tblTarget[[#This Row],[Qualifies for exception]]="Flagged",(tblTarget[[#This Row],[Cluster Target]]-tblTarget[[#This Row],[2024 Response capacity up to December]])/tblTarget[[#This Row],[Cluster Target]]&gt;Diff_severity4),"Flagged",""),"No target")</f>
        <v/>
      </c>
      <c r="AM326" s="68" t="str">
        <f>IFERROR(IF(AND(tblTarget[[#This Row],[Intercluser Severity]]=3,tblTarget[[#This Row],[Qualifies for exception]]="Flagged",(tblTarget[[#This Row],[Cluster Target]]-tblTarget[[#This Row],[2024 Response capacity up to December]])/tblTarget[[#This Row],[Cluster Target]]&gt;Diff_severity3),"Flagged",""),"No target")</f>
        <v/>
      </c>
      <c r="AN326" s="81" t="s">
        <v>1099</v>
      </c>
      <c r="AO326" s="81"/>
      <c r="AP326" s="81" t="s">
        <v>1099</v>
      </c>
      <c r="AQ326" s="81" t="s">
        <v>1107</v>
      </c>
    </row>
    <row r="327" spans="1:43" ht="15.95" customHeight="1" x14ac:dyDescent="0.2">
      <c r="A327" s="62" t="s">
        <v>764</v>
      </c>
      <c r="B327" s="63" t="s">
        <v>298</v>
      </c>
      <c r="C327" s="64" t="s">
        <v>299</v>
      </c>
      <c r="D327" s="63" t="s">
        <v>314</v>
      </c>
      <c r="E327" s="64" t="s">
        <v>315</v>
      </c>
      <c r="F327" s="65">
        <v>133964</v>
      </c>
      <c r="G327" s="66" t="s">
        <v>436</v>
      </c>
      <c r="H327" s="71">
        <v>31254</v>
      </c>
      <c r="I327" s="68">
        <v>3</v>
      </c>
      <c r="J327" s="68">
        <v>3</v>
      </c>
      <c r="K327" s="91">
        <v>18752</v>
      </c>
      <c r="L327" s="91">
        <v>9612.3410297887476</v>
      </c>
      <c r="M327" s="91">
        <v>9139.6589702112542</v>
      </c>
      <c r="N327" s="91">
        <v>10313.6</v>
      </c>
      <c r="O327" s="91">
        <v>7313.2800000000007</v>
      </c>
      <c r="P327" s="91">
        <v>1125.1199999999999</v>
      </c>
      <c r="Q327" s="85">
        <v>2812.7999999999997</v>
      </c>
      <c r="R327" s="68" t="s">
        <v>436</v>
      </c>
      <c r="S327" s="86">
        <v>2700</v>
      </c>
      <c r="T327" s="68">
        <v>675</v>
      </c>
      <c r="U327" s="68">
        <v>127</v>
      </c>
      <c r="V327" s="68">
        <v>169</v>
      </c>
      <c r="W327" s="68">
        <v>188</v>
      </c>
      <c r="X327" s="68">
        <v>375</v>
      </c>
      <c r="Y327" s="68">
        <v>563</v>
      </c>
      <c r="Z327" s="68">
        <v>375</v>
      </c>
      <c r="AA327" s="68">
        <v>0</v>
      </c>
      <c r="AB327" s="69">
        <v>56</v>
      </c>
      <c r="AC327" s="69">
        <v>113.00858259811889</v>
      </c>
      <c r="AD327" s="70">
        <f>IFERROR(tblTarget[[#This Row],[Cluster Target]]/tblTarget[[#This Row],[Cluster PiN]],0)</f>
        <v>0.5999872016381903</v>
      </c>
      <c r="AE327" s="79">
        <f>_xlfn.XLOOKUP(tblTarget[[#This Row],[ID]],tblResponse[ID],tblResponse[2024 Projected reached (Dec 2024)])</f>
        <v>67140</v>
      </c>
      <c r="AF327" s="79">
        <f>_xlfn.XLOOKUP(tblTarget[[#This Row],[ID]],tblResponse[ID],tblResponse[2024 Intercluster reached -August RPM])</f>
        <v>31493.324653278134</v>
      </c>
      <c r="AG327" s="79">
        <v>10</v>
      </c>
      <c r="AH327" s="79"/>
      <c r="AI327" s="79"/>
      <c r="AJ327" s="70" t="str">
        <f>IF(tblTarget[[#This Row],[Target to PiN (%)]]&gt;Targ_vs_PiN,"Flagged","")</f>
        <v/>
      </c>
      <c r="AK327" s="69" t="str">
        <f>IF(AND(tblTarget[[#This Row],[Qualifies for exception]]="Flagged",tblTarget[[#This Row],[Target to PiN (%)]]&gt;Targ_severity5),"Flagged","")</f>
        <v/>
      </c>
      <c r="AL327" s="68" t="str">
        <f>IFERROR(IF(AND(tblTarget[[#This Row],[Intercluser Severity]]=4,tblTarget[[#This Row],[Qualifies for exception]]="Flagged",(tblTarget[[#This Row],[Cluster Target]]-tblTarget[[#This Row],[2024 Response capacity up to December]])/tblTarget[[#This Row],[Cluster Target]]&gt;Diff_severity4),"Flagged",""),"No target")</f>
        <v/>
      </c>
      <c r="AM327" s="68" t="str">
        <f>IFERROR(IF(AND(tblTarget[[#This Row],[Intercluser Severity]]=3,tblTarget[[#This Row],[Qualifies for exception]]="Flagged",(tblTarget[[#This Row],[Cluster Target]]-tblTarget[[#This Row],[2024 Response capacity up to December]])/tblTarget[[#This Row],[Cluster Target]]&gt;Diff_severity3),"Flagged",""),"No target")</f>
        <v/>
      </c>
      <c r="AN327" s="81" t="s">
        <v>1099</v>
      </c>
      <c r="AO327" s="81"/>
      <c r="AP327" s="81" t="s">
        <v>1099</v>
      </c>
      <c r="AQ327" s="81" t="s">
        <v>1107</v>
      </c>
    </row>
    <row r="328" spans="1:43" ht="15.95" customHeight="1" x14ac:dyDescent="0.2">
      <c r="A328" s="62" t="s">
        <v>765</v>
      </c>
      <c r="B328" s="63" t="s">
        <v>298</v>
      </c>
      <c r="C328" s="64" t="s">
        <v>299</v>
      </c>
      <c r="D328" s="63" t="s">
        <v>316</v>
      </c>
      <c r="E328" s="64" t="s">
        <v>317</v>
      </c>
      <c r="F328" s="65">
        <v>25648</v>
      </c>
      <c r="G328" s="66" t="s">
        <v>436</v>
      </c>
      <c r="H328" s="71">
        <v>4888</v>
      </c>
      <c r="I328" s="68">
        <v>3</v>
      </c>
      <c r="J328" s="68">
        <v>3</v>
      </c>
      <c r="K328" s="91">
        <v>1955</v>
      </c>
      <c r="L328" s="91">
        <v>997.42081121029196</v>
      </c>
      <c r="M328" s="91">
        <v>957.57918878970804</v>
      </c>
      <c r="N328" s="91">
        <v>1075.25</v>
      </c>
      <c r="O328" s="91">
        <v>762.45</v>
      </c>
      <c r="P328" s="91">
        <v>117.3</v>
      </c>
      <c r="Q328" s="85">
        <v>293.25</v>
      </c>
      <c r="R328" s="68" t="s">
        <v>436</v>
      </c>
      <c r="S328" s="86">
        <v>282</v>
      </c>
      <c r="T328" s="68">
        <v>70</v>
      </c>
      <c r="U328" s="68">
        <v>13</v>
      </c>
      <c r="V328" s="68">
        <v>18</v>
      </c>
      <c r="W328" s="68">
        <v>20</v>
      </c>
      <c r="X328" s="68">
        <v>39</v>
      </c>
      <c r="Y328" s="68">
        <v>59</v>
      </c>
      <c r="Z328" s="68">
        <v>39</v>
      </c>
      <c r="AA328" s="68">
        <v>0</v>
      </c>
      <c r="AB328" s="69">
        <v>6</v>
      </c>
      <c r="AC328" s="69">
        <v>0</v>
      </c>
      <c r="AD328" s="70">
        <f>IFERROR(tblTarget[[#This Row],[Cluster Target]]/tblTarget[[#This Row],[Cluster PiN]],0)</f>
        <v>0.39995908346972175</v>
      </c>
      <c r="AE328" s="79">
        <f>_xlfn.XLOOKUP(tblTarget[[#This Row],[ID]],tblResponse[ID],tblResponse[2024 Projected reached (Dec 2024)])</f>
        <v>24540</v>
      </c>
      <c r="AF328" s="79">
        <f>_xlfn.XLOOKUP(tblTarget[[#This Row],[ID]],tblResponse[ID],tblResponse[2024 Intercluster reached -August RPM])</f>
        <v>33861.625864525478</v>
      </c>
      <c r="AG328" s="79">
        <v>5</v>
      </c>
      <c r="AH328" s="79"/>
      <c r="AI328" s="79"/>
      <c r="AJ328" s="70" t="str">
        <f>IF(tblTarget[[#This Row],[Target to PiN (%)]]&gt;Targ_vs_PiN,"Flagged","")</f>
        <v/>
      </c>
      <c r="AK328" s="69" t="str">
        <f>IF(AND(tblTarget[[#This Row],[Qualifies for exception]]="Flagged",tblTarget[[#This Row],[Target to PiN (%)]]&gt;Targ_severity5),"Flagged","")</f>
        <v/>
      </c>
      <c r="AL328" s="68" t="str">
        <f>IFERROR(IF(AND(tblTarget[[#This Row],[Intercluser Severity]]=4,tblTarget[[#This Row],[Qualifies for exception]]="Flagged",(tblTarget[[#This Row],[Cluster Target]]-tblTarget[[#This Row],[2024 Response capacity up to December]])/tblTarget[[#This Row],[Cluster Target]]&gt;Diff_severity4),"Flagged",""),"No target")</f>
        <v/>
      </c>
      <c r="AM328" s="68" t="str">
        <f>IFERROR(IF(AND(tblTarget[[#This Row],[Intercluser Severity]]=3,tblTarget[[#This Row],[Qualifies for exception]]="Flagged",(tblTarget[[#This Row],[Cluster Target]]-tblTarget[[#This Row],[2024 Response capacity up to December]])/tblTarget[[#This Row],[Cluster Target]]&gt;Diff_severity3),"Flagged",""),"No target")</f>
        <v/>
      </c>
      <c r="AN328" s="81" t="s">
        <v>1099</v>
      </c>
      <c r="AO328" s="81"/>
      <c r="AP328" s="81" t="s">
        <v>1099</v>
      </c>
      <c r="AQ328" s="81" t="s">
        <v>1107</v>
      </c>
    </row>
    <row r="329" spans="1:43" ht="15.95" customHeight="1" x14ac:dyDescent="0.2">
      <c r="A329" s="62" t="s">
        <v>766</v>
      </c>
      <c r="B329" s="63" t="s">
        <v>298</v>
      </c>
      <c r="C329" s="64" t="s">
        <v>299</v>
      </c>
      <c r="D329" s="63" t="s">
        <v>318</v>
      </c>
      <c r="E329" s="64" t="s">
        <v>319</v>
      </c>
      <c r="F329" s="65">
        <v>97820</v>
      </c>
      <c r="G329" s="66" t="s">
        <v>436</v>
      </c>
      <c r="H329" s="71">
        <v>41227</v>
      </c>
      <c r="I329" s="68">
        <v>3</v>
      </c>
      <c r="J329" s="68">
        <v>3</v>
      </c>
      <c r="K329" s="91">
        <v>24736</v>
      </c>
      <c r="L329" s="91">
        <v>12970.588201204837</v>
      </c>
      <c r="M329" s="91">
        <v>11765.411798795163</v>
      </c>
      <c r="N329" s="91">
        <v>13604.800000000001</v>
      </c>
      <c r="O329" s="91">
        <v>9647.0400000000009</v>
      </c>
      <c r="P329" s="91">
        <v>1484.1599999999999</v>
      </c>
      <c r="Q329" s="85">
        <v>3710.3999999999996</v>
      </c>
      <c r="R329" s="68" t="s">
        <v>436</v>
      </c>
      <c r="S329" s="86">
        <v>3562</v>
      </c>
      <c r="T329" s="68">
        <v>890</v>
      </c>
      <c r="U329" s="68">
        <v>167</v>
      </c>
      <c r="V329" s="68">
        <v>223</v>
      </c>
      <c r="W329" s="68">
        <v>247</v>
      </c>
      <c r="X329" s="68">
        <v>495</v>
      </c>
      <c r="Y329" s="68">
        <v>742</v>
      </c>
      <c r="Z329" s="68">
        <v>495</v>
      </c>
      <c r="AA329" s="68">
        <v>0</v>
      </c>
      <c r="AB329" s="69">
        <v>72</v>
      </c>
      <c r="AC329" s="69">
        <v>150.67811013082519</v>
      </c>
      <c r="AD329" s="70">
        <f>IFERROR(tblTarget[[#This Row],[Cluster Target]]/tblTarget[[#This Row],[Cluster PiN]],0)</f>
        <v>0.59999514881024574</v>
      </c>
      <c r="AE329" s="79">
        <f>_xlfn.XLOOKUP(tblTarget[[#This Row],[ID]],tblResponse[ID],tblResponse[2024 Projected reached (Dec 2024)])</f>
        <v>16000</v>
      </c>
      <c r="AF329" s="79">
        <f>_xlfn.XLOOKUP(tblTarget[[#This Row],[ID]],tblResponse[ID],tblResponse[2024 Intercluster reached -August RPM])</f>
        <v>4696.6359121795149</v>
      </c>
      <c r="AG329" s="79">
        <v>6</v>
      </c>
      <c r="AH329" s="79"/>
      <c r="AI329" s="79"/>
      <c r="AJ329" s="70" t="str">
        <f>IF(tblTarget[[#This Row],[Target to PiN (%)]]&gt;Targ_vs_PiN,"Flagged","")</f>
        <v/>
      </c>
      <c r="AK329" s="69" t="str">
        <f>IF(AND(tblTarget[[#This Row],[Qualifies for exception]]="Flagged",tblTarget[[#This Row],[Target to PiN (%)]]&gt;Targ_severity5),"Flagged","")</f>
        <v/>
      </c>
      <c r="AL329" s="68" t="str">
        <f>IFERROR(IF(AND(tblTarget[[#This Row],[Intercluser Severity]]=4,tblTarget[[#This Row],[Qualifies for exception]]="Flagged",(tblTarget[[#This Row],[Cluster Target]]-tblTarget[[#This Row],[2024 Response capacity up to December]])/tblTarget[[#This Row],[Cluster Target]]&gt;Diff_severity4),"Flagged",""),"No target")</f>
        <v/>
      </c>
      <c r="AM329" s="68" t="str">
        <f>IFERROR(IF(AND(tblTarget[[#This Row],[Intercluser Severity]]=3,tblTarget[[#This Row],[Qualifies for exception]]="Flagged",(tblTarget[[#This Row],[Cluster Target]]-tblTarget[[#This Row],[2024 Response capacity up to December]])/tblTarget[[#This Row],[Cluster Target]]&gt;Diff_severity3),"Flagged",""),"No target")</f>
        <v>Flagged</v>
      </c>
      <c r="AN329" s="81" t="s">
        <v>1099</v>
      </c>
      <c r="AO329" s="81"/>
      <c r="AP329" s="81" t="s">
        <v>1099</v>
      </c>
      <c r="AQ329" s="81" t="s">
        <v>1107</v>
      </c>
    </row>
    <row r="330" spans="1:43" ht="15.95" customHeight="1" x14ac:dyDescent="0.2">
      <c r="A330" s="62" t="s">
        <v>767</v>
      </c>
      <c r="B330" s="63" t="s">
        <v>298</v>
      </c>
      <c r="C330" s="64" t="s">
        <v>299</v>
      </c>
      <c r="D330" s="63" t="s">
        <v>320</v>
      </c>
      <c r="E330" s="64" t="s">
        <v>321</v>
      </c>
      <c r="F330" s="65">
        <v>53565</v>
      </c>
      <c r="G330" s="66" t="s">
        <v>436</v>
      </c>
      <c r="H330" s="71">
        <v>2523</v>
      </c>
      <c r="I330" s="68">
        <v>3</v>
      </c>
      <c r="J330" s="68">
        <v>3</v>
      </c>
      <c r="K330" s="91">
        <v>505</v>
      </c>
      <c r="L330" s="91">
        <v>261.77286382504519</v>
      </c>
      <c r="M330" s="91">
        <v>243.22713617495484</v>
      </c>
      <c r="N330" s="91">
        <v>277.75</v>
      </c>
      <c r="O330" s="91">
        <v>196.95000000000002</v>
      </c>
      <c r="P330" s="91">
        <v>30.299999999999997</v>
      </c>
      <c r="Q330" s="85">
        <v>75.75</v>
      </c>
      <c r="R330" s="68" t="s">
        <v>436</v>
      </c>
      <c r="S330" s="86">
        <v>73</v>
      </c>
      <c r="T330" s="68">
        <v>18</v>
      </c>
      <c r="U330" s="68">
        <v>3</v>
      </c>
      <c r="V330" s="68">
        <v>5</v>
      </c>
      <c r="W330" s="68">
        <v>5</v>
      </c>
      <c r="X330" s="68">
        <v>10</v>
      </c>
      <c r="Y330" s="68">
        <v>15</v>
      </c>
      <c r="Z330" s="68">
        <v>10</v>
      </c>
      <c r="AA330" s="68">
        <v>0</v>
      </c>
      <c r="AB330" s="69">
        <v>2</v>
      </c>
      <c r="AC330" s="69">
        <v>0</v>
      </c>
      <c r="AD330" s="70">
        <f>IFERROR(tblTarget[[#This Row],[Cluster Target]]/tblTarget[[#This Row],[Cluster PiN]],0)</f>
        <v>0.20015854141894571</v>
      </c>
      <c r="AE330" s="79">
        <f>_xlfn.XLOOKUP(tblTarget[[#This Row],[ID]],tblResponse[ID],tblResponse[2024 Projected reached (Dec 2024)])</f>
        <v>10455</v>
      </c>
      <c r="AF330" s="79">
        <f>_xlfn.XLOOKUP(tblTarget[[#This Row],[ID]],tblResponse[ID],tblResponse[2024 Intercluster reached -August RPM])</f>
        <v>24487.19539502931</v>
      </c>
      <c r="AG330" s="79">
        <v>2</v>
      </c>
      <c r="AH330" s="79"/>
      <c r="AI330" s="79"/>
      <c r="AJ330" s="70" t="str">
        <f>IF(tblTarget[[#This Row],[Target to PiN (%)]]&gt;Targ_vs_PiN,"Flagged","")</f>
        <v/>
      </c>
      <c r="AK330" s="69" t="str">
        <f>IF(AND(tblTarget[[#This Row],[Qualifies for exception]]="Flagged",tblTarget[[#This Row],[Target to PiN (%)]]&gt;Targ_severity5),"Flagged","")</f>
        <v/>
      </c>
      <c r="AL330" s="68" t="str">
        <f>IFERROR(IF(AND(tblTarget[[#This Row],[Intercluser Severity]]=4,tblTarget[[#This Row],[Qualifies for exception]]="Flagged",(tblTarget[[#This Row],[Cluster Target]]-tblTarget[[#This Row],[2024 Response capacity up to December]])/tblTarget[[#This Row],[Cluster Target]]&gt;Diff_severity4),"Flagged",""),"No target")</f>
        <v/>
      </c>
      <c r="AM330" s="68" t="str">
        <f>IFERROR(IF(AND(tblTarget[[#This Row],[Intercluser Severity]]=3,tblTarget[[#This Row],[Qualifies for exception]]="Flagged",(tblTarget[[#This Row],[Cluster Target]]-tblTarget[[#This Row],[2024 Response capacity up to December]])/tblTarget[[#This Row],[Cluster Target]]&gt;Diff_severity3),"Flagged",""),"No target")</f>
        <v/>
      </c>
      <c r="AN330" s="81" t="s">
        <v>1099</v>
      </c>
      <c r="AO330" s="81"/>
      <c r="AP330" s="81" t="s">
        <v>1099</v>
      </c>
      <c r="AQ330" s="81" t="s">
        <v>1107</v>
      </c>
    </row>
    <row r="331" spans="1:43" ht="15.95" customHeight="1" x14ac:dyDescent="0.2">
      <c r="A331" s="62" t="s">
        <v>768</v>
      </c>
      <c r="B331" s="63" t="s">
        <v>298</v>
      </c>
      <c r="C331" s="64" t="s">
        <v>299</v>
      </c>
      <c r="D331" s="63" t="s">
        <v>322</v>
      </c>
      <c r="E331" s="64" t="s">
        <v>323</v>
      </c>
      <c r="F331" s="65">
        <v>64220</v>
      </c>
      <c r="G331" s="66" t="s">
        <v>436</v>
      </c>
      <c r="H331" s="71">
        <v>37841</v>
      </c>
      <c r="I331" s="68">
        <v>3</v>
      </c>
      <c r="J331" s="68">
        <v>3</v>
      </c>
      <c r="K331" s="91">
        <v>15136</v>
      </c>
      <c r="L331" s="91">
        <v>7841.0461685055461</v>
      </c>
      <c r="M331" s="91">
        <v>7294.953831494453</v>
      </c>
      <c r="N331" s="91">
        <v>8324.8000000000011</v>
      </c>
      <c r="O331" s="91">
        <v>5903.04</v>
      </c>
      <c r="P331" s="91">
        <v>908.16</v>
      </c>
      <c r="Q331" s="85">
        <v>2270.4</v>
      </c>
      <c r="R331" s="68" t="s">
        <v>436</v>
      </c>
      <c r="S331" s="86">
        <v>2180</v>
      </c>
      <c r="T331" s="68">
        <v>545</v>
      </c>
      <c r="U331" s="68">
        <v>102</v>
      </c>
      <c r="V331" s="68">
        <v>136</v>
      </c>
      <c r="W331" s="68">
        <v>151</v>
      </c>
      <c r="X331" s="68">
        <v>303</v>
      </c>
      <c r="Y331" s="68">
        <v>454</v>
      </c>
      <c r="Z331" s="68">
        <v>303</v>
      </c>
      <c r="AA331" s="68">
        <v>0</v>
      </c>
      <c r="AB331" s="69">
        <v>44</v>
      </c>
      <c r="AC331" s="69">
        <v>75.339055065412595</v>
      </c>
      <c r="AD331" s="70">
        <f>IFERROR(tblTarget[[#This Row],[Cluster Target]]/tblTarget[[#This Row],[Cluster PiN]],0)</f>
        <v>0.39998942945482413</v>
      </c>
      <c r="AE331" s="79">
        <f>_xlfn.XLOOKUP(tblTarget[[#This Row],[ID]],tblResponse[ID],tblResponse[2024 Projected reached (Dec 2024)])</f>
        <v>1335</v>
      </c>
      <c r="AF331" s="79">
        <f>_xlfn.XLOOKUP(tblTarget[[#This Row],[ID]],tblResponse[ID],tblResponse[2024 Intercluster reached -August RPM])</f>
        <v>7999.0115645070509</v>
      </c>
      <c r="AG331" s="79">
        <v>2</v>
      </c>
      <c r="AH331" s="79"/>
      <c r="AI331" s="79"/>
      <c r="AJ331" s="70" t="str">
        <f>IF(tblTarget[[#This Row],[Target to PiN (%)]]&gt;Targ_vs_PiN,"Flagged","")</f>
        <v/>
      </c>
      <c r="AK331" s="69" t="str">
        <f>IF(AND(tblTarget[[#This Row],[Qualifies for exception]]="Flagged",tblTarget[[#This Row],[Target to PiN (%)]]&gt;Targ_severity5),"Flagged","")</f>
        <v/>
      </c>
      <c r="AL331" s="68" t="str">
        <f>IFERROR(IF(AND(tblTarget[[#This Row],[Intercluser Severity]]=4,tblTarget[[#This Row],[Qualifies for exception]]="Flagged",(tblTarget[[#This Row],[Cluster Target]]-tblTarget[[#This Row],[2024 Response capacity up to December]])/tblTarget[[#This Row],[Cluster Target]]&gt;Diff_severity4),"Flagged",""),"No target")</f>
        <v/>
      </c>
      <c r="AM331" s="68" t="str">
        <f>IFERROR(IF(AND(tblTarget[[#This Row],[Intercluser Severity]]=3,tblTarget[[#This Row],[Qualifies for exception]]="Flagged",(tblTarget[[#This Row],[Cluster Target]]-tblTarget[[#This Row],[2024 Response capacity up to December]])/tblTarget[[#This Row],[Cluster Target]]&gt;Diff_severity3),"Flagged",""),"No target")</f>
        <v>Flagged</v>
      </c>
      <c r="AN331" s="81" t="s">
        <v>1099</v>
      </c>
      <c r="AO331" s="81"/>
      <c r="AP331" s="81" t="s">
        <v>1099</v>
      </c>
      <c r="AQ331" s="81" t="s">
        <v>1107</v>
      </c>
    </row>
    <row r="332" spans="1:43" ht="15.95" customHeight="1" x14ac:dyDescent="0.2">
      <c r="A332" s="62" t="s">
        <v>769</v>
      </c>
      <c r="B332" s="63" t="s">
        <v>324</v>
      </c>
      <c r="C332" s="64" t="s">
        <v>325</v>
      </c>
      <c r="D332" s="63" t="s">
        <v>326</v>
      </c>
      <c r="E332" s="64" t="s">
        <v>327</v>
      </c>
      <c r="F332" s="65">
        <v>41575</v>
      </c>
      <c r="G332" s="66" t="s">
        <v>436</v>
      </c>
      <c r="H332" s="67">
        <v>22085</v>
      </c>
      <c r="I332" s="68">
        <v>3</v>
      </c>
      <c r="J332" s="68">
        <v>4</v>
      </c>
      <c r="K332" s="91">
        <v>1104</v>
      </c>
      <c r="L332" s="91">
        <v>585.81051881752342</v>
      </c>
      <c r="M332" s="91">
        <v>518.18948118247658</v>
      </c>
      <c r="N332" s="91">
        <v>607.20000000000005</v>
      </c>
      <c r="O332" s="91">
        <v>430.56</v>
      </c>
      <c r="P332" s="91">
        <v>66.239999999999995</v>
      </c>
      <c r="Q332" s="85">
        <v>165.6</v>
      </c>
      <c r="R332" s="68" t="s">
        <v>15</v>
      </c>
      <c r="S332" s="86">
        <v>159</v>
      </c>
      <c r="T332" s="68">
        <v>40</v>
      </c>
      <c r="U332" s="68">
        <v>7</v>
      </c>
      <c r="V332" s="68">
        <v>10</v>
      </c>
      <c r="W332" s="68">
        <v>11</v>
      </c>
      <c r="X332" s="68">
        <v>22</v>
      </c>
      <c r="Y332" s="68">
        <v>33</v>
      </c>
      <c r="Z332" s="68">
        <v>22</v>
      </c>
      <c r="AA332" s="68">
        <v>0</v>
      </c>
      <c r="AB332" s="69">
        <v>4</v>
      </c>
      <c r="AC332" s="69">
        <v>0</v>
      </c>
      <c r="AD332" s="70">
        <f>IFERROR(tblTarget[[#This Row],[Cluster Target]]/tblTarget[[#This Row],[Cluster PiN]],0)</f>
        <v>4.9988680099615122E-2</v>
      </c>
      <c r="AE332" s="79">
        <f>_xlfn.XLOOKUP(tblTarget[[#This Row],[ID]],tblResponse[ID],tblResponse[2024 Projected reached (Dec 2024)])</f>
        <v>0</v>
      </c>
      <c r="AF332" s="79">
        <f>_xlfn.XLOOKUP(tblTarget[[#This Row],[ID]],tblResponse[ID],tblResponse[2024 Intercluster reached -August RPM])</f>
        <v>321.44493296341682</v>
      </c>
      <c r="AG332" s="79">
        <v>1</v>
      </c>
      <c r="AH332" s="79"/>
      <c r="AI332" s="79"/>
      <c r="AJ332" s="70" t="str">
        <f>IF(tblTarget[[#This Row],[Target to PiN (%)]]&gt;Targ_vs_PiN,"Flagged","")</f>
        <v/>
      </c>
      <c r="AK332" s="69" t="str">
        <f>IF(AND(tblTarget[[#This Row],[Qualifies for exception]]="Flagged",tblTarget[[#This Row],[Target to PiN (%)]]&gt;Targ_severity5),"Flagged","")</f>
        <v/>
      </c>
      <c r="AL332" s="68" t="str">
        <f>IFERROR(IF(AND(tblTarget[[#This Row],[Intercluser Severity]]=4,tblTarget[[#This Row],[Qualifies for exception]]="Flagged",(tblTarget[[#This Row],[Cluster Target]]-tblTarget[[#This Row],[2024 Response capacity up to December]])/tblTarget[[#This Row],[Cluster Target]]&gt;Diff_severity4),"Flagged",""),"No target")</f>
        <v/>
      </c>
      <c r="AM332" s="68" t="str">
        <f>IFERROR(IF(AND(tblTarget[[#This Row],[Intercluser Severity]]=3,tblTarget[[#This Row],[Qualifies for exception]]="Flagged",(tblTarget[[#This Row],[Cluster Target]]-tblTarget[[#This Row],[2024 Response capacity up to December]])/tblTarget[[#This Row],[Cluster Target]]&gt;Diff_severity3),"Flagged",""),"No target")</f>
        <v/>
      </c>
      <c r="AN332" s="81" t="s">
        <v>1099</v>
      </c>
      <c r="AO332" s="81"/>
      <c r="AP332" s="81" t="s">
        <v>15</v>
      </c>
      <c r="AQ332" s="81" t="s">
        <v>1098</v>
      </c>
    </row>
    <row r="333" spans="1:43" ht="15.95" customHeight="1" x14ac:dyDescent="0.2">
      <c r="A333" s="62" t="s">
        <v>770</v>
      </c>
      <c r="B333" s="63" t="s">
        <v>324</v>
      </c>
      <c r="C333" s="64" t="s">
        <v>325</v>
      </c>
      <c r="D333" s="63" t="s">
        <v>328</v>
      </c>
      <c r="E333" s="64" t="s">
        <v>329</v>
      </c>
      <c r="F333" s="65">
        <v>45562</v>
      </c>
      <c r="G333" s="66" t="s">
        <v>436</v>
      </c>
      <c r="H333" s="66">
        <v>20879</v>
      </c>
      <c r="I333" s="68">
        <v>3</v>
      </c>
      <c r="J333" s="68">
        <v>4</v>
      </c>
      <c r="K333" s="91">
        <v>8352</v>
      </c>
      <c r="L333" s="91">
        <v>4301.2675501820586</v>
      </c>
      <c r="M333" s="91">
        <v>4050.732449817941</v>
      </c>
      <c r="N333" s="91">
        <v>4593.6000000000004</v>
      </c>
      <c r="O333" s="91">
        <v>3257.28</v>
      </c>
      <c r="P333" s="91">
        <v>501.12</v>
      </c>
      <c r="Q333" s="85">
        <v>1252.8</v>
      </c>
      <c r="R333" s="68" t="s">
        <v>15</v>
      </c>
      <c r="S333" s="86">
        <v>1203</v>
      </c>
      <c r="T333" s="68">
        <v>301</v>
      </c>
      <c r="U333" s="68">
        <v>56</v>
      </c>
      <c r="V333" s="68">
        <v>75</v>
      </c>
      <c r="W333" s="68">
        <v>84</v>
      </c>
      <c r="X333" s="68">
        <v>167</v>
      </c>
      <c r="Y333" s="68">
        <v>251</v>
      </c>
      <c r="Z333" s="68">
        <v>167</v>
      </c>
      <c r="AA333" s="68">
        <v>0</v>
      </c>
      <c r="AB333" s="69">
        <v>24</v>
      </c>
      <c r="AC333" s="69">
        <v>37.669527532706297</v>
      </c>
      <c r="AD333" s="70">
        <f>IFERROR(tblTarget[[#This Row],[Cluster Target]]/tblTarget[[#This Row],[Cluster PiN]],0)</f>
        <v>0.40001915800565163</v>
      </c>
      <c r="AE333" s="79">
        <f>_xlfn.XLOOKUP(tblTarget[[#This Row],[ID]],tblResponse[ID],tblResponse[2024 Projected reached (Dec 2024)])</f>
        <v>9755</v>
      </c>
      <c r="AF333" s="79">
        <f>_xlfn.XLOOKUP(tblTarget[[#This Row],[ID]],tblResponse[ID],tblResponse[2024 Intercluster reached -August RPM])</f>
        <v>12921.74373504094</v>
      </c>
      <c r="AG333" s="79">
        <v>2</v>
      </c>
      <c r="AH333" s="79"/>
      <c r="AI333" s="79"/>
      <c r="AJ333" s="70" t="str">
        <f>IF(tblTarget[[#This Row],[Target to PiN (%)]]&gt;Targ_vs_PiN,"Flagged","")</f>
        <v/>
      </c>
      <c r="AK333" s="69" t="str">
        <f>IF(AND(tblTarget[[#This Row],[Qualifies for exception]]="Flagged",tblTarget[[#This Row],[Target to PiN (%)]]&gt;Targ_severity5),"Flagged","")</f>
        <v/>
      </c>
      <c r="AL333" s="68" t="str">
        <f>IFERROR(IF(AND(tblTarget[[#This Row],[Intercluser Severity]]=4,tblTarget[[#This Row],[Qualifies for exception]]="Flagged",(tblTarget[[#This Row],[Cluster Target]]-tblTarget[[#This Row],[2024 Response capacity up to December]])/tblTarget[[#This Row],[Cluster Target]]&gt;Diff_severity4),"Flagged",""),"No target")</f>
        <v/>
      </c>
      <c r="AM333" s="68" t="str">
        <f>IFERROR(IF(AND(tblTarget[[#This Row],[Intercluser Severity]]=3,tblTarget[[#This Row],[Qualifies for exception]]="Flagged",(tblTarget[[#This Row],[Cluster Target]]-tblTarget[[#This Row],[2024 Response capacity up to December]])/tblTarget[[#This Row],[Cluster Target]]&gt;Diff_severity3),"Flagged",""),"No target")</f>
        <v/>
      </c>
      <c r="AN333" s="81" t="s">
        <v>15</v>
      </c>
      <c r="AO333" s="81"/>
      <c r="AP333" s="81" t="s">
        <v>1099</v>
      </c>
      <c r="AQ333" s="81" t="s">
        <v>1098</v>
      </c>
    </row>
    <row r="334" spans="1:43" ht="15.95" customHeight="1" x14ac:dyDescent="0.2">
      <c r="A334" s="62" t="s">
        <v>771</v>
      </c>
      <c r="B334" s="63" t="s">
        <v>324</v>
      </c>
      <c r="C334" s="64" t="s">
        <v>325</v>
      </c>
      <c r="D334" s="63" t="s">
        <v>330</v>
      </c>
      <c r="E334" s="64" t="s">
        <v>331</v>
      </c>
      <c r="F334" s="65">
        <v>3968</v>
      </c>
      <c r="G334" s="66" t="s">
        <v>436</v>
      </c>
      <c r="H334" s="67">
        <v>1615</v>
      </c>
      <c r="I334" s="68">
        <v>3</v>
      </c>
      <c r="J334" s="68">
        <v>3</v>
      </c>
      <c r="K334" s="91">
        <v>0</v>
      </c>
      <c r="L334" s="91">
        <v>0</v>
      </c>
      <c r="M334" s="91">
        <v>0</v>
      </c>
      <c r="N334" s="91">
        <v>0</v>
      </c>
      <c r="O334" s="91">
        <v>0</v>
      </c>
      <c r="P334" s="91">
        <v>0</v>
      </c>
      <c r="Q334" s="85">
        <v>0</v>
      </c>
      <c r="R334" s="68" t="s">
        <v>436</v>
      </c>
      <c r="S334" s="86">
        <v>0</v>
      </c>
      <c r="T334" s="68">
        <v>0</v>
      </c>
      <c r="U334" s="68">
        <v>0</v>
      </c>
      <c r="V334" s="68">
        <v>0</v>
      </c>
      <c r="W334" s="68">
        <v>0</v>
      </c>
      <c r="X334" s="68">
        <v>0</v>
      </c>
      <c r="Y334" s="68">
        <v>0</v>
      </c>
      <c r="Z334" s="68">
        <v>0</v>
      </c>
      <c r="AA334" s="68">
        <v>0</v>
      </c>
      <c r="AB334" s="69">
        <v>0</v>
      </c>
      <c r="AC334" s="69">
        <v>0</v>
      </c>
      <c r="AD334" s="70">
        <f>IFERROR(tblTarget[[#This Row],[Cluster Target]]/tblTarget[[#This Row],[Cluster PiN]],0)</f>
        <v>0</v>
      </c>
      <c r="AE334" s="79">
        <f>_xlfn.XLOOKUP(tblTarget[[#This Row],[ID]],tblResponse[ID],tblResponse[2024 Projected reached (Dec 2024)])</f>
        <v>0</v>
      </c>
      <c r="AF334" s="79">
        <f>_xlfn.XLOOKUP(tblTarget[[#This Row],[ID]],tblResponse[ID],tblResponse[2024 Intercluster reached -August RPM])</f>
        <v>392.52822630967864</v>
      </c>
      <c r="AG334" s="79">
        <v>1</v>
      </c>
      <c r="AH334" s="79"/>
      <c r="AI334" s="79"/>
      <c r="AJ334" s="70" t="str">
        <f>IF(tblTarget[[#This Row],[Target to PiN (%)]]&gt;Targ_vs_PiN,"Flagged","")</f>
        <v/>
      </c>
      <c r="AK334" s="69" t="str">
        <f>IF(AND(tblTarget[[#This Row],[Qualifies for exception]]="Flagged",tblTarget[[#This Row],[Target to PiN (%)]]&gt;Targ_severity5),"Flagged","")</f>
        <v/>
      </c>
      <c r="AL334" s="68" t="str">
        <f>IFERROR(IF(AND(tblTarget[[#This Row],[Intercluser Severity]]=4,tblTarget[[#This Row],[Qualifies for exception]]="Flagged",(tblTarget[[#This Row],[Cluster Target]]-tblTarget[[#This Row],[2024 Response capacity up to December]])/tblTarget[[#This Row],[Cluster Target]]&gt;Diff_severity4),"Flagged",""),"No target")</f>
        <v>No target</v>
      </c>
      <c r="AM334" s="68" t="str">
        <f>IFERROR(IF(AND(tblTarget[[#This Row],[Intercluser Severity]]=3,tblTarget[[#This Row],[Qualifies for exception]]="Flagged",(tblTarget[[#This Row],[Cluster Target]]-tblTarget[[#This Row],[2024 Response capacity up to December]])/tblTarget[[#This Row],[Cluster Target]]&gt;Diff_severity3),"Flagged",""),"No target")</f>
        <v>No target</v>
      </c>
      <c r="AN334" s="81" t="s">
        <v>1099</v>
      </c>
      <c r="AO334" s="81"/>
      <c r="AP334" s="81" t="s">
        <v>1099</v>
      </c>
      <c r="AQ334" s="81" t="s">
        <v>1107</v>
      </c>
    </row>
    <row r="335" spans="1:43" ht="15.95" customHeight="1" x14ac:dyDescent="0.2">
      <c r="A335" s="62" t="s">
        <v>772</v>
      </c>
      <c r="B335" s="63" t="s">
        <v>324</v>
      </c>
      <c r="C335" s="64" t="s">
        <v>325</v>
      </c>
      <c r="D335" s="63" t="s">
        <v>332</v>
      </c>
      <c r="E335" s="64" t="s">
        <v>333</v>
      </c>
      <c r="F335" s="65">
        <v>32914</v>
      </c>
      <c r="G335" s="66" t="s">
        <v>436</v>
      </c>
      <c r="H335" s="67">
        <v>15093</v>
      </c>
      <c r="I335" s="68">
        <v>3</v>
      </c>
      <c r="J335" s="68">
        <v>4</v>
      </c>
      <c r="K335" s="91">
        <v>755</v>
      </c>
      <c r="L335" s="91">
        <v>402.91490054945871</v>
      </c>
      <c r="M335" s="91">
        <v>352.08509945054135</v>
      </c>
      <c r="N335" s="91">
        <v>415.25000000000006</v>
      </c>
      <c r="O335" s="91">
        <v>294.45</v>
      </c>
      <c r="P335" s="91">
        <v>45.3</v>
      </c>
      <c r="Q335" s="85">
        <v>113.25</v>
      </c>
      <c r="R335" s="68" t="s">
        <v>436</v>
      </c>
      <c r="S335" s="86">
        <v>109</v>
      </c>
      <c r="T335" s="68">
        <v>27</v>
      </c>
      <c r="U335" s="68">
        <v>5</v>
      </c>
      <c r="V335" s="68">
        <v>7</v>
      </c>
      <c r="W335" s="68">
        <v>8</v>
      </c>
      <c r="X335" s="68">
        <v>15</v>
      </c>
      <c r="Y335" s="68">
        <v>23</v>
      </c>
      <c r="Z335" s="68">
        <v>15</v>
      </c>
      <c r="AA335" s="68">
        <v>0</v>
      </c>
      <c r="AB335" s="69">
        <v>2</v>
      </c>
      <c r="AC335" s="69">
        <v>0</v>
      </c>
      <c r="AD335" s="70">
        <f>IFERROR(tblTarget[[#This Row],[Cluster Target]]/tblTarget[[#This Row],[Cluster PiN]],0)</f>
        <v>5.0023189558073278E-2</v>
      </c>
      <c r="AE335" s="79">
        <f>_xlfn.XLOOKUP(tblTarget[[#This Row],[ID]],tblResponse[ID],tblResponse[2024 Projected reached (Dec 2024)])</f>
        <v>0</v>
      </c>
      <c r="AF335" s="79">
        <f>_xlfn.XLOOKUP(tblTarget[[#This Row],[ID]],tblResponse[ID],tblResponse[2024 Intercluster reached -August RPM])</f>
        <v>5709.5014735953255</v>
      </c>
      <c r="AG335" s="79">
        <v>1</v>
      </c>
      <c r="AH335" s="79"/>
      <c r="AI335" s="79"/>
      <c r="AJ335" s="70" t="str">
        <f>IF(tblTarget[[#This Row],[Target to PiN (%)]]&gt;Targ_vs_PiN,"Flagged","")</f>
        <v/>
      </c>
      <c r="AK335" s="69" t="str">
        <f>IF(AND(tblTarget[[#This Row],[Qualifies for exception]]="Flagged",tblTarget[[#This Row],[Target to PiN (%)]]&gt;Targ_severity5),"Flagged","")</f>
        <v/>
      </c>
      <c r="AL335" s="68" t="str">
        <f>IFERROR(IF(AND(tblTarget[[#This Row],[Intercluser Severity]]=4,tblTarget[[#This Row],[Qualifies for exception]]="Flagged",(tblTarget[[#This Row],[Cluster Target]]-tblTarget[[#This Row],[2024 Response capacity up to December]])/tblTarget[[#This Row],[Cluster Target]]&gt;Diff_severity4),"Flagged",""),"No target")</f>
        <v>Flagged</v>
      </c>
      <c r="AM335" s="68" t="str">
        <f>IFERROR(IF(AND(tblTarget[[#This Row],[Intercluser Severity]]=3,tblTarget[[#This Row],[Qualifies for exception]]="Flagged",(tblTarget[[#This Row],[Cluster Target]]-tblTarget[[#This Row],[2024 Response capacity up to December]])/tblTarget[[#This Row],[Cluster Target]]&gt;Diff_severity3),"Flagged",""),"No target")</f>
        <v/>
      </c>
      <c r="AN335" s="81" t="s">
        <v>1099</v>
      </c>
      <c r="AO335" s="81"/>
      <c r="AP335" s="81" t="s">
        <v>1099</v>
      </c>
      <c r="AQ335" s="81" t="s">
        <v>1107</v>
      </c>
    </row>
    <row r="336" spans="1:43" ht="15.95" customHeight="1" x14ac:dyDescent="0.2">
      <c r="A336" s="62" t="s">
        <v>773</v>
      </c>
      <c r="B336" s="63" t="s">
        <v>324</v>
      </c>
      <c r="C336" s="64" t="s">
        <v>325</v>
      </c>
      <c r="D336" s="63" t="s">
        <v>334</v>
      </c>
      <c r="E336" s="64" t="s">
        <v>335</v>
      </c>
      <c r="F336" s="65">
        <v>7418</v>
      </c>
      <c r="G336" s="66" t="s">
        <v>436</v>
      </c>
      <c r="H336" s="67">
        <v>4567</v>
      </c>
      <c r="I336" s="68">
        <v>3</v>
      </c>
      <c r="J336" s="68">
        <v>3</v>
      </c>
      <c r="K336" s="91">
        <v>0</v>
      </c>
      <c r="L336" s="91">
        <v>0</v>
      </c>
      <c r="M336" s="91">
        <v>0</v>
      </c>
      <c r="N336" s="91">
        <v>0</v>
      </c>
      <c r="O336" s="91">
        <v>0</v>
      </c>
      <c r="P336" s="91">
        <v>0</v>
      </c>
      <c r="Q336" s="85">
        <v>0</v>
      </c>
      <c r="R336" s="68" t="s">
        <v>436</v>
      </c>
      <c r="S336" s="86">
        <v>0</v>
      </c>
      <c r="T336" s="68">
        <v>0</v>
      </c>
      <c r="U336" s="68">
        <v>0</v>
      </c>
      <c r="V336" s="68">
        <v>0</v>
      </c>
      <c r="W336" s="68">
        <v>0</v>
      </c>
      <c r="X336" s="68">
        <v>0</v>
      </c>
      <c r="Y336" s="68">
        <v>0</v>
      </c>
      <c r="Z336" s="68">
        <v>0</v>
      </c>
      <c r="AA336" s="68">
        <v>0</v>
      </c>
      <c r="AB336" s="69">
        <v>0</v>
      </c>
      <c r="AC336" s="69">
        <v>0</v>
      </c>
      <c r="AD336" s="70">
        <f>IFERROR(tblTarget[[#This Row],[Cluster Target]]/tblTarget[[#This Row],[Cluster PiN]],0)</f>
        <v>0</v>
      </c>
      <c r="AE336" s="79">
        <f>_xlfn.XLOOKUP(tblTarget[[#This Row],[ID]],tblResponse[ID],tblResponse[2024 Projected reached (Dec 2024)])</f>
        <v>0</v>
      </c>
      <c r="AF336" s="79">
        <f>_xlfn.XLOOKUP(tblTarget[[#This Row],[ID]],tblResponse[ID],tblResponse[2024 Intercluster reached -August RPM])</f>
        <v>0</v>
      </c>
      <c r="AG336" s="79">
        <v>1</v>
      </c>
      <c r="AH336" s="79"/>
      <c r="AI336" s="79"/>
      <c r="AJ336" s="70" t="str">
        <f>IF(tblTarget[[#This Row],[Target to PiN (%)]]&gt;Targ_vs_PiN,"Flagged","")</f>
        <v/>
      </c>
      <c r="AK336" s="69" t="str">
        <f>IF(AND(tblTarget[[#This Row],[Qualifies for exception]]="Flagged",tblTarget[[#This Row],[Target to PiN (%)]]&gt;Targ_severity5),"Flagged","")</f>
        <v/>
      </c>
      <c r="AL336" s="68" t="str">
        <f>IFERROR(IF(AND(tblTarget[[#This Row],[Intercluser Severity]]=4,tblTarget[[#This Row],[Qualifies for exception]]="Flagged",(tblTarget[[#This Row],[Cluster Target]]-tblTarget[[#This Row],[2024 Response capacity up to December]])/tblTarget[[#This Row],[Cluster Target]]&gt;Diff_severity4),"Flagged",""),"No target")</f>
        <v>No target</v>
      </c>
      <c r="AM336" s="68" t="str">
        <f>IFERROR(IF(AND(tblTarget[[#This Row],[Intercluser Severity]]=3,tblTarget[[#This Row],[Qualifies for exception]]="Flagged",(tblTarget[[#This Row],[Cluster Target]]-tblTarget[[#This Row],[2024 Response capacity up to December]])/tblTarget[[#This Row],[Cluster Target]]&gt;Diff_severity3),"Flagged",""),"No target")</f>
        <v>No target</v>
      </c>
      <c r="AN336" s="81" t="s">
        <v>1099</v>
      </c>
      <c r="AO336" s="81"/>
      <c r="AP336" s="81" t="s">
        <v>1099</v>
      </c>
      <c r="AQ336" s="81" t="s">
        <v>1107</v>
      </c>
    </row>
    <row r="337" spans="1:43" ht="15.95" customHeight="1" x14ac:dyDescent="0.2">
      <c r="A337" s="62" t="s">
        <v>774</v>
      </c>
      <c r="B337" s="63" t="s">
        <v>324</v>
      </c>
      <c r="C337" s="64" t="s">
        <v>325</v>
      </c>
      <c r="D337" s="63" t="s">
        <v>336</v>
      </c>
      <c r="E337" s="64" t="s">
        <v>337</v>
      </c>
      <c r="F337" s="65">
        <v>15156</v>
      </c>
      <c r="G337" s="66" t="s">
        <v>436</v>
      </c>
      <c r="H337" s="67">
        <v>4374</v>
      </c>
      <c r="I337" s="68">
        <v>3</v>
      </c>
      <c r="J337" s="68">
        <v>4</v>
      </c>
      <c r="K337" s="91">
        <v>219</v>
      </c>
      <c r="L337" s="91">
        <v>118.57922825670339</v>
      </c>
      <c r="M337" s="91">
        <v>100.42077174329661</v>
      </c>
      <c r="N337" s="91">
        <v>120.45</v>
      </c>
      <c r="O337" s="91">
        <v>85.41</v>
      </c>
      <c r="P337" s="91">
        <v>13.139999999999999</v>
      </c>
      <c r="Q337" s="85">
        <v>32.85</v>
      </c>
      <c r="R337" s="68" t="s">
        <v>436</v>
      </c>
      <c r="S337" s="86">
        <v>32</v>
      </c>
      <c r="T337" s="68">
        <v>8</v>
      </c>
      <c r="U337" s="68">
        <v>1</v>
      </c>
      <c r="V337" s="68">
        <v>2</v>
      </c>
      <c r="W337" s="68">
        <v>2</v>
      </c>
      <c r="X337" s="68">
        <v>4</v>
      </c>
      <c r="Y337" s="68">
        <v>7</v>
      </c>
      <c r="Z337" s="68">
        <v>4</v>
      </c>
      <c r="AA337" s="68">
        <v>0</v>
      </c>
      <c r="AB337" s="69">
        <v>0</v>
      </c>
      <c r="AC337" s="69">
        <v>0</v>
      </c>
      <c r="AD337" s="70">
        <f>IFERROR(tblTarget[[#This Row],[Cluster Target]]/tblTarget[[#This Row],[Cluster PiN]],0)</f>
        <v>5.0068587105624146E-2</v>
      </c>
      <c r="AE337" s="79">
        <f>_xlfn.XLOOKUP(tblTarget[[#This Row],[ID]],tblResponse[ID],tblResponse[2024 Projected reached (Dec 2024)])</f>
        <v>0</v>
      </c>
      <c r="AF337" s="79">
        <f>_xlfn.XLOOKUP(tblTarget[[#This Row],[ID]],tblResponse[ID],tblResponse[2024 Intercluster reached -August RPM])</f>
        <v>6660.1334689489468</v>
      </c>
      <c r="AG337" s="79">
        <v>1</v>
      </c>
      <c r="AH337" s="79"/>
      <c r="AI337" s="79"/>
      <c r="AJ337" s="70" t="str">
        <f>IF(tblTarget[[#This Row],[Target to PiN (%)]]&gt;Targ_vs_PiN,"Flagged","")</f>
        <v/>
      </c>
      <c r="AK337" s="69" t="str">
        <f>IF(AND(tblTarget[[#This Row],[Qualifies for exception]]="Flagged",tblTarget[[#This Row],[Target to PiN (%)]]&gt;Targ_severity5),"Flagged","")</f>
        <v/>
      </c>
      <c r="AL337" s="68" t="str">
        <f>IFERROR(IF(AND(tblTarget[[#This Row],[Intercluser Severity]]=4,tblTarget[[#This Row],[Qualifies for exception]]="Flagged",(tblTarget[[#This Row],[Cluster Target]]-tblTarget[[#This Row],[2024 Response capacity up to December]])/tblTarget[[#This Row],[Cluster Target]]&gt;Diff_severity4),"Flagged",""),"No target")</f>
        <v>Flagged</v>
      </c>
      <c r="AM337" s="68" t="str">
        <f>IFERROR(IF(AND(tblTarget[[#This Row],[Intercluser Severity]]=3,tblTarget[[#This Row],[Qualifies for exception]]="Flagged",(tblTarget[[#This Row],[Cluster Target]]-tblTarget[[#This Row],[2024 Response capacity up to December]])/tblTarget[[#This Row],[Cluster Target]]&gt;Diff_severity3),"Flagged",""),"No target")</f>
        <v/>
      </c>
      <c r="AN337" s="81" t="s">
        <v>1099</v>
      </c>
      <c r="AO337" s="81"/>
      <c r="AP337" s="81" t="s">
        <v>1099</v>
      </c>
      <c r="AQ337" s="81" t="s">
        <v>1107</v>
      </c>
    </row>
    <row r="338" spans="1:43" ht="15.95" customHeight="1" x14ac:dyDescent="0.2">
      <c r="A338" s="62" t="s">
        <v>775</v>
      </c>
      <c r="B338" s="63" t="s">
        <v>324</v>
      </c>
      <c r="C338" s="64" t="s">
        <v>325</v>
      </c>
      <c r="D338" s="63" t="s">
        <v>338</v>
      </c>
      <c r="E338" s="64" t="s">
        <v>339</v>
      </c>
      <c r="F338" s="65">
        <v>8097</v>
      </c>
      <c r="G338" s="66" t="s">
        <v>436</v>
      </c>
      <c r="H338" s="67">
        <v>2508</v>
      </c>
      <c r="I338" s="68">
        <v>3</v>
      </c>
      <c r="J338" s="68">
        <v>4</v>
      </c>
      <c r="K338" s="91">
        <v>125</v>
      </c>
      <c r="L338" s="91">
        <v>66.811636914786135</v>
      </c>
      <c r="M338" s="91">
        <v>58.188363085213879</v>
      </c>
      <c r="N338" s="91">
        <v>68.75</v>
      </c>
      <c r="O338" s="91">
        <v>48.75</v>
      </c>
      <c r="P338" s="91">
        <v>7.5</v>
      </c>
      <c r="Q338" s="85">
        <v>18.75</v>
      </c>
      <c r="R338" s="68" t="s">
        <v>436</v>
      </c>
      <c r="S338" s="86">
        <v>18</v>
      </c>
      <c r="T338" s="68">
        <v>5</v>
      </c>
      <c r="U338" s="68">
        <v>1</v>
      </c>
      <c r="V338" s="68">
        <v>1</v>
      </c>
      <c r="W338" s="68">
        <v>1</v>
      </c>
      <c r="X338" s="68">
        <v>3</v>
      </c>
      <c r="Y338" s="68">
        <v>4</v>
      </c>
      <c r="Z338" s="68">
        <v>3</v>
      </c>
      <c r="AA338" s="68">
        <v>0</v>
      </c>
      <c r="AB338" s="69">
        <v>0</v>
      </c>
      <c r="AC338" s="69">
        <v>0</v>
      </c>
      <c r="AD338" s="70">
        <f>IFERROR(tblTarget[[#This Row],[Cluster Target]]/tblTarget[[#This Row],[Cluster PiN]],0)</f>
        <v>4.9840510366826157E-2</v>
      </c>
      <c r="AE338" s="79">
        <f>_xlfn.XLOOKUP(tblTarget[[#This Row],[ID]],tblResponse[ID],tblResponse[2024 Projected reached (Dec 2024)])</f>
        <v>0</v>
      </c>
      <c r="AF338" s="79">
        <f>_xlfn.XLOOKUP(tblTarget[[#This Row],[ID]],tblResponse[ID],tblResponse[2024 Intercluster reached -August RPM])</f>
        <v>351.13434062611253</v>
      </c>
      <c r="AG338" s="79">
        <v>1</v>
      </c>
      <c r="AH338" s="79"/>
      <c r="AI338" s="79"/>
      <c r="AJ338" s="70" t="str">
        <f>IF(tblTarget[[#This Row],[Target to PiN (%)]]&gt;Targ_vs_PiN,"Flagged","")</f>
        <v/>
      </c>
      <c r="AK338" s="69" t="str">
        <f>IF(AND(tblTarget[[#This Row],[Qualifies for exception]]="Flagged",tblTarget[[#This Row],[Target to PiN (%)]]&gt;Targ_severity5),"Flagged","")</f>
        <v/>
      </c>
      <c r="AL338" s="68" t="str">
        <f>IFERROR(IF(AND(tblTarget[[#This Row],[Intercluser Severity]]=4,tblTarget[[#This Row],[Qualifies for exception]]="Flagged",(tblTarget[[#This Row],[Cluster Target]]-tblTarget[[#This Row],[2024 Response capacity up to December]])/tblTarget[[#This Row],[Cluster Target]]&gt;Diff_severity4),"Flagged",""),"No target")</f>
        <v>Flagged</v>
      </c>
      <c r="AM338" s="68" t="str">
        <f>IFERROR(IF(AND(tblTarget[[#This Row],[Intercluser Severity]]=3,tblTarget[[#This Row],[Qualifies for exception]]="Flagged",(tblTarget[[#This Row],[Cluster Target]]-tblTarget[[#This Row],[2024 Response capacity up to December]])/tblTarget[[#This Row],[Cluster Target]]&gt;Diff_severity3),"Flagged",""),"No target")</f>
        <v/>
      </c>
      <c r="AN338" s="81" t="s">
        <v>1099</v>
      </c>
      <c r="AO338" s="81"/>
      <c r="AP338" s="81" t="s">
        <v>1099</v>
      </c>
      <c r="AQ338" s="81" t="s">
        <v>1107</v>
      </c>
    </row>
    <row r="339" spans="1:43" ht="15.95" customHeight="1" x14ac:dyDescent="0.2">
      <c r="A339" s="62" t="s">
        <v>776</v>
      </c>
      <c r="B339" s="63" t="s">
        <v>324</v>
      </c>
      <c r="C339" s="64" t="s">
        <v>325</v>
      </c>
      <c r="D339" s="63" t="s">
        <v>322</v>
      </c>
      <c r="E339" s="64" t="s">
        <v>340</v>
      </c>
      <c r="F339" s="65">
        <v>42037</v>
      </c>
      <c r="G339" s="66" t="s">
        <v>436</v>
      </c>
      <c r="H339" s="67">
        <v>17668</v>
      </c>
      <c r="I339" s="68">
        <v>3</v>
      </c>
      <c r="J339" s="68">
        <v>5</v>
      </c>
      <c r="K339" s="91">
        <v>1059.5999999999999</v>
      </c>
      <c r="L339" s="91">
        <v>561.96708138822578</v>
      </c>
      <c r="M339" s="91">
        <v>497.63291861177413</v>
      </c>
      <c r="N339" s="91">
        <v>582.78</v>
      </c>
      <c r="O339" s="91">
        <v>413.24399999999997</v>
      </c>
      <c r="P339" s="91">
        <v>63.575999999999993</v>
      </c>
      <c r="Q339" s="85">
        <v>158.93999999999997</v>
      </c>
      <c r="R339" s="68" t="s">
        <v>15</v>
      </c>
      <c r="S339" s="86">
        <v>153</v>
      </c>
      <c r="T339" s="68">
        <v>38</v>
      </c>
      <c r="U339" s="68">
        <v>7</v>
      </c>
      <c r="V339" s="68">
        <v>10</v>
      </c>
      <c r="W339" s="68">
        <v>11</v>
      </c>
      <c r="X339" s="68">
        <v>21</v>
      </c>
      <c r="Y339" s="68">
        <v>32</v>
      </c>
      <c r="Z339" s="68">
        <v>21</v>
      </c>
      <c r="AA339" s="68">
        <v>0</v>
      </c>
      <c r="AB339" s="69">
        <v>4</v>
      </c>
      <c r="AC339" s="69">
        <v>0</v>
      </c>
      <c r="AD339" s="70">
        <f>IFERROR(tblTarget[[#This Row],[Cluster Target]]/tblTarget[[#This Row],[Cluster PiN]],0)</f>
        <v>5.997283223907629E-2</v>
      </c>
      <c r="AE339" s="79">
        <f>_xlfn.XLOOKUP(tblTarget[[#This Row],[ID]],tblResponse[ID],tblResponse[2024 Projected reached (Dec 2024)])</f>
        <v>0</v>
      </c>
      <c r="AF339" s="79">
        <f>_xlfn.XLOOKUP(tblTarget[[#This Row],[ID]],tblResponse[ID],tblResponse[2024 Intercluster reached -August RPM])</f>
        <v>10534.030218783375</v>
      </c>
      <c r="AG339" s="79">
        <v>0</v>
      </c>
      <c r="AH339" s="79"/>
      <c r="AI339" s="79"/>
      <c r="AJ339" s="70" t="str">
        <f>IF(tblTarget[[#This Row],[Target to PiN (%)]]&gt;Targ_vs_PiN,"Flagged","")</f>
        <v/>
      </c>
      <c r="AK339" s="69" t="str">
        <f>IF(AND(tblTarget[[#This Row],[Qualifies for exception]]="Flagged",tblTarget[[#This Row],[Target to PiN (%)]]&gt;Targ_severity5),"Flagged","")</f>
        <v/>
      </c>
      <c r="AL339" s="68" t="str">
        <f>IFERROR(IF(AND(tblTarget[[#This Row],[Intercluser Severity]]=4,tblTarget[[#This Row],[Qualifies for exception]]="Flagged",(tblTarget[[#This Row],[Cluster Target]]-tblTarget[[#This Row],[2024 Response capacity up to December]])/tblTarget[[#This Row],[Cluster Target]]&gt;Diff_severity4),"Flagged",""),"No target")</f>
        <v/>
      </c>
      <c r="AM339" s="68" t="str">
        <f>IFERROR(IF(AND(tblTarget[[#This Row],[Intercluser Severity]]=3,tblTarget[[#This Row],[Qualifies for exception]]="Flagged",(tblTarget[[#This Row],[Cluster Target]]-tblTarget[[#This Row],[2024 Response capacity up to December]])/tblTarget[[#This Row],[Cluster Target]]&gt;Diff_severity3),"Flagged",""),"No target")</f>
        <v/>
      </c>
      <c r="AN339" s="81" t="s">
        <v>1099</v>
      </c>
      <c r="AO339" s="81"/>
      <c r="AP339" s="81" t="s">
        <v>1099</v>
      </c>
      <c r="AQ339" s="81" t="s">
        <v>1098</v>
      </c>
    </row>
    <row r="340" spans="1:43" ht="15.95" customHeight="1" x14ac:dyDescent="0.2">
      <c r="A340" s="62" t="s">
        <v>777</v>
      </c>
      <c r="B340" s="63" t="s">
        <v>341</v>
      </c>
      <c r="C340" s="64" t="s">
        <v>342</v>
      </c>
      <c r="D340" s="63" t="s">
        <v>343</v>
      </c>
      <c r="E340" s="64" t="s">
        <v>344</v>
      </c>
      <c r="F340" s="65">
        <v>50273</v>
      </c>
      <c r="G340" s="66" t="s">
        <v>436</v>
      </c>
      <c r="H340" s="67">
        <v>2289</v>
      </c>
      <c r="I340" s="68">
        <v>3</v>
      </c>
      <c r="J340" s="68">
        <v>3</v>
      </c>
      <c r="K340" s="91">
        <v>114</v>
      </c>
      <c r="L340" s="91">
        <v>58.431553195113267</v>
      </c>
      <c r="M340" s="91">
        <v>55.568446804886733</v>
      </c>
      <c r="N340" s="91">
        <v>62.7</v>
      </c>
      <c r="O340" s="91">
        <v>44.46</v>
      </c>
      <c r="P340" s="91">
        <v>6.84</v>
      </c>
      <c r="Q340" s="85">
        <v>17.099999999999998</v>
      </c>
      <c r="R340" s="68" t="s">
        <v>436</v>
      </c>
      <c r="S340" s="86">
        <v>16</v>
      </c>
      <c r="T340" s="68">
        <v>4</v>
      </c>
      <c r="U340" s="68">
        <v>1</v>
      </c>
      <c r="V340" s="68">
        <v>1</v>
      </c>
      <c r="W340" s="68">
        <v>1</v>
      </c>
      <c r="X340" s="68">
        <v>2</v>
      </c>
      <c r="Y340" s="68">
        <v>3</v>
      </c>
      <c r="Z340" s="68">
        <v>2</v>
      </c>
      <c r="AA340" s="68">
        <v>0</v>
      </c>
      <c r="AB340" s="69">
        <v>0</v>
      </c>
      <c r="AC340" s="69">
        <v>0</v>
      </c>
      <c r="AD340" s="70">
        <f>IFERROR(tblTarget[[#This Row],[Cluster Target]]/tblTarget[[#This Row],[Cluster PiN]],0)</f>
        <v>4.9803407601572737E-2</v>
      </c>
      <c r="AE340" s="79">
        <f>_xlfn.XLOOKUP(tblTarget[[#This Row],[ID]],tblResponse[ID],tblResponse[2024 Projected reached (Dec 2024)])</f>
        <v>5365</v>
      </c>
      <c r="AF340" s="79">
        <f>_xlfn.XLOOKUP(tblTarget[[#This Row],[ID]],tblResponse[ID],tblResponse[2024 Intercluster reached -August RPM])</f>
        <v>28262.03229429686</v>
      </c>
      <c r="AG340" s="79">
        <v>3</v>
      </c>
      <c r="AH340" s="79"/>
      <c r="AI340" s="79"/>
      <c r="AJ340" s="70" t="str">
        <f>IF(tblTarget[[#This Row],[Target to PiN (%)]]&gt;Targ_vs_PiN,"Flagged","")</f>
        <v/>
      </c>
      <c r="AK340" s="69" t="str">
        <f>IF(AND(tblTarget[[#This Row],[Qualifies for exception]]="Flagged",tblTarget[[#This Row],[Target to PiN (%)]]&gt;Targ_severity5),"Flagged","")</f>
        <v/>
      </c>
      <c r="AL340" s="68" t="str">
        <f>IFERROR(IF(AND(tblTarget[[#This Row],[Intercluser Severity]]=4,tblTarget[[#This Row],[Qualifies for exception]]="Flagged",(tblTarget[[#This Row],[Cluster Target]]-tblTarget[[#This Row],[2024 Response capacity up to December]])/tblTarget[[#This Row],[Cluster Target]]&gt;Diff_severity4),"Flagged",""),"No target")</f>
        <v/>
      </c>
      <c r="AM340" s="68" t="str">
        <f>IFERROR(IF(AND(tblTarget[[#This Row],[Intercluser Severity]]=3,tblTarget[[#This Row],[Qualifies for exception]]="Flagged",(tblTarget[[#This Row],[Cluster Target]]-tblTarget[[#This Row],[2024 Response capacity up to December]])/tblTarget[[#This Row],[Cluster Target]]&gt;Diff_severity3),"Flagged",""),"No target")</f>
        <v/>
      </c>
      <c r="AN340" s="81" t="s">
        <v>1099</v>
      </c>
      <c r="AO340" s="81"/>
      <c r="AP340" s="81" t="s">
        <v>1099</v>
      </c>
      <c r="AQ340" s="81" t="s">
        <v>1107</v>
      </c>
    </row>
    <row r="341" spans="1:43" ht="15.95" customHeight="1" x14ac:dyDescent="0.2">
      <c r="A341" s="62" t="s">
        <v>778</v>
      </c>
      <c r="B341" s="63" t="s">
        <v>341</v>
      </c>
      <c r="C341" s="64" t="s">
        <v>342</v>
      </c>
      <c r="D341" s="63" t="s">
        <v>341</v>
      </c>
      <c r="E341" s="64" t="s">
        <v>345</v>
      </c>
      <c r="F341" s="65">
        <v>146662</v>
      </c>
      <c r="G341" s="66" t="s">
        <v>436</v>
      </c>
      <c r="H341" s="67">
        <v>26711</v>
      </c>
      <c r="I341" s="68">
        <v>4</v>
      </c>
      <c r="J341" s="68">
        <v>4</v>
      </c>
      <c r="K341" s="91">
        <v>2671</v>
      </c>
      <c r="L341" s="91">
        <v>1405.3415306834154</v>
      </c>
      <c r="M341" s="91">
        <v>1265.6584693165846</v>
      </c>
      <c r="N341" s="91">
        <v>1469.0500000000002</v>
      </c>
      <c r="O341" s="91">
        <v>1041.69</v>
      </c>
      <c r="P341" s="91">
        <v>160.26</v>
      </c>
      <c r="Q341" s="85">
        <v>400.65</v>
      </c>
      <c r="R341" s="68" t="s">
        <v>436</v>
      </c>
      <c r="S341" s="86">
        <v>385</v>
      </c>
      <c r="T341" s="68">
        <v>96</v>
      </c>
      <c r="U341" s="68">
        <v>18</v>
      </c>
      <c r="V341" s="68">
        <v>24</v>
      </c>
      <c r="W341" s="68">
        <v>27</v>
      </c>
      <c r="X341" s="68">
        <v>53</v>
      </c>
      <c r="Y341" s="68">
        <v>80</v>
      </c>
      <c r="Z341" s="68">
        <v>53</v>
      </c>
      <c r="AA341" s="68">
        <v>0</v>
      </c>
      <c r="AB341" s="69">
        <v>8</v>
      </c>
      <c r="AC341" s="69">
        <v>0</v>
      </c>
      <c r="AD341" s="70">
        <f>IFERROR(tblTarget[[#This Row],[Cluster Target]]/tblTarget[[#This Row],[Cluster PiN]],0)</f>
        <v>9.9996256224027552E-2</v>
      </c>
      <c r="AE341" s="79">
        <f>_xlfn.XLOOKUP(tblTarget[[#This Row],[ID]],tblResponse[ID],tblResponse[2024 Projected reached (Dec 2024)])</f>
        <v>28975</v>
      </c>
      <c r="AF341" s="79">
        <f>_xlfn.XLOOKUP(tblTarget[[#This Row],[ID]],tblResponse[ID],tblResponse[2024 Intercluster reached -August RPM])</f>
        <v>55327.924029875503</v>
      </c>
      <c r="AG341" s="79">
        <v>4</v>
      </c>
      <c r="AH341" s="79"/>
      <c r="AI341" s="79"/>
      <c r="AJ341" s="70" t="str">
        <f>IF(tblTarget[[#This Row],[Target to PiN (%)]]&gt;Targ_vs_PiN,"Flagged","")</f>
        <v/>
      </c>
      <c r="AK341" s="69" t="str">
        <f>IF(AND(tblTarget[[#This Row],[Qualifies for exception]]="Flagged",tblTarget[[#This Row],[Target to PiN (%)]]&gt;Targ_severity5),"Flagged","")</f>
        <v/>
      </c>
      <c r="AL341" s="68" t="str">
        <f>IFERROR(IF(AND(tblTarget[[#This Row],[Intercluser Severity]]=4,tblTarget[[#This Row],[Qualifies for exception]]="Flagged",(tblTarget[[#This Row],[Cluster Target]]-tblTarget[[#This Row],[2024 Response capacity up to December]])/tblTarget[[#This Row],[Cluster Target]]&gt;Diff_severity4),"Flagged",""),"No target")</f>
        <v/>
      </c>
      <c r="AM341" s="68" t="str">
        <f>IFERROR(IF(AND(tblTarget[[#This Row],[Intercluser Severity]]=3,tblTarget[[#This Row],[Qualifies for exception]]="Flagged",(tblTarget[[#This Row],[Cluster Target]]-tblTarget[[#This Row],[2024 Response capacity up to December]])/tblTarget[[#This Row],[Cluster Target]]&gt;Diff_severity3),"Flagged",""),"No target")</f>
        <v/>
      </c>
      <c r="AN341" s="81" t="s">
        <v>1099</v>
      </c>
      <c r="AO341" s="81"/>
      <c r="AP341" s="81" t="s">
        <v>1099</v>
      </c>
      <c r="AQ341" s="81" t="s">
        <v>1107</v>
      </c>
    </row>
    <row r="342" spans="1:43" ht="15.95" customHeight="1" x14ac:dyDescent="0.2">
      <c r="A342" s="62" t="s">
        <v>779</v>
      </c>
      <c r="B342" s="63" t="s">
        <v>341</v>
      </c>
      <c r="C342" s="64" t="s">
        <v>342</v>
      </c>
      <c r="D342" s="63" t="s">
        <v>346</v>
      </c>
      <c r="E342" s="64" t="s">
        <v>347</v>
      </c>
      <c r="F342" s="65">
        <v>64062</v>
      </c>
      <c r="G342" s="66" t="s">
        <v>436</v>
      </c>
      <c r="H342" s="67">
        <v>5834</v>
      </c>
      <c r="I342" s="68">
        <v>3</v>
      </c>
      <c r="J342" s="68">
        <v>4</v>
      </c>
      <c r="K342" s="91">
        <v>292</v>
      </c>
      <c r="L342" s="91">
        <v>150.73252590438102</v>
      </c>
      <c r="M342" s="91">
        <v>141.26747409561898</v>
      </c>
      <c r="N342" s="91">
        <v>160.60000000000002</v>
      </c>
      <c r="O342" s="91">
        <v>113.88000000000001</v>
      </c>
      <c r="P342" s="91">
        <v>17.52</v>
      </c>
      <c r="Q342" s="85">
        <v>43.8</v>
      </c>
      <c r="R342" s="68" t="s">
        <v>436</v>
      </c>
      <c r="S342" s="86">
        <v>42</v>
      </c>
      <c r="T342" s="68">
        <v>11</v>
      </c>
      <c r="U342" s="68">
        <v>2</v>
      </c>
      <c r="V342" s="68">
        <v>3</v>
      </c>
      <c r="W342" s="68">
        <v>3</v>
      </c>
      <c r="X342" s="68">
        <v>6</v>
      </c>
      <c r="Y342" s="68">
        <v>9</v>
      </c>
      <c r="Z342" s="68">
        <v>6</v>
      </c>
      <c r="AA342" s="68">
        <v>0</v>
      </c>
      <c r="AB342" s="69">
        <v>0</v>
      </c>
      <c r="AC342" s="69">
        <v>0</v>
      </c>
      <c r="AD342" s="70">
        <f>IFERROR(tblTarget[[#This Row],[Cluster Target]]/tblTarget[[#This Row],[Cluster PiN]],0)</f>
        <v>5.0051422694549194E-2</v>
      </c>
      <c r="AE342" s="79">
        <f>_xlfn.XLOOKUP(tblTarget[[#This Row],[ID]],tblResponse[ID],tblResponse[2024 Projected reached (Dec 2024)])</f>
        <v>4800</v>
      </c>
      <c r="AF342" s="79">
        <f>_xlfn.XLOOKUP(tblTarget[[#This Row],[ID]],tblResponse[ID],tblResponse[2024 Intercluster reached -August RPM])</f>
        <v>21410.630525982469</v>
      </c>
      <c r="AG342" s="79">
        <v>2</v>
      </c>
      <c r="AH342" s="79"/>
      <c r="AI342" s="79"/>
      <c r="AJ342" s="70" t="str">
        <f>IF(tblTarget[[#This Row],[Target to PiN (%)]]&gt;Targ_vs_PiN,"Flagged","")</f>
        <v/>
      </c>
      <c r="AK342" s="69" t="str">
        <f>IF(AND(tblTarget[[#This Row],[Qualifies for exception]]="Flagged",tblTarget[[#This Row],[Target to PiN (%)]]&gt;Targ_severity5),"Flagged","")</f>
        <v/>
      </c>
      <c r="AL342" s="68" t="str">
        <f>IFERROR(IF(AND(tblTarget[[#This Row],[Intercluser Severity]]=4,tblTarget[[#This Row],[Qualifies for exception]]="Flagged",(tblTarget[[#This Row],[Cluster Target]]-tblTarget[[#This Row],[2024 Response capacity up to December]])/tblTarget[[#This Row],[Cluster Target]]&gt;Diff_severity4),"Flagged",""),"No target")</f>
        <v/>
      </c>
      <c r="AM342" s="68" t="str">
        <f>IFERROR(IF(AND(tblTarget[[#This Row],[Intercluser Severity]]=3,tblTarget[[#This Row],[Qualifies for exception]]="Flagged",(tblTarget[[#This Row],[Cluster Target]]-tblTarget[[#This Row],[2024 Response capacity up to December]])/tblTarget[[#This Row],[Cluster Target]]&gt;Diff_severity3),"Flagged",""),"No target")</f>
        <v/>
      </c>
      <c r="AN342" s="81" t="s">
        <v>1099</v>
      </c>
      <c r="AO342" s="81"/>
      <c r="AP342" s="81" t="s">
        <v>1099</v>
      </c>
      <c r="AQ342" s="81" t="s">
        <v>1107</v>
      </c>
    </row>
    <row r="343" spans="1:43" ht="15.95" customHeight="1" x14ac:dyDescent="0.2">
      <c r="A343" s="62" t="s">
        <v>780</v>
      </c>
      <c r="B343" s="63" t="s">
        <v>341</v>
      </c>
      <c r="C343" s="64" t="s">
        <v>342</v>
      </c>
      <c r="D343" s="63" t="s">
        <v>348</v>
      </c>
      <c r="E343" s="64" t="s">
        <v>349</v>
      </c>
      <c r="F343" s="65">
        <v>65160</v>
      </c>
      <c r="G343" s="66" t="s">
        <v>436</v>
      </c>
      <c r="H343" s="67">
        <v>5934</v>
      </c>
      <c r="I343" s="68">
        <v>3</v>
      </c>
      <c r="J343" s="68">
        <v>3</v>
      </c>
      <c r="K343" s="91">
        <v>297</v>
      </c>
      <c r="L343" s="91">
        <v>154.71641149242694</v>
      </c>
      <c r="M343" s="91">
        <v>142.28358850757306</v>
      </c>
      <c r="N343" s="91">
        <v>163.35000000000002</v>
      </c>
      <c r="O343" s="91">
        <v>115.83</v>
      </c>
      <c r="P343" s="91">
        <v>17.82</v>
      </c>
      <c r="Q343" s="85">
        <v>44.55</v>
      </c>
      <c r="R343" s="68" t="s">
        <v>436</v>
      </c>
      <c r="S343" s="86">
        <v>43</v>
      </c>
      <c r="T343" s="68">
        <v>11</v>
      </c>
      <c r="U343" s="68">
        <v>2</v>
      </c>
      <c r="V343" s="68">
        <v>3</v>
      </c>
      <c r="W343" s="68">
        <v>3</v>
      </c>
      <c r="X343" s="68">
        <v>6</v>
      </c>
      <c r="Y343" s="68">
        <v>9</v>
      </c>
      <c r="Z343" s="68">
        <v>6</v>
      </c>
      <c r="AA343" s="68">
        <v>0</v>
      </c>
      <c r="AB343" s="69">
        <v>0</v>
      </c>
      <c r="AC343" s="69">
        <v>0</v>
      </c>
      <c r="AD343" s="70">
        <f>IFERROR(tblTarget[[#This Row],[Cluster Target]]/tblTarget[[#This Row],[Cluster PiN]],0)</f>
        <v>5.0050556117290194E-2</v>
      </c>
      <c r="AE343" s="79">
        <f>_xlfn.XLOOKUP(tblTarget[[#This Row],[ID]],tblResponse[ID],tblResponse[2024 Projected reached (Dec 2024)])</f>
        <v>3335</v>
      </c>
      <c r="AF343" s="79">
        <f>_xlfn.XLOOKUP(tblTarget[[#This Row],[ID]],tblResponse[ID],tblResponse[2024 Intercluster reached -August RPM])</f>
        <v>21410.630525982469</v>
      </c>
      <c r="AG343" s="79">
        <v>2</v>
      </c>
      <c r="AH343" s="79"/>
      <c r="AI343" s="79"/>
      <c r="AJ343" s="70" t="str">
        <f>IF(tblTarget[[#This Row],[Target to PiN (%)]]&gt;Targ_vs_PiN,"Flagged","")</f>
        <v/>
      </c>
      <c r="AK343" s="69" t="str">
        <f>IF(AND(tblTarget[[#This Row],[Qualifies for exception]]="Flagged",tblTarget[[#This Row],[Target to PiN (%)]]&gt;Targ_severity5),"Flagged","")</f>
        <v/>
      </c>
      <c r="AL343" s="68" t="str">
        <f>IFERROR(IF(AND(tblTarget[[#This Row],[Intercluser Severity]]=4,tblTarget[[#This Row],[Qualifies for exception]]="Flagged",(tblTarget[[#This Row],[Cluster Target]]-tblTarget[[#This Row],[2024 Response capacity up to December]])/tblTarget[[#This Row],[Cluster Target]]&gt;Diff_severity4),"Flagged",""),"No target")</f>
        <v/>
      </c>
      <c r="AM343" s="68" t="str">
        <f>IFERROR(IF(AND(tblTarget[[#This Row],[Intercluser Severity]]=3,tblTarget[[#This Row],[Qualifies for exception]]="Flagged",(tblTarget[[#This Row],[Cluster Target]]-tblTarget[[#This Row],[2024 Response capacity up to December]])/tblTarget[[#This Row],[Cluster Target]]&gt;Diff_severity3),"Flagged",""),"No target")</f>
        <v/>
      </c>
      <c r="AN343" s="81" t="s">
        <v>1099</v>
      </c>
      <c r="AO343" s="81"/>
      <c r="AP343" s="81" t="s">
        <v>1099</v>
      </c>
      <c r="AQ343" s="81" t="s">
        <v>1107</v>
      </c>
    </row>
    <row r="344" spans="1:43" ht="15.95" customHeight="1" x14ac:dyDescent="0.2">
      <c r="A344" s="62" t="s">
        <v>781</v>
      </c>
      <c r="B344" s="63" t="s">
        <v>341</v>
      </c>
      <c r="C344" s="64" t="s">
        <v>342</v>
      </c>
      <c r="D344" s="63" t="s">
        <v>350</v>
      </c>
      <c r="E344" s="64" t="s">
        <v>351</v>
      </c>
      <c r="F344" s="65">
        <v>76275</v>
      </c>
      <c r="G344" s="66" t="s">
        <v>436</v>
      </c>
      <c r="H344" s="67">
        <v>6946</v>
      </c>
      <c r="I344" s="68">
        <v>3</v>
      </c>
      <c r="J344" s="68">
        <v>3</v>
      </c>
      <c r="K344" s="91">
        <v>347</v>
      </c>
      <c r="L344" s="91">
        <v>183.25374188959961</v>
      </c>
      <c r="M344" s="91">
        <v>163.74625811040042</v>
      </c>
      <c r="N344" s="91">
        <v>190.85000000000002</v>
      </c>
      <c r="O344" s="91">
        <v>135.33000000000001</v>
      </c>
      <c r="P344" s="91">
        <v>20.82</v>
      </c>
      <c r="Q344" s="85">
        <v>52.05</v>
      </c>
      <c r="R344" s="68" t="s">
        <v>436</v>
      </c>
      <c r="S344" s="86">
        <v>50</v>
      </c>
      <c r="T344" s="68">
        <v>12</v>
      </c>
      <c r="U344" s="68">
        <v>2</v>
      </c>
      <c r="V344" s="68">
        <v>3</v>
      </c>
      <c r="W344" s="68">
        <v>3</v>
      </c>
      <c r="X344" s="68">
        <v>7</v>
      </c>
      <c r="Y344" s="68">
        <v>10</v>
      </c>
      <c r="Z344" s="68">
        <v>7</v>
      </c>
      <c r="AA344" s="68">
        <v>0</v>
      </c>
      <c r="AB344" s="69">
        <v>2</v>
      </c>
      <c r="AC344" s="69">
        <v>0</v>
      </c>
      <c r="AD344" s="70">
        <f>IFERROR(tblTarget[[#This Row],[Cluster Target]]/tblTarget[[#This Row],[Cluster PiN]],0)</f>
        <v>4.9956809674632882E-2</v>
      </c>
      <c r="AE344" s="79">
        <f>_xlfn.XLOOKUP(tblTarget[[#This Row],[ID]],tblResponse[ID],tblResponse[2024 Projected reached (Dec 2024)])</f>
        <v>6000</v>
      </c>
      <c r="AF344" s="79">
        <f>_xlfn.XLOOKUP(tblTarget[[#This Row],[ID]],tblResponse[ID],tblResponse[2024 Intercluster reached -August RPM])</f>
        <v>9231.1219825089229</v>
      </c>
      <c r="AG344" s="79">
        <v>3</v>
      </c>
      <c r="AH344" s="79"/>
      <c r="AI344" s="79"/>
      <c r="AJ344" s="70" t="str">
        <f>IF(tblTarget[[#This Row],[Target to PiN (%)]]&gt;Targ_vs_PiN,"Flagged","")</f>
        <v/>
      </c>
      <c r="AK344" s="69" t="str">
        <f>IF(AND(tblTarget[[#This Row],[Qualifies for exception]]="Flagged",tblTarget[[#This Row],[Target to PiN (%)]]&gt;Targ_severity5),"Flagged","")</f>
        <v/>
      </c>
      <c r="AL344" s="68" t="str">
        <f>IFERROR(IF(AND(tblTarget[[#This Row],[Intercluser Severity]]=4,tblTarget[[#This Row],[Qualifies for exception]]="Flagged",(tblTarget[[#This Row],[Cluster Target]]-tblTarget[[#This Row],[2024 Response capacity up to December]])/tblTarget[[#This Row],[Cluster Target]]&gt;Diff_severity4),"Flagged",""),"No target")</f>
        <v/>
      </c>
      <c r="AM344" s="68" t="str">
        <f>IFERROR(IF(AND(tblTarget[[#This Row],[Intercluser Severity]]=3,tblTarget[[#This Row],[Qualifies for exception]]="Flagged",(tblTarget[[#This Row],[Cluster Target]]-tblTarget[[#This Row],[2024 Response capacity up to December]])/tblTarget[[#This Row],[Cluster Target]]&gt;Diff_severity3),"Flagged",""),"No target")</f>
        <v/>
      </c>
      <c r="AN344" s="81" t="s">
        <v>1099</v>
      </c>
      <c r="AO344" s="81"/>
      <c r="AP344" s="81" t="s">
        <v>1099</v>
      </c>
      <c r="AQ344" s="81" t="s">
        <v>1107</v>
      </c>
    </row>
    <row r="345" spans="1:43" ht="15.95" customHeight="1" x14ac:dyDescent="0.2">
      <c r="A345" s="62" t="s">
        <v>782</v>
      </c>
      <c r="B345" s="63" t="s">
        <v>341</v>
      </c>
      <c r="C345" s="64" t="s">
        <v>342</v>
      </c>
      <c r="D345" s="63" t="s">
        <v>352</v>
      </c>
      <c r="E345" s="64" t="s">
        <v>353</v>
      </c>
      <c r="F345" s="65">
        <v>56261</v>
      </c>
      <c r="G345" s="66" t="s">
        <v>436</v>
      </c>
      <c r="H345" s="67">
        <v>5123</v>
      </c>
      <c r="I345" s="68">
        <v>3</v>
      </c>
      <c r="J345" s="68">
        <v>3</v>
      </c>
      <c r="K345" s="91">
        <v>0</v>
      </c>
      <c r="L345" s="91">
        <v>0</v>
      </c>
      <c r="M345" s="91">
        <v>0</v>
      </c>
      <c r="N345" s="91">
        <v>0</v>
      </c>
      <c r="O345" s="91">
        <v>0</v>
      </c>
      <c r="P345" s="91">
        <v>0</v>
      </c>
      <c r="Q345" s="85">
        <v>0</v>
      </c>
      <c r="R345" s="68" t="s">
        <v>436</v>
      </c>
      <c r="S345" s="86">
        <v>0</v>
      </c>
      <c r="T345" s="68">
        <v>0</v>
      </c>
      <c r="U345" s="68">
        <v>0</v>
      </c>
      <c r="V345" s="68">
        <v>0</v>
      </c>
      <c r="W345" s="68">
        <v>0</v>
      </c>
      <c r="X345" s="68">
        <v>0</v>
      </c>
      <c r="Y345" s="68">
        <v>0</v>
      </c>
      <c r="Z345" s="68">
        <v>0</v>
      </c>
      <c r="AA345" s="68">
        <v>0</v>
      </c>
      <c r="AB345" s="69">
        <v>0</v>
      </c>
      <c r="AC345" s="69">
        <v>0</v>
      </c>
      <c r="AD345" s="70">
        <f>IFERROR(tblTarget[[#This Row],[Cluster Target]]/tblTarget[[#This Row],[Cluster PiN]],0)</f>
        <v>0</v>
      </c>
      <c r="AE345" s="79">
        <f>_xlfn.XLOOKUP(tblTarget[[#This Row],[ID]],tblResponse[ID],tblResponse[2024 Projected reached (Dec 2024)])</f>
        <v>0</v>
      </c>
      <c r="AF345" s="79">
        <f>_xlfn.XLOOKUP(tblTarget[[#This Row],[ID]],tblResponse[ID],tblResponse[2024 Intercluster reached -August RPM])</f>
        <v>57145.543823994572</v>
      </c>
      <c r="AG345" s="79">
        <v>1</v>
      </c>
      <c r="AH345" s="79"/>
      <c r="AI345" s="79"/>
      <c r="AJ345" s="70" t="str">
        <f>IF(tblTarget[[#This Row],[Target to PiN (%)]]&gt;Targ_vs_PiN,"Flagged","")</f>
        <v/>
      </c>
      <c r="AK345" s="69" t="str">
        <f>IF(AND(tblTarget[[#This Row],[Qualifies for exception]]="Flagged",tblTarget[[#This Row],[Target to PiN (%)]]&gt;Targ_severity5),"Flagged","")</f>
        <v/>
      </c>
      <c r="AL345" s="68" t="str">
        <f>IFERROR(IF(AND(tblTarget[[#This Row],[Intercluser Severity]]=4,tblTarget[[#This Row],[Qualifies for exception]]="Flagged",(tblTarget[[#This Row],[Cluster Target]]-tblTarget[[#This Row],[2024 Response capacity up to December]])/tblTarget[[#This Row],[Cluster Target]]&gt;Diff_severity4),"Flagged",""),"No target")</f>
        <v>No target</v>
      </c>
      <c r="AM345" s="68" t="str">
        <f>IFERROR(IF(AND(tblTarget[[#This Row],[Intercluser Severity]]=3,tblTarget[[#This Row],[Qualifies for exception]]="Flagged",(tblTarget[[#This Row],[Cluster Target]]-tblTarget[[#This Row],[2024 Response capacity up to December]])/tblTarget[[#This Row],[Cluster Target]]&gt;Diff_severity3),"Flagged",""),"No target")</f>
        <v>No target</v>
      </c>
      <c r="AN345" s="81" t="s">
        <v>1099</v>
      </c>
      <c r="AO345" s="81"/>
      <c r="AP345" s="81" t="s">
        <v>1099</v>
      </c>
      <c r="AQ345" s="81" t="s">
        <v>1107</v>
      </c>
    </row>
    <row r="346" spans="1:43" ht="15.95" customHeight="1" x14ac:dyDescent="0.2">
      <c r="A346" s="62" t="s">
        <v>783</v>
      </c>
      <c r="B346" s="63" t="s">
        <v>341</v>
      </c>
      <c r="C346" s="64" t="s">
        <v>342</v>
      </c>
      <c r="D346" s="63" t="s">
        <v>354</v>
      </c>
      <c r="E346" s="64" t="s">
        <v>355</v>
      </c>
      <c r="F346" s="65">
        <v>76117</v>
      </c>
      <c r="G346" s="66" t="s">
        <v>436</v>
      </c>
      <c r="H346" s="67">
        <v>6932</v>
      </c>
      <c r="I346" s="68">
        <v>3</v>
      </c>
      <c r="J346" s="68">
        <v>3</v>
      </c>
      <c r="K346" s="91">
        <v>347</v>
      </c>
      <c r="L346" s="91">
        <v>178.97611367441101</v>
      </c>
      <c r="M346" s="91">
        <v>168.02388632558899</v>
      </c>
      <c r="N346" s="91">
        <v>190.85000000000002</v>
      </c>
      <c r="O346" s="91">
        <v>135.33000000000001</v>
      </c>
      <c r="P346" s="91">
        <v>20.82</v>
      </c>
      <c r="Q346" s="85">
        <v>52.05</v>
      </c>
      <c r="R346" s="68" t="s">
        <v>436</v>
      </c>
      <c r="S346" s="86">
        <v>50</v>
      </c>
      <c r="T346" s="68">
        <v>12</v>
      </c>
      <c r="U346" s="68">
        <v>2</v>
      </c>
      <c r="V346" s="68">
        <v>3</v>
      </c>
      <c r="W346" s="68">
        <v>3</v>
      </c>
      <c r="X346" s="68">
        <v>7</v>
      </c>
      <c r="Y346" s="68">
        <v>10</v>
      </c>
      <c r="Z346" s="68">
        <v>7</v>
      </c>
      <c r="AA346" s="68">
        <v>0</v>
      </c>
      <c r="AB346" s="69">
        <v>2</v>
      </c>
      <c r="AC346" s="69">
        <v>0</v>
      </c>
      <c r="AD346" s="70">
        <f>IFERROR(tblTarget[[#This Row],[Cluster Target]]/tblTarget[[#This Row],[Cluster PiN]],0)</f>
        <v>5.0057703404500865E-2</v>
      </c>
      <c r="AE346" s="79">
        <f>_xlfn.XLOOKUP(tblTarget[[#This Row],[ID]],tblResponse[ID],tblResponse[2024 Projected reached (Dec 2024)])</f>
        <v>10225</v>
      </c>
      <c r="AF346" s="79">
        <f>_xlfn.XLOOKUP(tblTarget[[#This Row],[ID]],tblResponse[ID],tblResponse[2024 Intercluster reached -August RPM])</f>
        <v>9620.5099830081235</v>
      </c>
      <c r="AG346" s="79">
        <v>3</v>
      </c>
      <c r="AH346" s="79"/>
      <c r="AI346" s="79"/>
      <c r="AJ346" s="70" t="str">
        <f>IF(tblTarget[[#This Row],[Target to PiN (%)]]&gt;Targ_vs_PiN,"Flagged","")</f>
        <v/>
      </c>
      <c r="AK346" s="69" t="str">
        <f>IF(AND(tblTarget[[#This Row],[Qualifies for exception]]="Flagged",tblTarget[[#This Row],[Target to PiN (%)]]&gt;Targ_severity5),"Flagged","")</f>
        <v/>
      </c>
      <c r="AL346" s="68" t="str">
        <f>IFERROR(IF(AND(tblTarget[[#This Row],[Intercluser Severity]]=4,tblTarget[[#This Row],[Qualifies for exception]]="Flagged",(tblTarget[[#This Row],[Cluster Target]]-tblTarget[[#This Row],[2024 Response capacity up to December]])/tblTarget[[#This Row],[Cluster Target]]&gt;Diff_severity4),"Flagged",""),"No target")</f>
        <v/>
      </c>
      <c r="AM346" s="68" t="str">
        <f>IFERROR(IF(AND(tblTarget[[#This Row],[Intercluser Severity]]=3,tblTarget[[#This Row],[Qualifies for exception]]="Flagged",(tblTarget[[#This Row],[Cluster Target]]-tblTarget[[#This Row],[2024 Response capacity up to December]])/tblTarget[[#This Row],[Cluster Target]]&gt;Diff_severity3),"Flagged",""),"No target")</f>
        <v/>
      </c>
      <c r="AN346" s="81" t="s">
        <v>1099</v>
      </c>
      <c r="AO346" s="81"/>
      <c r="AP346" s="81" t="s">
        <v>1099</v>
      </c>
      <c r="AQ346" s="81" t="s">
        <v>1107</v>
      </c>
    </row>
    <row r="347" spans="1:43" ht="15.95" customHeight="1" x14ac:dyDescent="0.2">
      <c r="A347" s="62" t="s">
        <v>784</v>
      </c>
      <c r="B347" s="63" t="s">
        <v>356</v>
      </c>
      <c r="C347" s="64" t="s">
        <v>357</v>
      </c>
      <c r="D347" s="63" t="s">
        <v>358</v>
      </c>
      <c r="E347" s="64" t="s">
        <v>359</v>
      </c>
      <c r="F347" s="65">
        <v>20005</v>
      </c>
      <c r="G347" s="66" t="s">
        <v>436</v>
      </c>
      <c r="H347" s="71">
        <v>5466</v>
      </c>
      <c r="I347" s="68">
        <v>4</v>
      </c>
      <c r="J347" s="68">
        <v>4</v>
      </c>
      <c r="K347" s="91">
        <v>547</v>
      </c>
      <c r="L347" s="91">
        <v>277.22877702316578</v>
      </c>
      <c r="M347" s="91">
        <v>269.77122297683422</v>
      </c>
      <c r="N347" s="91">
        <v>300.85000000000002</v>
      </c>
      <c r="O347" s="91">
        <v>213.33</v>
      </c>
      <c r="P347" s="91">
        <v>32.82</v>
      </c>
      <c r="Q347" s="85">
        <v>82.05</v>
      </c>
      <c r="R347" s="68" t="s">
        <v>15</v>
      </c>
      <c r="S347" s="86">
        <v>79</v>
      </c>
      <c r="T347" s="68">
        <v>20</v>
      </c>
      <c r="U347" s="68">
        <v>4</v>
      </c>
      <c r="V347" s="68">
        <v>5</v>
      </c>
      <c r="W347" s="68">
        <v>5</v>
      </c>
      <c r="X347" s="68">
        <v>11</v>
      </c>
      <c r="Y347" s="68">
        <v>16</v>
      </c>
      <c r="Z347" s="68">
        <v>11</v>
      </c>
      <c r="AA347" s="68">
        <v>0</v>
      </c>
      <c r="AB347" s="69">
        <v>2</v>
      </c>
      <c r="AC347" s="69">
        <v>0</v>
      </c>
      <c r="AD347" s="70">
        <f>IFERROR(tblTarget[[#This Row],[Cluster Target]]/tblTarget[[#This Row],[Cluster PiN]],0)</f>
        <v>0.10007317965605561</v>
      </c>
      <c r="AE347" s="79">
        <f>_xlfn.XLOOKUP(tblTarget[[#This Row],[ID]],tblResponse[ID],tblResponse[2024 Projected reached (Dec 2024)])</f>
        <v>0</v>
      </c>
      <c r="AF347" s="79">
        <f>_xlfn.XLOOKUP(tblTarget[[#This Row],[ID]],tblResponse[ID],tblResponse[2024 Intercluster reached -August RPM])</f>
        <v>692.84800382079277</v>
      </c>
      <c r="AG347" s="79">
        <v>1</v>
      </c>
      <c r="AH347" s="79"/>
      <c r="AI347" s="79"/>
      <c r="AJ347" s="70" t="str">
        <f>IF(tblTarget[[#This Row],[Target to PiN (%)]]&gt;Targ_vs_PiN,"Flagged","")</f>
        <v/>
      </c>
      <c r="AK347" s="69" t="str">
        <f>IF(AND(tblTarget[[#This Row],[Qualifies for exception]]="Flagged",tblTarget[[#This Row],[Target to PiN (%)]]&gt;Targ_severity5),"Flagged","")</f>
        <v/>
      </c>
      <c r="AL347" s="68" t="str">
        <f>IFERROR(IF(AND(tblTarget[[#This Row],[Intercluser Severity]]=4,tblTarget[[#This Row],[Qualifies for exception]]="Flagged",(tblTarget[[#This Row],[Cluster Target]]-tblTarget[[#This Row],[2024 Response capacity up to December]])/tblTarget[[#This Row],[Cluster Target]]&gt;Diff_severity4),"Flagged",""),"No target")</f>
        <v/>
      </c>
      <c r="AM347" s="68" t="str">
        <f>IFERROR(IF(AND(tblTarget[[#This Row],[Intercluser Severity]]=3,tblTarget[[#This Row],[Qualifies for exception]]="Flagged",(tblTarget[[#This Row],[Cluster Target]]-tblTarget[[#This Row],[2024 Response capacity up to December]])/tblTarget[[#This Row],[Cluster Target]]&gt;Diff_severity3),"Flagged",""),"No target")</f>
        <v/>
      </c>
      <c r="AN347" s="81" t="s">
        <v>15</v>
      </c>
      <c r="AO347" s="81"/>
      <c r="AP347" s="81" t="s">
        <v>1099</v>
      </c>
      <c r="AQ347" s="81" t="s">
        <v>1098</v>
      </c>
    </row>
    <row r="348" spans="1:43" ht="15.95" customHeight="1" x14ac:dyDescent="0.2">
      <c r="A348" s="62" t="s">
        <v>785</v>
      </c>
      <c r="B348" s="63" t="s">
        <v>356</v>
      </c>
      <c r="C348" s="64" t="s">
        <v>357</v>
      </c>
      <c r="D348" s="63" t="s">
        <v>360</v>
      </c>
      <c r="E348" s="64" t="s">
        <v>361</v>
      </c>
      <c r="F348" s="65">
        <v>25521</v>
      </c>
      <c r="G348" s="66" t="s">
        <v>436</v>
      </c>
      <c r="H348" s="71">
        <v>5810</v>
      </c>
      <c r="I348" s="68">
        <v>4</v>
      </c>
      <c r="J348" s="68">
        <v>4</v>
      </c>
      <c r="K348" s="91">
        <v>581</v>
      </c>
      <c r="L348" s="91">
        <v>302.17068046144118</v>
      </c>
      <c r="M348" s="91">
        <v>278.82931953855882</v>
      </c>
      <c r="N348" s="91">
        <v>319.55</v>
      </c>
      <c r="O348" s="91">
        <v>226.59</v>
      </c>
      <c r="P348" s="91">
        <v>34.86</v>
      </c>
      <c r="Q348" s="85">
        <v>87.149999999999991</v>
      </c>
      <c r="R348" s="68" t="s">
        <v>436</v>
      </c>
      <c r="S348" s="86">
        <v>84</v>
      </c>
      <c r="T348" s="68">
        <v>21</v>
      </c>
      <c r="U348" s="68">
        <v>4</v>
      </c>
      <c r="V348" s="68">
        <v>5</v>
      </c>
      <c r="W348" s="68">
        <v>6</v>
      </c>
      <c r="X348" s="68">
        <v>12</v>
      </c>
      <c r="Y348" s="68">
        <v>17</v>
      </c>
      <c r="Z348" s="68">
        <v>12</v>
      </c>
      <c r="AA348" s="68">
        <v>0</v>
      </c>
      <c r="AB348" s="69">
        <v>2</v>
      </c>
      <c r="AC348" s="69">
        <v>0</v>
      </c>
      <c r="AD348" s="70">
        <f>IFERROR(tblTarget[[#This Row],[Cluster Target]]/tblTarget[[#This Row],[Cluster PiN]],0)</f>
        <v>0.1</v>
      </c>
      <c r="AE348" s="79">
        <f>_xlfn.XLOOKUP(tblTarget[[#This Row],[ID]],tblResponse[ID],tblResponse[2024 Projected reached (Dec 2024)])</f>
        <v>0</v>
      </c>
      <c r="AF348" s="79">
        <f>_xlfn.XLOOKUP(tblTarget[[#This Row],[ID]],tblResponse[ID],tblResponse[2024 Intercluster reached -August RPM])</f>
        <v>3155.9269395298161</v>
      </c>
      <c r="AG348" s="79">
        <v>1</v>
      </c>
      <c r="AH348" s="79"/>
      <c r="AI348" s="79"/>
      <c r="AJ348" s="70" t="str">
        <f>IF(tblTarget[[#This Row],[Target to PiN (%)]]&gt;Targ_vs_PiN,"Flagged","")</f>
        <v/>
      </c>
      <c r="AK348" s="69" t="str">
        <f>IF(AND(tblTarget[[#This Row],[Qualifies for exception]]="Flagged",tblTarget[[#This Row],[Target to PiN (%)]]&gt;Targ_severity5),"Flagged","")</f>
        <v/>
      </c>
      <c r="AL348" s="68" t="str">
        <f>IFERROR(IF(AND(tblTarget[[#This Row],[Intercluser Severity]]=4,tblTarget[[#This Row],[Qualifies for exception]]="Flagged",(tblTarget[[#This Row],[Cluster Target]]-tblTarget[[#This Row],[2024 Response capacity up to December]])/tblTarget[[#This Row],[Cluster Target]]&gt;Diff_severity4),"Flagged",""),"No target")</f>
        <v>Flagged</v>
      </c>
      <c r="AM348" s="68" t="str">
        <f>IFERROR(IF(AND(tblTarget[[#This Row],[Intercluser Severity]]=3,tblTarget[[#This Row],[Qualifies for exception]]="Flagged",(tblTarget[[#This Row],[Cluster Target]]-tblTarget[[#This Row],[2024 Response capacity up to December]])/tblTarget[[#This Row],[Cluster Target]]&gt;Diff_severity3),"Flagged",""),"No target")</f>
        <v/>
      </c>
      <c r="AN348" s="81" t="s">
        <v>1099</v>
      </c>
      <c r="AO348" s="81"/>
      <c r="AP348" s="81" t="s">
        <v>1099</v>
      </c>
      <c r="AQ348" s="81" t="s">
        <v>1107</v>
      </c>
    </row>
    <row r="349" spans="1:43" ht="15.95" customHeight="1" x14ac:dyDescent="0.2">
      <c r="A349" s="62" t="s">
        <v>786</v>
      </c>
      <c r="B349" s="63" t="s">
        <v>356</v>
      </c>
      <c r="C349" s="64" t="s">
        <v>357</v>
      </c>
      <c r="D349" s="63" t="s">
        <v>362</v>
      </c>
      <c r="E349" s="64" t="s">
        <v>363</v>
      </c>
      <c r="F349" s="65">
        <v>33941</v>
      </c>
      <c r="G349" s="66" t="s">
        <v>436</v>
      </c>
      <c r="H349" s="71">
        <v>7727</v>
      </c>
      <c r="I349" s="68">
        <v>4</v>
      </c>
      <c r="J349" s="68">
        <v>4</v>
      </c>
      <c r="K349" s="91">
        <v>773</v>
      </c>
      <c r="L349" s="91">
        <v>402.59652864783953</v>
      </c>
      <c r="M349" s="91">
        <v>370.40347135216047</v>
      </c>
      <c r="N349" s="91">
        <v>425.15000000000003</v>
      </c>
      <c r="O349" s="91">
        <v>301.47000000000003</v>
      </c>
      <c r="P349" s="91">
        <v>46.379999999999995</v>
      </c>
      <c r="Q349" s="85">
        <v>115.94999999999999</v>
      </c>
      <c r="R349" s="68" t="s">
        <v>436</v>
      </c>
      <c r="S349" s="86">
        <v>111</v>
      </c>
      <c r="T349" s="68">
        <v>28</v>
      </c>
      <c r="U349" s="68">
        <v>5</v>
      </c>
      <c r="V349" s="68">
        <v>7</v>
      </c>
      <c r="W349" s="68">
        <v>8</v>
      </c>
      <c r="X349" s="68">
        <v>15</v>
      </c>
      <c r="Y349" s="68">
        <v>23</v>
      </c>
      <c r="Z349" s="68">
        <v>15</v>
      </c>
      <c r="AA349" s="68">
        <v>0</v>
      </c>
      <c r="AB349" s="69">
        <v>2</v>
      </c>
      <c r="AC349" s="69">
        <v>0</v>
      </c>
      <c r="AD349" s="70">
        <f>IFERROR(tblTarget[[#This Row],[Cluster Target]]/tblTarget[[#This Row],[Cluster PiN]],0)</f>
        <v>0.10003882489970234</v>
      </c>
      <c r="AE349" s="79">
        <f>_xlfn.XLOOKUP(tblTarget[[#This Row],[ID]],tblResponse[ID],tblResponse[2024 Projected reached (Dec 2024)])</f>
        <v>0</v>
      </c>
      <c r="AF349" s="79">
        <f>_xlfn.XLOOKUP(tblTarget[[#This Row],[ID]],tblResponse[ID],tblResponse[2024 Intercluster reached -August RPM])</f>
        <v>1103.6466348459765</v>
      </c>
      <c r="AG349" s="79">
        <v>1</v>
      </c>
      <c r="AH349" s="79"/>
      <c r="AI349" s="79"/>
      <c r="AJ349" s="70" t="str">
        <f>IF(tblTarget[[#This Row],[Target to PiN (%)]]&gt;Targ_vs_PiN,"Flagged","")</f>
        <v/>
      </c>
      <c r="AK349" s="69" t="str">
        <f>IF(AND(tblTarget[[#This Row],[Qualifies for exception]]="Flagged",tblTarget[[#This Row],[Target to PiN (%)]]&gt;Targ_severity5),"Flagged","")</f>
        <v/>
      </c>
      <c r="AL349" s="68" t="str">
        <f>IFERROR(IF(AND(tblTarget[[#This Row],[Intercluser Severity]]=4,tblTarget[[#This Row],[Qualifies for exception]]="Flagged",(tblTarget[[#This Row],[Cluster Target]]-tblTarget[[#This Row],[2024 Response capacity up to December]])/tblTarget[[#This Row],[Cluster Target]]&gt;Diff_severity4),"Flagged",""),"No target")</f>
        <v>Flagged</v>
      </c>
      <c r="AM349" s="68" t="str">
        <f>IFERROR(IF(AND(tblTarget[[#This Row],[Intercluser Severity]]=3,tblTarget[[#This Row],[Qualifies for exception]]="Flagged",(tblTarget[[#This Row],[Cluster Target]]-tblTarget[[#This Row],[2024 Response capacity up to December]])/tblTarget[[#This Row],[Cluster Target]]&gt;Diff_severity3),"Flagged",""),"No target")</f>
        <v/>
      </c>
      <c r="AN349" s="81" t="s">
        <v>1099</v>
      </c>
      <c r="AO349" s="81"/>
      <c r="AP349" s="81" t="s">
        <v>1099</v>
      </c>
      <c r="AQ349" s="81" t="s">
        <v>1107</v>
      </c>
    </row>
    <row r="350" spans="1:43" ht="15.95" customHeight="1" x14ac:dyDescent="0.2">
      <c r="A350" s="62" t="s">
        <v>787</v>
      </c>
      <c r="B350" s="63" t="s">
        <v>356</v>
      </c>
      <c r="C350" s="64" t="s">
        <v>357</v>
      </c>
      <c r="D350" s="63" t="s">
        <v>364</v>
      </c>
      <c r="E350" s="64" t="s">
        <v>365</v>
      </c>
      <c r="F350" s="65">
        <v>32763</v>
      </c>
      <c r="G350" s="66" t="s">
        <v>436</v>
      </c>
      <c r="H350" s="71">
        <v>7459</v>
      </c>
      <c r="I350" s="68">
        <v>4</v>
      </c>
      <c r="J350" s="68">
        <v>4</v>
      </c>
      <c r="K350" s="91">
        <v>746</v>
      </c>
      <c r="L350" s="91">
        <v>391.03326177349959</v>
      </c>
      <c r="M350" s="91">
        <v>354.96673822650047</v>
      </c>
      <c r="N350" s="91">
        <v>410.3</v>
      </c>
      <c r="O350" s="91">
        <v>290.94</v>
      </c>
      <c r="P350" s="91">
        <v>44.76</v>
      </c>
      <c r="Q350" s="85">
        <v>111.89999999999999</v>
      </c>
      <c r="R350" s="68" t="s">
        <v>436</v>
      </c>
      <c r="S350" s="86">
        <v>107</v>
      </c>
      <c r="T350" s="68">
        <v>27</v>
      </c>
      <c r="U350" s="68">
        <v>5</v>
      </c>
      <c r="V350" s="68">
        <v>7</v>
      </c>
      <c r="W350" s="68">
        <v>7</v>
      </c>
      <c r="X350" s="68">
        <v>15</v>
      </c>
      <c r="Y350" s="68">
        <v>22</v>
      </c>
      <c r="Z350" s="68">
        <v>15</v>
      </c>
      <c r="AA350" s="68">
        <v>0</v>
      </c>
      <c r="AB350" s="69">
        <v>2</v>
      </c>
      <c r="AC350" s="69">
        <v>0</v>
      </c>
      <c r="AD350" s="70">
        <f>IFERROR(tblTarget[[#This Row],[Cluster Target]]/tblTarget[[#This Row],[Cluster PiN]],0)</f>
        <v>0.1000134066228717</v>
      </c>
      <c r="AE350" s="79">
        <f>_xlfn.XLOOKUP(tblTarget[[#This Row],[ID]],tblResponse[ID],tblResponse[2024 Projected reached (Dec 2024)])</f>
        <v>0</v>
      </c>
      <c r="AF350" s="79">
        <f>_xlfn.XLOOKUP(tblTarget[[#This Row],[ID]],tblResponse[ID],tblResponse[2024 Intercluster reached -August RPM])</f>
        <v>4656.0984517169882</v>
      </c>
      <c r="AG350" s="79">
        <v>1</v>
      </c>
      <c r="AH350" s="79"/>
      <c r="AI350" s="79"/>
      <c r="AJ350" s="70" t="str">
        <f>IF(tblTarget[[#This Row],[Target to PiN (%)]]&gt;Targ_vs_PiN,"Flagged","")</f>
        <v/>
      </c>
      <c r="AK350" s="69" t="str">
        <f>IF(AND(tblTarget[[#This Row],[Qualifies for exception]]="Flagged",tblTarget[[#This Row],[Target to PiN (%)]]&gt;Targ_severity5),"Flagged","")</f>
        <v/>
      </c>
      <c r="AL350" s="68" t="str">
        <f>IFERROR(IF(AND(tblTarget[[#This Row],[Intercluser Severity]]=4,tblTarget[[#This Row],[Qualifies for exception]]="Flagged",(tblTarget[[#This Row],[Cluster Target]]-tblTarget[[#This Row],[2024 Response capacity up to December]])/tblTarget[[#This Row],[Cluster Target]]&gt;Diff_severity4),"Flagged",""),"No target")</f>
        <v>Flagged</v>
      </c>
      <c r="AM350" s="68" t="str">
        <f>IFERROR(IF(AND(tblTarget[[#This Row],[Intercluser Severity]]=3,tblTarget[[#This Row],[Qualifies for exception]]="Flagged",(tblTarget[[#This Row],[Cluster Target]]-tblTarget[[#This Row],[2024 Response capacity up to December]])/tblTarget[[#This Row],[Cluster Target]]&gt;Diff_severity3),"Flagged",""),"No target")</f>
        <v/>
      </c>
      <c r="AN350" s="81" t="s">
        <v>1099</v>
      </c>
      <c r="AO350" s="81"/>
      <c r="AP350" s="81" t="s">
        <v>1099</v>
      </c>
      <c r="AQ350" s="81" t="s">
        <v>1107</v>
      </c>
    </row>
    <row r="351" spans="1:43" ht="15.95" customHeight="1" x14ac:dyDescent="0.2">
      <c r="A351" s="62" t="s">
        <v>788</v>
      </c>
      <c r="B351" s="72" t="s">
        <v>356</v>
      </c>
      <c r="C351" s="64" t="s">
        <v>357</v>
      </c>
      <c r="D351" s="63" t="s">
        <v>366</v>
      </c>
      <c r="E351" s="64" t="s">
        <v>367</v>
      </c>
      <c r="F351" s="65">
        <v>39576</v>
      </c>
      <c r="G351" s="66" t="s">
        <v>436</v>
      </c>
      <c r="H351" s="71">
        <v>9010</v>
      </c>
      <c r="I351" s="68">
        <v>4</v>
      </c>
      <c r="J351" s="68">
        <v>4</v>
      </c>
      <c r="K351" s="91">
        <v>901</v>
      </c>
      <c r="L351" s="91">
        <v>467.22407241692491</v>
      </c>
      <c r="M351" s="91">
        <v>433.77592758307509</v>
      </c>
      <c r="N351" s="91">
        <v>495.55000000000007</v>
      </c>
      <c r="O351" s="91">
        <v>351.39</v>
      </c>
      <c r="P351" s="91">
        <v>54.059999999999995</v>
      </c>
      <c r="Q351" s="85">
        <v>135.15</v>
      </c>
      <c r="R351" s="68" t="s">
        <v>436</v>
      </c>
      <c r="S351" s="86">
        <v>130</v>
      </c>
      <c r="T351" s="68">
        <v>32</v>
      </c>
      <c r="U351" s="68">
        <v>6</v>
      </c>
      <c r="V351" s="68">
        <v>8</v>
      </c>
      <c r="W351" s="68">
        <v>9</v>
      </c>
      <c r="X351" s="68">
        <v>18</v>
      </c>
      <c r="Y351" s="68">
        <v>27</v>
      </c>
      <c r="Z351" s="68">
        <v>18</v>
      </c>
      <c r="AA351" s="68">
        <v>0</v>
      </c>
      <c r="AB351" s="69">
        <v>2</v>
      </c>
      <c r="AC351" s="69">
        <v>0</v>
      </c>
      <c r="AD351" s="70">
        <f>IFERROR(tblTarget[[#This Row],[Cluster Target]]/tblTarget[[#This Row],[Cluster PiN]],0)</f>
        <v>0.1</v>
      </c>
      <c r="AE351" s="79">
        <f>_xlfn.XLOOKUP(tblTarget[[#This Row],[ID]],tblResponse[ID],tblResponse[2024 Projected reached (Dec 2024)])</f>
        <v>0</v>
      </c>
      <c r="AF351" s="79">
        <f>_xlfn.XLOOKUP(tblTarget[[#This Row],[ID]],tblResponse[ID],tblResponse[2024 Intercluster reached -August RPM])</f>
        <v>53.954788925475825</v>
      </c>
      <c r="AG351" s="79">
        <v>1</v>
      </c>
      <c r="AH351" s="79"/>
      <c r="AI351" s="79"/>
      <c r="AJ351" s="70" t="str">
        <f>IF(tblTarget[[#This Row],[Target to PiN (%)]]&gt;Targ_vs_PiN,"Flagged","")</f>
        <v/>
      </c>
      <c r="AK351" s="69" t="str">
        <f>IF(AND(tblTarget[[#This Row],[Qualifies for exception]]="Flagged",tblTarget[[#This Row],[Target to PiN (%)]]&gt;Targ_severity5),"Flagged","")</f>
        <v/>
      </c>
      <c r="AL351" s="68" t="str">
        <f>IFERROR(IF(AND(tblTarget[[#This Row],[Intercluser Severity]]=4,tblTarget[[#This Row],[Qualifies for exception]]="Flagged",(tblTarget[[#This Row],[Cluster Target]]-tblTarget[[#This Row],[2024 Response capacity up to December]])/tblTarget[[#This Row],[Cluster Target]]&gt;Diff_severity4),"Flagged",""),"No target")</f>
        <v>Flagged</v>
      </c>
      <c r="AM351" s="68" t="str">
        <f>IFERROR(IF(AND(tblTarget[[#This Row],[Intercluser Severity]]=3,tblTarget[[#This Row],[Qualifies for exception]]="Flagged",(tblTarget[[#This Row],[Cluster Target]]-tblTarget[[#This Row],[2024 Response capacity up to December]])/tblTarget[[#This Row],[Cluster Target]]&gt;Diff_severity3),"Flagged",""),"No target")</f>
        <v/>
      </c>
      <c r="AN351" s="81" t="s">
        <v>1099</v>
      </c>
      <c r="AO351" s="81"/>
      <c r="AP351" s="81" t="s">
        <v>1099</v>
      </c>
      <c r="AQ351" s="81" t="s">
        <v>1107</v>
      </c>
    </row>
    <row r="352" spans="1:43" ht="15.95" customHeight="1" x14ac:dyDescent="0.2">
      <c r="A352" s="62" t="s">
        <v>789</v>
      </c>
      <c r="B352" s="63" t="s">
        <v>356</v>
      </c>
      <c r="C352" s="64" t="s">
        <v>357</v>
      </c>
      <c r="D352" s="63" t="s">
        <v>368</v>
      </c>
      <c r="E352" s="64" t="s">
        <v>369</v>
      </c>
      <c r="F352" s="65">
        <v>67437</v>
      </c>
      <c r="G352" s="66" t="s">
        <v>436</v>
      </c>
      <c r="H352" s="71">
        <v>15353</v>
      </c>
      <c r="I352" s="68">
        <v>4</v>
      </c>
      <c r="J352" s="68">
        <v>4</v>
      </c>
      <c r="K352" s="91">
        <v>1535</v>
      </c>
      <c r="L352" s="91">
        <v>781.90632356485537</v>
      </c>
      <c r="M352" s="91">
        <v>753.09367643514463</v>
      </c>
      <c r="N352" s="91">
        <v>844.25000000000011</v>
      </c>
      <c r="O352" s="91">
        <v>598.65</v>
      </c>
      <c r="P352" s="91">
        <v>92.1</v>
      </c>
      <c r="Q352" s="85">
        <v>230.25</v>
      </c>
      <c r="R352" s="68" t="s">
        <v>15</v>
      </c>
      <c r="S352" s="86">
        <v>221</v>
      </c>
      <c r="T352" s="68">
        <v>55</v>
      </c>
      <c r="U352" s="68">
        <v>10</v>
      </c>
      <c r="V352" s="68">
        <v>14</v>
      </c>
      <c r="W352" s="68">
        <v>15</v>
      </c>
      <c r="X352" s="68">
        <v>31</v>
      </c>
      <c r="Y352" s="68">
        <v>46</v>
      </c>
      <c r="Z352" s="68">
        <v>31</v>
      </c>
      <c r="AA352" s="68">
        <v>0</v>
      </c>
      <c r="AB352" s="69">
        <v>4</v>
      </c>
      <c r="AC352" s="69">
        <v>0</v>
      </c>
      <c r="AD352" s="70">
        <f>IFERROR(tblTarget[[#This Row],[Cluster Target]]/tblTarget[[#This Row],[Cluster PiN]],0)</f>
        <v>9.998045984498144E-2</v>
      </c>
      <c r="AE352" s="79">
        <f>_xlfn.XLOOKUP(tblTarget[[#This Row],[ID]],tblResponse[ID],tblResponse[2024 Projected reached (Dec 2024)])</f>
        <v>0</v>
      </c>
      <c r="AF352" s="79">
        <f>_xlfn.XLOOKUP(tblTarget[[#This Row],[ID]],tblResponse[ID],tblResponse[2024 Intercluster reached -August RPM])</f>
        <v>832.15983977651865</v>
      </c>
      <c r="AG352" s="79">
        <v>1</v>
      </c>
      <c r="AH352" s="79"/>
      <c r="AI352" s="79"/>
      <c r="AJ352" s="70" t="str">
        <f>IF(tblTarget[[#This Row],[Target to PiN (%)]]&gt;Targ_vs_PiN,"Flagged","")</f>
        <v/>
      </c>
      <c r="AK352" s="69" t="str">
        <f>IF(AND(tblTarget[[#This Row],[Qualifies for exception]]="Flagged",tblTarget[[#This Row],[Target to PiN (%)]]&gt;Targ_severity5),"Flagged","")</f>
        <v/>
      </c>
      <c r="AL352" s="68" t="str">
        <f>IFERROR(IF(AND(tblTarget[[#This Row],[Intercluser Severity]]=4,tblTarget[[#This Row],[Qualifies for exception]]="Flagged",(tblTarget[[#This Row],[Cluster Target]]-tblTarget[[#This Row],[2024 Response capacity up to December]])/tblTarget[[#This Row],[Cluster Target]]&gt;Diff_severity4),"Flagged",""),"No target")</f>
        <v/>
      </c>
      <c r="AM352" s="68" t="str">
        <f>IFERROR(IF(AND(tblTarget[[#This Row],[Intercluser Severity]]=3,tblTarget[[#This Row],[Qualifies for exception]]="Flagged",(tblTarget[[#This Row],[Cluster Target]]-tblTarget[[#This Row],[2024 Response capacity up to December]])/tblTarget[[#This Row],[Cluster Target]]&gt;Diff_severity3),"Flagged",""),"No target")</f>
        <v/>
      </c>
      <c r="AN352" s="81" t="s">
        <v>1099</v>
      </c>
      <c r="AO352" s="81"/>
      <c r="AP352" s="81" t="s">
        <v>15</v>
      </c>
      <c r="AQ352" s="81" t="s">
        <v>1098</v>
      </c>
    </row>
    <row r="353" spans="1:43" ht="15.95" customHeight="1" x14ac:dyDescent="0.2">
      <c r="A353" s="62" t="s">
        <v>790</v>
      </c>
      <c r="B353" s="72" t="s">
        <v>356</v>
      </c>
      <c r="C353" s="64" t="s">
        <v>357</v>
      </c>
      <c r="D353" s="63" t="s">
        <v>370</v>
      </c>
      <c r="E353" s="64" t="s">
        <v>371</v>
      </c>
      <c r="F353" s="65">
        <v>78131</v>
      </c>
      <c r="G353" s="66" t="s">
        <v>436</v>
      </c>
      <c r="H353" s="71">
        <v>35004</v>
      </c>
      <c r="I353" s="68">
        <v>3</v>
      </c>
      <c r="J353" s="68">
        <v>4</v>
      </c>
      <c r="K353" s="91">
        <v>3500</v>
      </c>
      <c r="L353" s="91">
        <v>1826.476489535909</v>
      </c>
      <c r="M353" s="91">
        <v>1673.5235104640908</v>
      </c>
      <c r="N353" s="91">
        <v>1925.0000000000002</v>
      </c>
      <c r="O353" s="91">
        <v>1365</v>
      </c>
      <c r="P353" s="91">
        <v>210</v>
      </c>
      <c r="Q353" s="85">
        <v>525</v>
      </c>
      <c r="R353" s="68" t="s">
        <v>436</v>
      </c>
      <c r="S353" s="86">
        <v>504</v>
      </c>
      <c r="T353" s="68">
        <v>126</v>
      </c>
      <c r="U353" s="68">
        <v>24</v>
      </c>
      <c r="V353" s="68">
        <v>32</v>
      </c>
      <c r="W353" s="68">
        <v>35</v>
      </c>
      <c r="X353" s="68">
        <v>70</v>
      </c>
      <c r="Y353" s="68">
        <v>105</v>
      </c>
      <c r="Z353" s="68">
        <v>70</v>
      </c>
      <c r="AA353" s="68">
        <v>0</v>
      </c>
      <c r="AB353" s="69">
        <v>10</v>
      </c>
      <c r="AC353" s="69">
        <v>37.669527532706297</v>
      </c>
      <c r="AD353" s="70">
        <f>IFERROR(tblTarget[[#This Row],[Cluster Target]]/tblTarget[[#This Row],[Cluster PiN]],0)</f>
        <v>9.9988572734544617E-2</v>
      </c>
      <c r="AE353" s="79">
        <f>_xlfn.XLOOKUP(tblTarget[[#This Row],[ID]],tblResponse[ID],tblResponse[2024 Projected reached (Dec 2024)])</f>
        <v>45655</v>
      </c>
      <c r="AF353" s="79">
        <f>_xlfn.XLOOKUP(tblTarget[[#This Row],[ID]],tblResponse[ID],tblResponse[2024 Intercluster reached -August RPM])</f>
        <v>47471.650002208335</v>
      </c>
      <c r="AG353" s="79">
        <v>5</v>
      </c>
      <c r="AH353" s="79"/>
      <c r="AI353" s="79"/>
      <c r="AJ353" s="70" t="str">
        <f>IF(tblTarget[[#This Row],[Target to PiN (%)]]&gt;Targ_vs_PiN,"Flagged","")</f>
        <v/>
      </c>
      <c r="AK353" s="69" t="str">
        <f>IF(AND(tblTarget[[#This Row],[Qualifies for exception]]="Flagged",tblTarget[[#This Row],[Target to PiN (%)]]&gt;Targ_severity5),"Flagged","")</f>
        <v/>
      </c>
      <c r="AL353" s="68" t="str">
        <f>IFERROR(IF(AND(tblTarget[[#This Row],[Intercluser Severity]]=4,tblTarget[[#This Row],[Qualifies for exception]]="Flagged",(tblTarget[[#This Row],[Cluster Target]]-tblTarget[[#This Row],[2024 Response capacity up to December]])/tblTarget[[#This Row],[Cluster Target]]&gt;Diff_severity4),"Flagged",""),"No target")</f>
        <v/>
      </c>
      <c r="AM353" s="68" t="str">
        <f>IFERROR(IF(AND(tblTarget[[#This Row],[Intercluser Severity]]=3,tblTarget[[#This Row],[Qualifies for exception]]="Flagged",(tblTarget[[#This Row],[Cluster Target]]-tblTarget[[#This Row],[2024 Response capacity up to December]])/tblTarget[[#This Row],[Cluster Target]]&gt;Diff_severity3),"Flagged",""),"No target")</f>
        <v/>
      </c>
      <c r="AN353" s="81" t="s">
        <v>1099</v>
      </c>
      <c r="AO353" s="81"/>
      <c r="AP353" s="81" t="s">
        <v>1099</v>
      </c>
      <c r="AQ353" s="81" t="s">
        <v>1107</v>
      </c>
    </row>
    <row r="354" spans="1:43" ht="15.95" customHeight="1" x14ac:dyDescent="0.2">
      <c r="A354" s="62" t="s">
        <v>791</v>
      </c>
      <c r="B354" s="63" t="s">
        <v>356</v>
      </c>
      <c r="C354" s="64" t="s">
        <v>357</v>
      </c>
      <c r="D354" s="63" t="s">
        <v>372</v>
      </c>
      <c r="E354" s="64" t="s">
        <v>373</v>
      </c>
      <c r="F354" s="65">
        <v>84123</v>
      </c>
      <c r="G354" s="66" t="s">
        <v>436</v>
      </c>
      <c r="H354" s="71">
        <v>34533</v>
      </c>
      <c r="I354" s="68">
        <v>3</v>
      </c>
      <c r="J354" s="68">
        <v>4</v>
      </c>
      <c r="K354" s="91">
        <v>1727</v>
      </c>
      <c r="L354" s="91">
        <v>902.46407682754625</v>
      </c>
      <c r="M354" s="91">
        <v>824.53592317245364</v>
      </c>
      <c r="N354" s="91">
        <v>949.85</v>
      </c>
      <c r="O354" s="91">
        <v>673.53</v>
      </c>
      <c r="P354" s="91">
        <v>103.61999999999999</v>
      </c>
      <c r="Q354" s="85">
        <v>259.05</v>
      </c>
      <c r="R354" s="68" t="s">
        <v>436</v>
      </c>
      <c r="S354" s="86">
        <v>249</v>
      </c>
      <c r="T354" s="68">
        <v>62</v>
      </c>
      <c r="U354" s="68">
        <v>12</v>
      </c>
      <c r="V354" s="68">
        <v>16</v>
      </c>
      <c r="W354" s="68">
        <v>17</v>
      </c>
      <c r="X354" s="68">
        <v>35</v>
      </c>
      <c r="Y354" s="68">
        <v>52</v>
      </c>
      <c r="Z354" s="68">
        <v>35</v>
      </c>
      <c r="AA354" s="68">
        <v>0</v>
      </c>
      <c r="AB354" s="69">
        <v>6</v>
      </c>
      <c r="AC354" s="69">
        <v>0</v>
      </c>
      <c r="AD354" s="70">
        <f>IFERROR(tblTarget[[#This Row],[Cluster Target]]/tblTarget[[#This Row],[Cluster PiN]],0)</f>
        <v>5.0010135232965568E-2</v>
      </c>
      <c r="AE354" s="79">
        <f>_xlfn.XLOOKUP(tblTarget[[#This Row],[ID]],tblResponse[ID],tblResponse[2024 Projected reached (Dec 2024)])</f>
        <v>2845</v>
      </c>
      <c r="AF354" s="79">
        <f>_xlfn.XLOOKUP(tblTarget[[#This Row],[ID]],tblResponse[ID],tblResponse[2024 Intercluster reached -August RPM])</f>
        <v>43250.901037852986</v>
      </c>
      <c r="AG354" s="79">
        <v>2</v>
      </c>
      <c r="AH354" s="79"/>
      <c r="AI354" s="79"/>
      <c r="AJ354" s="70" t="str">
        <f>IF(tblTarget[[#This Row],[Target to PiN (%)]]&gt;Targ_vs_PiN,"Flagged","")</f>
        <v/>
      </c>
      <c r="AK354" s="69" t="str">
        <f>IF(AND(tblTarget[[#This Row],[Qualifies for exception]]="Flagged",tblTarget[[#This Row],[Target to PiN (%)]]&gt;Targ_severity5),"Flagged","")</f>
        <v/>
      </c>
      <c r="AL354" s="68" t="str">
        <f>IFERROR(IF(AND(tblTarget[[#This Row],[Intercluser Severity]]=4,tblTarget[[#This Row],[Qualifies for exception]]="Flagged",(tblTarget[[#This Row],[Cluster Target]]-tblTarget[[#This Row],[2024 Response capacity up to December]])/tblTarget[[#This Row],[Cluster Target]]&gt;Diff_severity4),"Flagged",""),"No target")</f>
        <v/>
      </c>
      <c r="AM354" s="68" t="str">
        <f>IFERROR(IF(AND(tblTarget[[#This Row],[Intercluser Severity]]=3,tblTarget[[#This Row],[Qualifies for exception]]="Flagged",(tblTarget[[#This Row],[Cluster Target]]-tblTarget[[#This Row],[2024 Response capacity up to December]])/tblTarget[[#This Row],[Cluster Target]]&gt;Diff_severity3),"Flagged",""),"No target")</f>
        <v/>
      </c>
      <c r="AN354" s="81" t="s">
        <v>1099</v>
      </c>
      <c r="AO354" s="81"/>
      <c r="AP354" s="81" t="s">
        <v>1099</v>
      </c>
      <c r="AQ354" s="81" t="s">
        <v>1107</v>
      </c>
    </row>
    <row r="355" spans="1:43" ht="15.95" customHeight="1" x14ac:dyDescent="0.2">
      <c r="A355" s="62" t="s">
        <v>792</v>
      </c>
      <c r="B355" s="63" t="s">
        <v>374</v>
      </c>
      <c r="C355" s="64" t="s">
        <v>375</v>
      </c>
      <c r="D355" s="63" t="s">
        <v>376</v>
      </c>
      <c r="E355" s="64" t="s">
        <v>377</v>
      </c>
      <c r="F355" s="65">
        <v>47265</v>
      </c>
      <c r="G355" s="73" t="s">
        <v>436</v>
      </c>
      <c r="H355" s="67">
        <v>5629</v>
      </c>
      <c r="I355" s="68">
        <v>2</v>
      </c>
      <c r="J355" s="68">
        <v>3</v>
      </c>
      <c r="K355" s="91">
        <v>0</v>
      </c>
      <c r="L355" s="91">
        <v>0</v>
      </c>
      <c r="M355" s="91">
        <v>0</v>
      </c>
      <c r="N355" s="91">
        <v>0</v>
      </c>
      <c r="O355" s="91">
        <v>0</v>
      </c>
      <c r="P355" s="91">
        <v>0</v>
      </c>
      <c r="Q355" s="85">
        <v>0</v>
      </c>
      <c r="R355" s="68" t="s">
        <v>436</v>
      </c>
      <c r="S355" s="86">
        <v>0</v>
      </c>
      <c r="T355" s="68">
        <v>0</v>
      </c>
      <c r="U355" s="68">
        <v>0</v>
      </c>
      <c r="V355" s="68">
        <v>0</v>
      </c>
      <c r="W355" s="68">
        <v>0</v>
      </c>
      <c r="X355" s="68">
        <v>0</v>
      </c>
      <c r="Y355" s="68">
        <v>0</v>
      </c>
      <c r="Z355" s="68">
        <v>0</v>
      </c>
      <c r="AA355" s="68">
        <v>0</v>
      </c>
      <c r="AB355" s="69">
        <v>0</v>
      </c>
      <c r="AC355" s="69">
        <v>0</v>
      </c>
      <c r="AD355" s="70">
        <f>IFERROR(tblTarget[[#This Row],[Cluster Target]]/tblTarget[[#This Row],[Cluster PiN]],0)</f>
        <v>0</v>
      </c>
      <c r="AE355" s="79">
        <f>_xlfn.XLOOKUP(tblTarget[[#This Row],[ID]],tblResponse[ID],tblResponse[2024 Projected reached (Dec 2024)])</f>
        <v>26420</v>
      </c>
      <c r="AF355" s="79">
        <f>_xlfn.XLOOKUP(tblTarget[[#This Row],[ID]],tblResponse[ID],tblResponse[2024 Intercluster reached -August RPM])</f>
        <v>17811.075321954297</v>
      </c>
      <c r="AG355" s="79">
        <v>3</v>
      </c>
      <c r="AH355" s="79"/>
      <c r="AI355" s="79"/>
      <c r="AJ355" s="70" t="str">
        <f>IF(tblTarget[[#This Row],[Target to PiN (%)]]&gt;Targ_vs_PiN,"Flagged","")</f>
        <v/>
      </c>
      <c r="AK355" s="69" t="str">
        <f>IF(AND(tblTarget[[#This Row],[Qualifies for exception]]="Flagged",tblTarget[[#This Row],[Target to PiN (%)]]&gt;Targ_severity5),"Flagged","")</f>
        <v/>
      </c>
      <c r="AL355" s="68" t="str">
        <f>IFERROR(IF(AND(tblTarget[[#This Row],[Intercluser Severity]]=4,tblTarget[[#This Row],[Qualifies for exception]]="Flagged",(tblTarget[[#This Row],[Cluster Target]]-tblTarget[[#This Row],[2024 Response capacity up to December]])/tblTarget[[#This Row],[Cluster Target]]&gt;Diff_severity4),"Flagged",""),"No target")</f>
        <v>No target</v>
      </c>
      <c r="AM355" s="68" t="str">
        <f>IFERROR(IF(AND(tblTarget[[#This Row],[Intercluser Severity]]=3,tblTarget[[#This Row],[Qualifies for exception]]="Flagged",(tblTarget[[#This Row],[Cluster Target]]-tblTarget[[#This Row],[2024 Response capacity up to December]])/tblTarget[[#This Row],[Cluster Target]]&gt;Diff_severity3),"Flagged",""),"No target")</f>
        <v>No target</v>
      </c>
      <c r="AN355" s="81" t="s">
        <v>1099</v>
      </c>
      <c r="AO355" s="81"/>
      <c r="AP355" s="81" t="s">
        <v>1099</v>
      </c>
      <c r="AQ355" s="81" t="s">
        <v>1107</v>
      </c>
    </row>
    <row r="356" spans="1:43" ht="15.95" customHeight="1" x14ac:dyDescent="0.2">
      <c r="A356" s="62" t="s">
        <v>793</v>
      </c>
      <c r="B356" s="63" t="s">
        <v>374</v>
      </c>
      <c r="C356" s="64" t="s">
        <v>375</v>
      </c>
      <c r="D356" s="63" t="s">
        <v>378</v>
      </c>
      <c r="E356" s="64" t="s">
        <v>379</v>
      </c>
      <c r="F356" s="65">
        <v>107773</v>
      </c>
      <c r="G356" s="66" t="s">
        <v>436</v>
      </c>
      <c r="H356" s="67">
        <v>32494</v>
      </c>
      <c r="I356" s="68">
        <v>3</v>
      </c>
      <c r="J356" s="68">
        <v>3</v>
      </c>
      <c r="K356" s="91">
        <v>0</v>
      </c>
      <c r="L356" s="91">
        <v>0</v>
      </c>
      <c r="M356" s="91">
        <v>0</v>
      </c>
      <c r="N356" s="91">
        <v>0</v>
      </c>
      <c r="O356" s="91">
        <v>0</v>
      </c>
      <c r="P356" s="91">
        <v>0</v>
      </c>
      <c r="Q356" s="85">
        <v>0</v>
      </c>
      <c r="R356" s="68" t="s">
        <v>436</v>
      </c>
      <c r="S356" s="86">
        <v>0</v>
      </c>
      <c r="T356" s="68">
        <v>0</v>
      </c>
      <c r="U356" s="68">
        <v>0</v>
      </c>
      <c r="V356" s="68">
        <v>0</v>
      </c>
      <c r="W356" s="68">
        <v>0</v>
      </c>
      <c r="X356" s="68">
        <v>0</v>
      </c>
      <c r="Y356" s="68">
        <v>0</v>
      </c>
      <c r="Z356" s="68">
        <v>0</v>
      </c>
      <c r="AA356" s="68">
        <v>0</v>
      </c>
      <c r="AB356" s="69">
        <v>0</v>
      </c>
      <c r="AC356" s="69">
        <v>0</v>
      </c>
      <c r="AD356" s="70">
        <f>IFERROR(tblTarget[[#This Row],[Cluster Target]]/tblTarget[[#This Row],[Cluster PiN]],0)</f>
        <v>0</v>
      </c>
      <c r="AE356" s="79">
        <f>_xlfn.XLOOKUP(tblTarget[[#This Row],[ID]],tblResponse[ID],tblResponse[2024 Projected reached (Dec 2024)])</f>
        <v>0</v>
      </c>
      <c r="AF356" s="79">
        <f>_xlfn.XLOOKUP(tblTarget[[#This Row],[ID]],tblResponse[ID],tblResponse[2024 Intercluster reached -August RPM])</f>
        <v>26850.072579876738</v>
      </c>
      <c r="AG356" s="79">
        <v>1</v>
      </c>
      <c r="AH356" s="79"/>
      <c r="AI356" s="79"/>
      <c r="AJ356" s="70" t="str">
        <f>IF(tblTarget[[#This Row],[Target to PiN (%)]]&gt;Targ_vs_PiN,"Flagged","")</f>
        <v/>
      </c>
      <c r="AK356" s="69" t="str">
        <f>IF(AND(tblTarget[[#This Row],[Qualifies for exception]]="Flagged",tblTarget[[#This Row],[Target to PiN (%)]]&gt;Targ_severity5),"Flagged","")</f>
        <v/>
      </c>
      <c r="AL356" s="68" t="str">
        <f>IFERROR(IF(AND(tblTarget[[#This Row],[Intercluser Severity]]=4,tblTarget[[#This Row],[Qualifies for exception]]="Flagged",(tblTarget[[#This Row],[Cluster Target]]-tblTarget[[#This Row],[2024 Response capacity up to December]])/tblTarget[[#This Row],[Cluster Target]]&gt;Diff_severity4),"Flagged",""),"No target")</f>
        <v>No target</v>
      </c>
      <c r="AM356" s="68" t="str">
        <f>IFERROR(IF(AND(tblTarget[[#This Row],[Intercluser Severity]]=3,tblTarget[[#This Row],[Qualifies for exception]]="Flagged",(tblTarget[[#This Row],[Cluster Target]]-tblTarget[[#This Row],[2024 Response capacity up to December]])/tblTarget[[#This Row],[Cluster Target]]&gt;Diff_severity3),"Flagged",""),"No target")</f>
        <v>No target</v>
      </c>
      <c r="AN356" s="81" t="s">
        <v>1099</v>
      </c>
      <c r="AO356" s="81"/>
      <c r="AP356" s="81" t="s">
        <v>1099</v>
      </c>
      <c r="AQ356" s="81" t="s">
        <v>1107</v>
      </c>
    </row>
    <row r="357" spans="1:43" ht="15.95" customHeight="1" x14ac:dyDescent="0.2">
      <c r="A357" s="62" t="s">
        <v>794</v>
      </c>
      <c r="B357" s="63" t="s">
        <v>374</v>
      </c>
      <c r="C357" s="64" t="s">
        <v>375</v>
      </c>
      <c r="D357" s="63" t="s">
        <v>380</v>
      </c>
      <c r="E357" s="64" t="s">
        <v>381</v>
      </c>
      <c r="F357" s="65">
        <v>266545</v>
      </c>
      <c r="G357" s="66" t="s">
        <v>436</v>
      </c>
      <c r="H357" s="67">
        <v>120679</v>
      </c>
      <c r="I357" s="68">
        <v>3</v>
      </c>
      <c r="J357" s="68">
        <v>3</v>
      </c>
      <c r="K357" s="91">
        <v>48272</v>
      </c>
      <c r="L357" s="91">
        <v>24482.197875618262</v>
      </c>
      <c r="M357" s="91">
        <v>23789.802124381738</v>
      </c>
      <c r="N357" s="91">
        <v>26549.600000000002</v>
      </c>
      <c r="O357" s="91">
        <v>18826.080000000002</v>
      </c>
      <c r="P357" s="91">
        <v>2896.3199999999997</v>
      </c>
      <c r="Q357" s="85">
        <v>7240.8</v>
      </c>
      <c r="R357" s="68" t="s">
        <v>436</v>
      </c>
      <c r="S357" s="86">
        <v>6951</v>
      </c>
      <c r="T357" s="68">
        <v>1738</v>
      </c>
      <c r="U357" s="68">
        <v>326</v>
      </c>
      <c r="V357" s="68">
        <v>434</v>
      </c>
      <c r="W357" s="68">
        <v>483</v>
      </c>
      <c r="X357" s="68">
        <v>965</v>
      </c>
      <c r="Y357" s="68">
        <v>1448</v>
      </c>
      <c r="Z357" s="68">
        <v>965</v>
      </c>
      <c r="AA357" s="68">
        <v>0</v>
      </c>
      <c r="AB357" s="69">
        <v>142</v>
      </c>
      <c r="AC357" s="69">
        <v>301.35622026165038</v>
      </c>
      <c r="AD357" s="70">
        <f>IFERROR(tblTarget[[#This Row],[Cluster Target]]/tblTarget[[#This Row],[Cluster PiN]],0)</f>
        <v>0.4000033145783442</v>
      </c>
      <c r="AE357" s="79">
        <f>_xlfn.XLOOKUP(tblTarget[[#This Row],[ID]],tblResponse[ID],tblResponse[2024 Projected reached (Dec 2024)])</f>
        <v>14375</v>
      </c>
      <c r="AF357" s="79">
        <f>_xlfn.XLOOKUP(tblTarget[[#This Row],[ID]],tblResponse[ID],tblResponse[2024 Intercluster reached -August RPM])</f>
        <v>31181.585872819829</v>
      </c>
      <c r="AG357" s="79">
        <v>4</v>
      </c>
      <c r="AH357" s="79"/>
      <c r="AI357" s="79"/>
      <c r="AJ357" s="70" t="str">
        <f>IF(tblTarget[[#This Row],[Target to PiN (%)]]&gt;Targ_vs_PiN,"Flagged","")</f>
        <v/>
      </c>
      <c r="AK357" s="69" t="str">
        <f>IF(AND(tblTarget[[#This Row],[Qualifies for exception]]="Flagged",tblTarget[[#This Row],[Target to PiN (%)]]&gt;Targ_severity5),"Flagged","")</f>
        <v/>
      </c>
      <c r="AL357" s="68" t="str">
        <f>IFERROR(IF(AND(tblTarget[[#This Row],[Intercluser Severity]]=4,tblTarget[[#This Row],[Qualifies for exception]]="Flagged",(tblTarget[[#This Row],[Cluster Target]]-tblTarget[[#This Row],[2024 Response capacity up to December]])/tblTarget[[#This Row],[Cluster Target]]&gt;Diff_severity4),"Flagged",""),"No target")</f>
        <v/>
      </c>
      <c r="AM357" s="68" t="str">
        <f>IFERROR(IF(AND(tblTarget[[#This Row],[Intercluser Severity]]=3,tblTarget[[#This Row],[Qualifies for exception]]="Flagged",(tblTarget[[#This Row],[Cluster Target]]-tblTarget[[#This Row],[2024 Response capacity up to December]])/tblTarget[[#This Row],[Cluster Target]]&gt;Diff_severity3),"Flagged",""),"No target")</f>
        <v>Flagged</v>
      </c>
      <c r="AN357" s="81" t="s">
        <v>1099</v>
      </c>
      <c r="AO357" s="81"/>
      <c r="AP357" s="81" t="s">
        <v>1099</v>
      </c>
      <c r="AQ357" s="81" t="s">
        <v>1107</v>
      </c>
    </row>
    <row r="358" spans="1:43" ht="15.95" customHeight="1" x14ac:dyDescent="0.2">
      <c r="A358" s="62" t="s">
        <v>795</v>
      </c>
      <c r="B358" s="63" t="s">
        <v>374</v>
      </c>
      <c r="C358" s="64" t="s">
        <v>375</v>
      </c>
      <c r="D358" s="63" t="s">
        <v>382</v>
      </c>
      <c r="E358" s="64" t="s">
        <v>383</v>
      </c>
      <c r="F358" s="65">
        <v>143830</v>
      </c>
      <c r="G358" s="66" t="s">
        <v>436</v>
      </c>
      <c r="H358" s="67">
        <v>64989</v>
      </c>
      <c r="I358" s="68">
        <v>3</v>
      </c>
      <c r="J358" s="68">
        <v>3</v>
      </c>
      <c r="K358" s="91">
        <v>25996</v>
      </c>
      <c r="L358" s="91">
        <v>13028.305253166505</v>
      </c>
      <c r="M358" s="91">
        <v>12967.694746833495</v>
      </c>
      <c r="N358" s="91">
        <v>14297.800000000001</v>
      </c>
      <c r="O358" s="91">
        <v>10138.44</v>
      </c>
      <c r="P358" s="91">
        <v>1559.76</v>
      </c>
      <c r="Q358" s="85">
        <v>3899.3999999999996</v>
      </c>
      <c r="R358" s="68" t="s">
        <v>436</v>
      </c>
      <c r="S358" s="86">
        <v>3743</v>
      </c>
      <c r="T358" s="68">
        <v>936</v>
      </c>
      <c r="U358" s="68">
        <v>175</v>
      </c>
      <c r="V358" s="68">
        <v>234</v>
      </c>
      <c r="W358" s="68">
        <v>260</v>
      </c>
      <c r="X358" s="68">
        <v>520</v>
      </c>
      <c r="Y358" s="68">
        <v>780</v>
      </c>
      <c r="Z358" s="68">
        <v>520</v>
      </c>
      <c r="AA358" s="68">
        <v>0</v>
      </c>
      <c r="AB358" s="69">
        <v>76</v>
      </c>
      <c r="AC358" s="69">
        <v>150.67811013082519</v>
      </c>
      <c r="AD358" s="70">
        <f>IFERROR(tblTarget[[#This Row],[Cluster Target]]/tblTarget[[#This Row],[Cluster PiN]],0)</f>
        <v>0.40000615488775021</v>
      </c>
      <c r="AE358" s="79">
        <f>_xlfn.XLOOKUP(tblTarget[[#This Row],[ID]],tblResponse[ID],tblResponse[2024 Projected reached (Dec 2024)])</f>
        <v>33335</v>
      </c>
      <c r="AF358" s="79">
        <f>_xlfn.XLOOKUP(tblTarget[[#This Row],[ID]],tblResponse[ID],tblResponse[2024 Intercluster reached -August RPM])</f>
        <v>37352.129590407974</v>
      </c>
      <c r="AG358" s="79">
        <v>3</v>
      </c>
      <c r="AH358" s="79"/>
      <c r="AI358" s="79"/>
      <c r="AJ358" s="70" t="str">
        <f>IF(tblTarget[[#This Row],[Target to PiN (%)]]&gt;Targ_vs_PiN,"Flagged","")</f>
        <v/>
      </c>
      <c r="AK358" s="69" t="str">
        <f>IF(AND(tblTarget[[#This Row],[Qualifies for exception]]="Flagged",tblTarget[[#This Row],[Target to PiN (%)]]&gt;Targ_severity5),"Flagged","")</f>
        <v/>
      </c>
      <c r="AL358" s="68" t="str">
        <f>IFERROR(IF(AND(tblTarget[[#This Row],[Intercluser Severity]]=4,tblTarget[[#This Row],[Qualifies for exception]]="Flagged",(tblTarget[[#This Row],[Cluster Target]]-tblTarget[[#This Row],[2024 Response capacity up to December]])/tblTarget[[#This Row],[Cluster Target]]&gt;Diff_severity4),"Flagged",""),"No target")</f>
        <v/>
      </c>
      <c r="AM358" s="68" t="str">
        <f>IFERROR(IF(AND(tblTarget[[#This Row],[Intercluser Severity]]=3,tblTarget[[#This Row],[Qualifies for exception]]="Flagged",(tblTarget[[#This Row],[Cluster Target]]-tblTarget[[#This Row],[2024 Response capacity up to December]])/tblTarget[[#This Row],[Cluster Target]]&gt;Diff_severity3),"Flagged",""),"No target")</f>
        <v/>
      </c>
      <c r="AN358" s="81" t="s">
        <v>1099</v>
      </c>
      <c r="AO358" s="81"/>
      <c r="AP358" s="81" t="s">
        <v>1099</v>
      </c>
      <c r="AQ358" s="81" t="s">
        <v>1107</v>
      </c>
    </row>
    <row r="359" spans="1:43" ht="15.95" customHeight="1" x14ac:dyDescent="0.2">
      <c r="A359" s="62" t="s">
        <v>796</v>
      </c>
      <c r="B359" s="63" t="s">
        <v>374</v>
      </c>
      <c r="C359" s="64" t="s">
        <v>375</v>
      </c>
      <c r="D359" s="63" t="s">
        <v>384</v>
      </c>
      <c r="E359" s="64" t="s">
        <v>385</v>
      </c>
      <c r="F359" s="65">
        <v>156069</v>
      </c>
      <c r="G359" s="66" t="s">
        <v>436</v>
      </c>
      <c r="H359" s="67">
        <v>56125</v>
      </c>
      <c r="I359" s="68">
        <v>3</v>
      </c>
      <c r="J359" s="68">
        <v>3</v>
      </c>
      <c r="K359" s="91">
        <v>22450</v>
      </c>
      <c r="L359" s="91">
        <v>11382.466960849593</v>
      </c>
      <c r="M359" s="91">
        <v>11067.533039150405</v>
      </c>
      <c r="N359" s="91">
        <v>12347.500000000002</v>
      </c>
      <c r="O359" s="91">
        <v>8755.5</v>
      </c>
      <c r="P359" s="91">
        <v>1347</v>
      </c>
      <c r="Q359" s="85">
        <v>3367.5</v>
      </c>
      <c r="R359" s="68" t="s">
        <v>436</v>
      </c>
      <c r="S359" s="86">
        <v>3233</v>
      </c>
      <c r="T359" s="68">
        <v>808</v>
      </c>
      <c r="U359" s="68">
        <v>152</v>
      </c>
      <c r="V359" s="68">
        <v>202</v>
      </c>
      <c r="W359" s="68">
        <v>225</v>
      </c>
      <c r="X359" s="68">
        <v>449</v>
      </c>
      <c r="Y359" s="68">
        <v>674</v>
      </c>
      <c r="Z359" s="68">
        <v>449</v>
      </c>
      <c r="AA359" s="68">
        <v>0</v>
      </c>
      <c r="AB359" s="69">
        <v>66</v>
      </c>
      <c r="AC359" s="69">
        <v>150.67811013082519</v>
      </c>
      <c r="AD359" s="70">
        <f>IFERROR(tblTarget[[#This Row],[Cluster Target]]/tblTarget[[#This Row],[Cluster PiN]],0)</f>
        <v>0.4</v>
      </c>
      <c r="AE359" s="79">
        <f>_xlfn.XLOOKUP(tblTarget[[#This Row],[ID]],tblResponse[ID],tblResponse[2024 Projected reached (Dec 2024)])</f>
        <v>6665</v>
      </c>
      <c r="AF359" s="79">
        <f>_xlfn.XLOOKUP(tblTarget[[#This Row],[ID]],tblResponse[ID],tblResponse[2024 Intercluster reached -August RPM])</f>
        <v>27856.086739524231</v>
      </c>
      <c r="AG359" s="79">
        <v>3</v>
      </c>
      <c r="AH359" s="79"/>
      <c r="AI359" s="79"/>
      <c r="AJ359" s="70" t="str">
        <f>IF(tblTarget[[#This Row],[Target to PiN (%)]]&gt;Targ_vs_PiN,"Flagged","")</f>
        <v/>
      </c>
      <c r="AK359" s="69" t="str">
        <f>IF(AND(tblTarget[[#This Row],[Qualifies for exception]]="Flagged",tblTarget[[#This Row],[Target to PiN (%)]]&gt;Targ_severity5),"Flagged","")</f>
        <v/>
      </c>
      <c r="AL359" s="68" t="str">
        <f>IFERROR(IF(AND(tblTarget[[#This Row],[Intercluser Severity]]=4,tblTarget[[#This Row],[Qualifies for exception]]="Flagged",(tblTarget[[#This Row],[Cluster Target]]-tblTarget[[#This Row],[2024 Response capacity up to December]])/tblTarget[[#This Row],[Cluster Target]]&gt;Diff_severity4),"Flagged",""),"No target")</f>
        <v/>
      </c>
      <c r="AM359" s="68" t="str">
        <f>IFERROR(IF(AND(tblTarget[[#This Row],[Intercluser Severity]]=3,tblTarget[[#This Row],[Qualifies for exception]]="Flagged",(tblTarget[[#This Row],[Cluster Target]]-tblTarget[[#This Row],[2024 Response capacity up to December]])/tblTarget[[#This Row],[Cluster Target]]&gt;Diff_severity3),"Flagged",""),"No target")</f>
        <v>Flagged</v>
      </c>
      <c r="AN359" s="81" t="s">
        <v>1099</v>
      </c>
      <c r="AO359" s="81"/>
      <c r="AP359" s="81" t="s">
        <v>1099</v>
      </c>
      <c r="AQ359" s="81" t="s">
        <v>1107</v>
      </c>
    </row>
    <row r="360" spans="1:43" ht="15.95" customHeight="1" x14ac:dyDescent="0.2">
      <c r="A360" s="62" t="s">
        <v>797</v>
      </c>
      <c r="B360" s="63" t="s">
        <v>374</v>
      </c>
      <c r="C360" s="64" t="s">
        <v>375</v>
      </c>
      <c r="D360" s="63" t="s">
        <v>386</v>
      </c>
      <c r="E360" s="64" t="s">
        <v>387</v>
      </c>
      <c r="F360" s="65">
        <v>31649</v>
      </c>
      <c r="G360" s="66" t="s">
        <v>436</v>
      </c>
      <c r="H360" s="67">
        <v>12708</v>
      </c>
      <c r="I360" s="68">
        <v>3</v>
      </c>
      <c r="J360" s="68">
        <v>3</v>
      </c>
      <c r="K360" s="91">
        <v>7625</v>
      </c>
      <c r="L360" s="91">
        <v>3890.9172271642442</v>
      </c>
      <c r="M360" s="91">
        <v>3734.0827728357563</v>
      </c>
      <c r="N360" s="91">
        <v>4193.75</v>
      </c>
      <c r="O360" s="91">
        <v>2973.75</v>
      </c>
      <c r="P360" s="91">
        <v>457.5</v>
      </c>
      <c r="Q360" s="85">
        <v>1143.75</v>
      </c>
      <c r="R360" s="68" t="s">
        <v>436</v>
      </c>
      <c r="S360" s="86">
        <v>1098</v>
      </c>
      <c r="T360" s="68">
        <v>275</v>
      </c>
      <c r="U360" s="68">
        <v>51</v>
      </c>
      <c r="V360" s="68">
        <v>69</v>
      </c>
      <c r="W360" s="68">
        <v>76</v>
      </c>
      <c r="X360" s="68">
        <v>153</v>
      </c>
      <c r="Y360" s="68">
        <v>229</v>
      </c>
      <c r="Z360" s="68">
        <v>153</v>
      </c>
      <c r="AA360" s="68">
        <v>0</v>
      </c>
      <c r="AB360" s="69">
        <v>22</v>
      </c>
      <c r="AC360" s="69">
        <v>37.669527532706297</v>
      </c>
      <c r="AD360" s="70">
        <f>IFERROR(tblTarget[[#This Row],[Cluster Target]]/tblTarget[[#This Row],[Cluster PiN]],0)</f>
        <v>0.60001573811772113</v>
      </c>
      <c r="AE360" s="79">
        <f>_xlfn.XLOOKUP(tblTarget[[#This Row],[ID]],tblResponse[ID],tblResponse[2024 Projected reached (Dec 2024)])</f>
        <v>1535</v>
      </c>
      <c r="AF360" s="79">
        <f>_xlfn.XLOOKUP(tblTarget[[#This Row],[ID]],tblResponse[ID],tblResponse[2024 Intercluster reached -August RPM])</f>
        <v>31672.602999549028</v>
      </c>
      <c r="AG360" s="79">
        <v>2</v>
      </c>
      <c r="AH360" s="79"/>
      <c r="AI360" s="79"/>
      <c r="AJ360" s="70" t="str">
        <f>IF(tblTarget[[#This Row],[Target to PiN (%)]]&gt;Targ_vs_PiN,"Flagged","")</f>
        <v/>
      </c>
      <c r="AK360" s="69" t="str">
        <f>IF(AND(tblTarget[[#This Row],[Qualifies for exception]]="Flagged",tblTarget[[#This Row],[Target to PiN (%)]]&gt;Targ_severity5),"Flagged","")</f>
        <v/>
      </c>
      <c r="AL360" s="68" t="str">
        <f>IFERROR(IF(AND(tblTarget[[#This Row],[Intercluser Severity]]=4,tblTarget[[#This Row],[Qualifies for exception]]="Flagged",(tblTarget[[#This Row],[Cluster Target]]-tblTarget[[#This Row],[2024 Response capacity up to December]])/tblTarget[[#This Row],[Cluster Target]]&gt;Diff_severity4),"Flagged",""),"No target")</f>
        <v/>
      </c>
      <c r="AM360" s="68" t="str">
        <f>IFERROR(IF(AND(tblTarget[[#This Row],[Intercluser Severity]]=3,tblTarget[[#This Row],[Qualifies for exception]]="Flagged",(tblTarget[[#This Row],[Cluster Target]]-tblTarget[[#This Row],[2024 Response capacity up to December]])/tblTarget[[#This Row],[Cluster Target]]&gt;Diff_severity3),"Flagged",""),"No target")</f>
        <v>Flagged</v>
      </c>
      <c r="AN360" s="81" t="s">
        <v>1099</v>
      </c>
      <c r="AO360" s="81"/>
      <c r="AP360" s="81" t="s">
        <v>1099</v>
      </c>
      <c r="AQ360" s="81" t="s">
        <v>1107</v>
      </c>
    </row>
    <row r="361" spans="1:43" ht="15.95" customHeight="1" x14ac:dyDescent="0.2">
      <c r="A361" s="62" t="s">
        <v>798</v>
      </c>
      <c r="B361" s="63" t="s">
        <v>374</v>
      </c>
      <c r="C361" s="64" t="s">
        <v>375</v>
      </c>
      <c r="D361" s="63" t="s">
        <v>388</v>
      </c>
      <c r="E361" s="64" t="s">
        <v>389</v>
      </c>
      <c r="F361" s="65">
        <v>17265</v>
      </c>
      <c r="G361" s="66" t="s">
        <v>436</v>
      </c>
      <c r="H361" s="67">
        <v>8617</v>
      </c>
      <c r="I361" s="68">
        <v>3</v>
      </c>
      <c r="J361" s="68">
        <v>3</v>
      </c>
      <c r="K361" s="91">
        <v>1723</v>
      </c>
      <c r="L361" s="91">
        <v>850.23796916133881</v>
      </c>
      <c r="M361" s="91">
        <v>872.76203083866119</v>
      </c>
      <c r="N361" s="91">
        <v>947.65000000000009</v>
      </c>
      <c r="O361" s="91">
        <v>671.97</v>
      </c>
      <c r="P361" s="91">
        <v>103.38</v>
      </c>
      <c r="Q361" s="85">
        <v>258.45</v>
      </c>
      <c r="R361" s="68" t="s">
        <v>436</v>
      </c>
      <c r="S361" s="86">
        <v>248</v>
      </c>
      <c r="T361" s="68">
        <v>62</v>
      </c>
      <c r="U361" s="68">
        <v>12</v>
      </c>
      <c r="V361" s="68">
        <v>16</v>
      </c>
      <c r="W361" s="68">
        <v>17</v>
      </c>
      <c r="X361" s="68">
        <v>34</v>
      </c>
      <c r="Y361" s="68">
        <v>52</v>
      </c>
      <c r="Z361" s="68">
        <v>34</v>
      </c>
      <c r="AA361" s="68">
        <v>0</v>
      </c>
      <c r="AB361" s="69">
        <v>6</v>
      </c>
      <c r="AC361" s="69">
        <v>0</v>
      </c>
      <c r="AD361" s="70">
        <f>IFERROR(tblTarget[[#This Row],[Cluster Target]]/tblTarget[[#This Row],[Cluster PiN]],0)</f>
        <v>0.19995358013229661</v>
      </c>
      <c r="AE361" s="79">
        <f>_xlfn.XLOOKUP(tblTarget[[#This Row],[ID]],tblResponse[ID],tblResponse[2024 Projected reached (Dec 2024)])</f>
        <v>3335</v>
      </c>
      <c r="AF361" s="79">
        <f>_xlfn.XLOOKUP(tblTarget[[#This Row],[ID]],tblResponse[ID],tblResponse[2024 Intercluster reached -August RPM])</f>
        <v>15138.172207090645</v>
      </c>
      <c r="AG361" s="79">
        <v>2</v>
      </c>
      <c r="AH361" s="79"/>
      <c r="AI361" s="79"/>
      <c r="AJ361" s="70" t="str">
        <f>IF(tblTarget[[#This Row],[Target to PiN (%)]]&gt;Targ_vs_PiN,"Flagged","")</f>
        <v/>
      </c>
      <c r="AK361" s="69" t="str">
        <f>IF(AND(tblTarget[[#This Row],[Qualifies for exception]]="Flagged",tblTarget[[#This Row],[Target to PiN (%)]]&gt;Targ_severity5),"Flagged","")</f>
        <v/>
      </c>
      <c r="AL361" s="68" t="str">
        <f>IFERROR(IF(AND(tblTarget[[#This Row],[Intercluser Severity]]=4,tblTarget[[#This Row],[Qualifies for exception]]="Flagged",(tblTarget[[#This Row],[Cluster Target]]-tblTarget[[#This Row],[2024 Response capacity up to December]])/tblTarget[[#This Row],[Cluster Target]]&gt;Diff_severity4),"Flagged",""),"No target")</f>
        <v/>
      </c>
      <c r="AM361" s="68" t="str">
        <f>IFERROR(IF(AND(tblTarget[[#This Row],[Intercluser Severity]]=3,tblTarget[[#This Row],[Qualifies for exception]]="Flagged",(tblTarget[[#This Row],[Cluster Target]]-tblTarget[[#This Row],[2024 Response capacity up to December]])/tblTarget[[#This Row],[Cluster Target]]&gt;Diff_severity3),"Flagged",""),"No target")</f>
        <v/>
      </c>
      <c r="AN361" s="81" t="s">
        <v>1099</v>
      </c>
      <c r="AO361" s="81"/>
      <c r="AP361" s="81" t="s">
        <v>1099</v>
      </c>
      <c r="AQ361" s="81" t="s">
        <v>1107</v>
      </c>
    </row>
    <row r="362" spans="1:43" ht="15.95" customHeight="1" x14ac:dyDescent="0.2">
      <c r="A362" s="62" t="s">
        <v>799</v>
      </c>
      <c r="B362" s="63" t="s">
        <v>390</v>
      </c>
      <c r="C362" s="64" t="s">
        <v>391</v>
      </c>
      <c r="D362" s="63" t="s">
        <v>392</v>
      </c>
      <c r="E362" s="64" t="s">
        <v>393</v>
      </c>
      <c r="F362" s="65">
        <v>36214</v>
      </c>
      <c r="G362" s="66" t="s">
        <v>436</v>
      </c>
      <c r="H362" s="67">
        <v>11917</v>
      </c>
      <c r="I362" s="68">
        <v>3</v>
      </c>
      <c r="J362" s="68">
        <v>3</v>
      </c>
      <c r="K362" s="91">
        <v>2383</v>
      </c>
      <c r="L362" s="91">
        <v>1194.4655036153674</v>
      </c>
      <c r="M362" s="91">
        <v>1188.5344963846326</v>
      </c>
      <c r="N362" s="91">
        <v>1310.6500000000001</v>
      </c>
      <c r="O362" s="91">
        <v>929.37</v>
      </c>
      <c r="P362" s="91">
        <v>142.97999999999999</v>
      </c>
      <c r="Q362" s="85">
        <v>357.45</v>
      </c>
      <c r="R362" s="68" t="s">
        <v>436</v>
      </c>
      <c r="S362" s="86">
        <v>343</v>
      </c>
      <c r="T362" s="68">
        <v>86</v>
      </c>
      <c r="U362" s="68">
        <v>16</v>
      </c>
      <c r="V362" s="68">
        <v>21</v>
      </c>
      <c r="W362" s="68">
        <v>24</v>
      </c>
      <c r="X362" s="68">
        <v>48</v>
      </c>
      <c r="Y362" s="68">
        <v>71</v>
      </c>
      <c r="Z362" s="68">
        <v>48</v>
      </c>
      <c r="AA362" s="68">
        <v>23.717740439362426</v>
      </c>
      <c r="AB362" s="69">
        <v>8</v>
      </c>
      <c r="AC362" s="69">
        <v>0</v>
      </c>
      <c r="AD362" s="70">
        <f>IFERROR(tblTarget[[#This Row],[Cluster Target]]/tblTarget[[#This Row],[Cluster PiN]],0)</f>
        <v>0.19996643450532853</v>
      </c>
      <c r="AE362" s="79">
        <f>_xlfn.XLOOKUP(tblTarget[[#This Row],[ID]],tblResponse[ID],tblResponse[2024 Projected reached (Dec 2024)])</f>
        <v>12840</v>
      </c>
      <c r="AF362" s="79">
        <f>_xlfn.XLOOKUP(tblTarget[[#This Row],[ID]],tblResponse[ID],tblResponse[2024 Intercluster reached -August RPM])</f>
        <v>27581.459718644299</v>
      </c>
      <c r="AG362" s="79">
        <v>5</v>
      </c>
      <c r="AH362" s="79"/>
      <c r="AI362" s="79"/>
      <c r="AJ362" s="70" t="str">
        <f>IF(tblTarget[[#This Row],[Target to PiN (%)]]&gt;Targ_vs_PiN,"Flagged","")</f>
        <v/>
      </c>
      <c r="AK362" s="69" t="str">
        <f>IF(AND(tblTarget[[#This Row],[Qualifies for exception]]="Flagged",tblTarget[[#This Row],[Target to PiN (%)]]&gt;Targ_severity5),"Flagged","")</f>
        <v/>
      </c>
      <c r="AL362" s="68" t="str">
        <f>IFERROR(IF(AND(tblTarget[[#This Row],[Intercluser Severity]]=4,tblTarget[[#This Row],[Qualifies for exception]]="Flagged",(tblTarget[[#This Row],[Cluster Target]]-tblTarget[[#This Row],[2024 Response capacity up to December]])/tblTarget[[#This Row],[Cluster Target]]&gt;Diff_severity4),"Flagged",""),"No target")</f>
        <v/>
      </c>
      <c r="AM362" s="68" t="str">
        <f>IFERROR(IF(AND(tblTarget[[#This Row],[Intercluser Severity]]=3,tblTarget[[#This Row],[Qualifies for exception]]="Flagged",(tblTarget[[#This Row],[Cluster Target]]-tblTarget[[#This Row],[2024 Response capacity up to December]])/tblTarget[[#This Row],[Cluster Target]]&gt;Diff_severity3),"Flagged",""),"No target")</f>
        <v/>
      </c>
      <c r="AN362" s="81" t="s">
        <v>1099</v>
      </c>
      <c r="AO362" s="81"/>
      <c r="AP362" s="81" t="s">
        <v>1099</v>
      </c>
      <c r="AQ362" s="81" t="s">
        <v>1107</v>
      </c>
    </row>
    <row r="363" spans="1:43" ht="15.95" customHeight="1" x14ac:dyDescent="0.2">
      <c r="A363" s="62" t="s">
        <v>800</v>
      </c>
      <c r="B363" s="63" t="s">
        <v>390</v>
      </c>
      <c r="C363" s="64" t="s">
        <v>391</v>
      </c>
      <c r="D363" s="63" t="s">
        <v>394</v>
      </c>
      <c r="E363" s="64" t="s">
        <v>395</v>
      </c>
      <c r="F363" s="65">
        <v>40375</v>
      </c>
      <c r="G363" s="66" t="s">
        <v>436</v>
      </c>
      <c r="H363" s="67">
        <v>17464</v>
      </c>
      <c r="I363" s="68">
        <v>3</v>
      </c>
      <c r="J363" s="68">
        <v>3</v>
      </c>
      <c r="K363" s="91">
        <v>3493</v>
      </c>
      <c r="L363" s="91">
        <v>1846.4647495095458</v>
      </c>
      <c r="M363" s="91">
        <v>1646.535250490454</v>
      </c>
      <c r="N363" s="91">
        <v>1921.15</v>
      </c>
      <c r="O363" s="91">
        <v>1362.27</v>
      </c>
      <c r="P363" s="91">
        <v>209.57999999999998</v>
      </c>
      <c r="Q363" s="85">
        <v>523.94999999999993</v>
      </c>
      <c r="R363" s="68" t="s">
        <v>436</v>
      </c>
      <c r="S363" s="86">
        <v>503</v>
      </c>
      <c r="T363" s="68">
        <v>126</v>
      </c>
      <c r="U363" s="68">
        <v>24</v>
      </c>
      <c r="V363" s="68">
        <v>31</v>
      </c>
      <c r="W363" s="68">
        <v>35</v>
      </c>
      <c r="X363" s="68">
        <v>70</v>
      </c>
      <c r="Y363" s="68">
        <v>105</v>
      </c>
      <c r="Z363" s="68">
        <v>70</v>
      </c>
      <c r="AA363" s="68">
        <v>0</v>
      </c>
      <c r="AB363" s="69">
        <v>10</v>
      </c>
      <c r="AC363" s="69">
        <v>37.669527532706297</v>
      </c>
      <c r="AD363" s="70">
        <f>IFERROR(tblTarget[[#This Row],[Cluster Target]]/tblTarget[[#This Row],[Cluster PiN]],0)</f>
        <v>0.20001145213009619</v>
      </c>
      <c r="AE363" s="79">
        <f>_xlfn.XLOOKUP(tblTarget[[#This Row],[ID]],tblResponse[ID],tblResponse[2024 Projected reached (Dec 2024)])</f>
        <v>1900</v>
      </c>
      <c r="AF363" s="79">
        <f>_xlfn.XLOOKUP(tblTarget[[#This Row],[ID]],tblResponse[ID],tblResponse[2024 Intercluster reached -August RPM])</f>
        <v>6622.1652841495379</v>
      </c>
      <c r="AG363" s="79">
        <v>3</v>
      </c>
      <c r="AH363" s="79"/>
      <c r="AI363" s="79"/>
      <c r="AJ363" s="70" t="str">
        <f>IF(tblTarget[[#This Row],[Target to PiN (%)]]&gt;Targ_vs_PiN,"Flagged","")</f>
        <v/>
      </c>
      <c r="AK363" s="69" t="str">
        <f>IF(AND(tblTarget[[#This Row],[Qualifies for exception]]="Flagged",tblTarget[[#This Row],[Target to PiN (%)]]&gt;Targ_severity5),"Flagged","")</f>
        <v/>
      </c>
      <c r="AL363" s="68" t="str">
        <f>IFERROR(IF(AND(tblTarget[[#This Row],[Intercluser Severity]]=4,tblTarget[[#This Row],[Qualifies for exception]]="Flagged",(tblTarget[[#This Row],[Cluster Target]]-tblTarget[[#This Row],[2024 Response capacity up to December]])/tblTarget[[#This Row],[Cluster Target]]&gt;Diff_severity4),"Flagged",""),"No target")</f>
        <v/>
      </c>
      <c r="AM363" s="68" t="str">
        <f>IFERROR(IF(AND(tblTarget[[#This Row],[Intercluser Severity]]=3,tblTarget[[#This Row],[Qualifies for exception]]="Flagged",(tblTarget[[#This Row],[Cluster Target]]-tblTarget[[#This Row],[2024 Response capacity up to December]])/tblTarget[[#This Row],[Cluster Target]]&gt;Diff_severity3),"Flagged",""),"No target")</f>
        <v>Flagged</v>
      </c>
      <c r="AN363" s="81" t="s">
        <v>1099</v>
      </c>
      <c r="AO363" s="81"/>
      <c r="AP363" s="81" t="s">
        <v>1099</v>
      </c>
      <c r="AQ363" s="81" t="s">
        <v>1107</v>
      </c>
    </row>
    <row r="364" spans="1:43" ht="15.95" customHeight="1" x14ac:dyDescent="0.2">
      <c r="A364" s="62" t="s">
        <v>801</v>
      </c>
      <c r="B364" s="63" t="s">
        <v>390</v>
      </c>
      <c r="C364" s="64" t="s">
        <v>391</v>
      </c>
      <c r="D364" s="63" t="s">
        <v>396</v>
      </c>
      <c r="E364" s="64" t="s">
        <v>397</v>
      </c>
      <c r="F364" s="65">
        <v>59772</v>
      </c>
      <c r="G364" s="66" t="s">
        <v>436</v>
      </c>
      <c r="H364" s="67">
        <v>14547</v>
      </c>
      <c r="I364" s="68">
        <v>3</v>
      </c>
      <c r="J364" s="68">
        <v>3</v>
      </c>
      <c r="K364" s="91">
        <v>2909</v>
      </c>
      <c r="L364" s="91">
        <v>1499.1258450338014</v>
      </c>
      <c r="M364" s="91">
        <v>1409.8741549661986</v>
      </c>
      <c r="N364" s="91">
        <v>1599.95</v>
      </c>
      <c r="O364" s="91">
        <v>1134.51</v>
      </c>
      <c r="P364" s="91">
        <v>174.54</v>
      </c>
      <c r="Q364" s="85">
        <v>436.34999999999997</v>
      </c>
      <c r="R364" s="68" t="s">
        <v>436</v>
      </c>
      <c r="S364" s="86">
        <v>419</v>
      </c>
      <c r="T364" s="68">
        <v>105</v>
      </c>
      <c r="U364" s="68">
        <v>20</v>
      </c>
      <c r="V364" s="68">
        <v>26</v>
      </c>
      <c r="W364" s="68">
        <v>29</v>
      </c>
      <c r="X364" s="68">
        <v>58</v>
      </c>
      <c r="Y364" s="68">
        <v>87</v>
      </c>
      <c r="Z364" s="68">
        <v>58</v>
      </c>
      <c r="AA364" s="68">
        <v>0</v>
      </c>
      <c r="AB364" s="69">
        <v>8</v>
      </c>
      <c r="AC364" s="69">
        <v>0</v>
      </c>
      <c r="AD364" s="70">
        <f>IFERROR(tblTarget[[#This Row],[Cluster Target]]/tblTarget[[#This Row],[Cluster PiN]],0)</f>
        <v>0.19997250292156457</v>
      </c>
      <c r="AE364" s="79">
        <f>_xlfn.XLOOKUP(tblTarget[[#This Row],[ID]],tblResponse[ID],tblResponse[2024 Projected reached (Dec 2024)])</f>
        <v>2000</v>
      </c>
      <c r="AF364" s="79">
        <f>_xlfn.XLOOKUP(tblTarget[[#This Row],[ID]],tblResponse[ID],tblResponse[2024 Intercluster reached -August RPM])</f>
        <v>12269.718666756355</v>
      </c>
      <c r="AG364" s="79">
        <v>3</v>
      </c>
      <c r="AH364" s="79"/>
      <c r="AI364" s="79"/>
      <c r="AJ364" s="70" t="str">
        <f>IF(tblTarget[[#This Row],[Target to PiN (%)]]&gt;Targ_vs_PiN,"Flagged","")</f>
        <v/>
      </c>
      <c r="AK364" s="69" t="str">
        <f>IF(AND(tblTarget[[#This Row],[Qualifies for exception]]="Flagged",tblTarget[[#This Row],[Target to PiN (%)]]&gt;Targ_severity5),"Flagged","")</f>
        <v/>
      </c>
      <c r="AL364" s="68" t="str">
        <f>IFERROR(IF(AND(tblTarget[[#This Row],[Intercluser Severity]]=4,tblTarget[[#This Row],[Qualifies for exception]]="Flagged",(tblTarget[[#This Row],[Cluster Target]]-tblTarget[[#This Row],[2024 Response capacity up to December]])/tblTarget[[#This Row],[Cluster Target]]&gt;Diff_severity4),"Flagged",""),"No target")</f>
        <v/>
      </c>
      <c r="AM364" s="68" t="str">
        <f>IFERROR(IF(AND(tblTarget[[#This Row],[Intercluser Severity]]=3,tblTarget[[#This Row],[Qualifies for exception]]="Flagged",(tblTarget[[#This Row],[Cluster Target]]-tblTarget[[#This Row],[2024 Response capacity up to December]])/tblTarget[[#This Row],[Cluster Target]]&gt;Diff_severity3),"Flagged",""),"No target")</f>
        <v>Flagged</v>
      </c>
      <c r="AN364" s="81" t="s">
        <v>1099</v>
      </c>
      <c r="AO364" s="81"/>
      <c r="AP364" s="81" t="s">
        <v>1099</v>
      </c>
      <c r="AQ364" s="81" t="s">
        <v>1107</v>
      </c>
    </row>
    <row r="365" spans="1:43" ht="15.95" customHeight="1" x14ac:dyDescent="0.2">
      <c r="A365" s="62" t="s">
        <v>802</v>
      </c>
      <c r="B365" s="63" t="s">
        <v>390</v>
      </c>
      <c r="C365" s="64" t="s">
        <v>391</v>
      </c>
      <c r="D365" s="63" t="s">
        <v>398</v>
      </c>
      <c r="E365" s="64" t="s">
        <v>399</v>
      </c>
      <c r="F365" s="65">
        <v>56350</v>
      </c>
      <c r="G365" s="66" t="s">
        <v>436</v>
      </c>
      <c r="H365" s="67">
        <v>27577</v>
      </c>
      <c r="I365" s="68">
        <v>3</v>
      </c>
      <c r="J365" s="68">
        <v>3</v>
      </c>
      <c r="K365" s="91">
        <v>5515</v>
      </c>
      <c r="L365" s="91">
        <v>2832.8445004541004</v>
      </c>
      <c r="M365" s="91">
        <v>2682.1554995458991</v>
      </c>
      <c r="N365" s="91">
        <v>3033.2500000000005</v>
      </c>
      <c r="O365" s="91">
        <v>2150.85</v>
      </c>
      <c r="P365" s="91">
        <v>330.9</v>
      </c>
      <c r="Q365" s="85">
        <v>827.25</v>
      </c>
      <c r="R365" s="68" t="s">
        <v>436</v>
      </c>
      <c r="S365" s="86">
        <v>794</v>
      </c>
      <c r="T365" s="68">
        <v>199</v>
      </c>
      <c r="U365" s="68">
        <v>37</v>
      </c>
      <c r="V365" s="68">
        <v>50</v>
      </c>
      <c r="W365" s="68">
        <v>55</v>
      </c>
      <c r="X365" s="68">
        <v>110</v>
      </c>
      <c r="Y365" s="68">
        <v>165</v>
      </c>
      <c r="Z365" s="68">
        <v>110</v>
      </c>
      <c r="AA365" s="68">
        <v>54.550803010533585</v>
      </c>
      <c r="AB365" s="69">
        <v>16</v>
      </c>
      <c r="AC365" s="69">
        <v>37.669527532706297</v>
      </c>
      <c r="AD365" s="70">
        <f>IFERROR(tblTarget[[#This Row],[Cluster Target]]/tblTarget[[#This Row],[Cluster PiN]],0)</f>
        <v>0.19998549515900932</v>
      </c>
      <c r="AE365" s="79">
        <f>_xlfn.XLOOKUP(tblTarget[[#This Row],[ID]],tblResponse[ID],tblResponse[2024 Projected reached (Dec 2024)])</f>
        <v>52520</v>
      </c>
      <c r="AF365" s="79">
        <f>_xlfn.XLOOKUP(tblTarget[[#This Row],[ID]],tblResponse[ID],tblResponse[2024 Intercluster reached -August RPM])</f>
        <v>34530.208487083488</v>
      </c>
      <c r="AG365" s="79">
        <v>6</v>
      </c>
      <c r="AH365" s="79"/>
      <c r="AI365" s="79"/>
      <c r="AJ365" s="70" t="str">
        <f>IF(tblTarget[[#This Row],[Target to PiN (%)]]&gt;Targ_vs_PiN,"Flagged","")</f>
        <v/>
      </c>
      <c r="AK365" s="69" t="str">
        <f>IF(AND(tblTarget[[#This Row],[Qualifies for exception]]="Flagged",tblTarget[[#This Row],[Target to PiN (%)]]&gt;Targ_severity5),"Flagged","")</f>
        <v/>
      </c>
      <c r="AL365" s="68" t="str">
        <f>IFERROR(IF(AND(tblTarget[[#This Row],[Intercluser Severity]]=4,tblTarget[[#This Row],[Qualifies for exception]]="Flagged",(tblTarget[[#This Row],[Cluster Target]]-tblTarget[[#This Row],[2024 Response capacity up to December]])/tblTarget[[#This Row],[Cluster Target]]&gt;Diff_severity4),"Flagged",""),"No target")</f>
        <v/>
      </c>
      <c r="AM365" s="68" t="str">
        <f>IFERROR(IF(AND(tblTarget[[#This Row],[Intercluser Severity]]=3,tblTarget[[#This Row],[Qualifies for exception]]="Flagged",(tblTarget[[#This Row],[Cluster Target]]-tblTarget[[#This Row],[2024 Response capacity up to December]])/tblTarget[[#This Row],[Cluster Target]]&gt;Diff_severity3),"Flagged",""),"No target")</f>
        <v/>
      </c>
      <c r="AN365" s="81" t="s">
        <v>1099</v>
      </c>
      <c r="AO365" s="81"/>
      <c r="AP365" s="81" t="s">
        <v>1099</v>
      </c>
      <c r="AQ365" s="81" t="s">
        <v>1107</v>
      </c>
    </row>
    <row r="366" spans="1:43" ht="15.95" customHeight="1" x14ac:dyDescent="0.2">
      <c r="A366" s="62" t="s">
        <v>803</v>
      </c>
      <c r="B366" s="63" t="s">
        <v>390</v>
      </c>
      <c r="C366" s="64" t="s">
        <v>391</v>
      </c>
      <c r="D366" s="63" t="s">
        <v>400</v>
      </c>
      <c r="E366" s="64" t="s">
        <v>401</v>
      </c>
      <c r="F366" s="65">
        <v>60442</v>
      </c>
      <c r="G366" s="66" t="s">
        <v>436</v>
      </c>
      <c r="H366" s="67">
        <v>14597</v>
      </c>
      <c r="I366" s="68">
        <v>3</v>
      </c>
      <c r="J366" s="68">
        <v>3</v>
      </c>
      <c r="K366" s="91">
        <v>5839</v>
      </c>
      <c r="L366" s="91">
        <v>3059.5275090656123</v>
      </c>
      <c r="M366" s="91">
        <v>2779.4724909343881</v>
      </c>
      <c r="N366" s="91">
        <v>3211.4500000000003</v>
      </c>
      <c r="O366" s="91">
        <v>2277.21</v>
      </c>
      <c r="P366" s="91">
        <v>350.34</v>
      </c>
      <c r="Q366" s="85">
        <v>875.85</v>
      </c>
      <c r="R366" s="68" t="s">
        <v>436</v>
      </c>
      <c r="S366" s="86">
        <v>841</v>
      </c>
      <c r="T366" s="68">
        <v>210</v>
      </c>
      <c r="U366" s="68">
        <v>39</v>
      </c>
      <c r="V366" s="68">
        <v>53</v>
      </c>
      <c r="W366" s="68">
        <v>58</v>
      </c>
      <c r="X366" s="68">
        <v>117</v>
      </c>
      <c r="Y366" s="68">
        <v>175</v>
      </c>
      <c r="Z366" s="68">
        <v>117</v>
      </c>
      <c r="AA366" s="68">
        <v>0</v>
      </c>
      <c r="AB366" s="69">
        <v>18</v>
      </c>
      <c r="AC366" s="69">
        <v>37.669527532706297</v>
      </c>
      <c r="AD366" s="70">
        <f>IFERROR(tblTarget[[#This Row],[Cluster Target]]/tblTarget[[#This Row],[Cluster PiN]],0)</f>
        <v>0.40001370144550252</v>
      </c>
      <c r="AE366" s="79">
        <f>_xlfn.XLOOKUP(tblTarget[[#This Row],[ID]],tblResponse[ID],tblResponse[2024 Projected reached (Dec 2024)])</f>
        <v>2055</v>
      </c>
      <c r="AF366" s="79">
        <f>_xlfn.XLOOKUP(tblTarget[[#This Row],[ID]],tblResponse[ID],tblResponse[2024 Intercluster reached -August RPM])</f>
        <v>12255.159437998685</v>
      </c>
      <c r="AG366" s="79">
        <v>3</v>
      </c>
      <c r="AH366" s="79"/>
      <c r="AI366" s="79"/>
      <c r="AJ366" s="70" t="str">
        <f>IF(tblTarget[[#This Row],[Target to PiN (%)]]&gt;Targ_vs_PiN,"Flagged","")</f>
        <v/>
      </c>
      <c r="AK366" s="69" t="str">
        <f>IF(AND(tblTarget[[#This Row],[Qualifies for exception]]="Flagged",tblTarget[[#This Row],[Target to PiN (%)]]&gt;Targ_severity5),"Flagged","")</f>
        <v/>
      </c>
      <c r="AL366" s="68" t="str">
        <f>IFERROR(IF(AND(tblTarget[[#This Row],[Intercluser Severity]]=4,tblTarget[[#This Row],[Qualifies for exception]]="Flagged",(tblTarget[[#This Row],[Cluster Target]]-tblTarget[[#This Row],[2024 Response capacity up to December]])/tblTarget[[#This Row],[Cluster Target]]&gt;Diff_severity4),"Flagged",""),"No target")</f>
        <v/>
      </c>
      <c r="AM366" s="68" t="str">
        <f>IFERROR(IF(AND(tblTarget[[#This Row],[Intercluser Severity]]=3,tblTarget[[#This Row],[Qualifies for exception]]="Flagged",(tblTarget[[#This Row],[Cluster Target]]-tblTarget[[#This Row],[2024 Response capacity up to December]])/tblTarget[[#This Row],[Cluster Target]]&gt;Diff_severity3),"Flagged",""),"No target")</f>
        <v>Flagged</v>
      </c>
      <c r="AN366" s="81" t="s">
        <v>1099</v>
      </c>
      <c r="AO366" s="81"/>
      <c r="AP366" s="81" t="s">
        <v>1099</v>
      </c>
      <c r="AQ366" s="81" t="s">
        <v>1107</v>
      </c>
    </row>
    <row r="367" spans="1:43" ht="15.95" customHeight="1" x14ac:dyDescent="0.2">
      <c r="A367" s="62" t="s">
        <v>804</v>
      </c>
      <c r="B367" s="63" t="s">
        <v>390</v>
      </c>
      <c r="C367" s="64" t="s">
        <v>391</v>
      </c>
      <c r="D367" s="63" t="s">
        <v>402</v>
      </c>
      <c r="E367" s="64" t="s">
        <v>403</v>
      </c>
      <c r="F367" s="65">
        <v>66310</v>
      </c>
      <c r="G367" s="66" t="s">
        <v>436</v>
      </c>
      <c r="H367" s="67">
        <v>17728</v>
      </c>
      <c r="I367" s="68">
        <v>3</v>
      </c>
      <c r="J367" s="68">
        <v>3</v>
      </c>
      <c r="K367" s="91">
        <v>1773</v>
      </c>
      <c r="L367" s="91">
        <v>905.4251528220384</v>
      </c>
      <c r="M367" s="91">
        <v>867.5748471779616</v>
      </c>
      <c r="N367" s="91">
        <v>975.15000000000009</v>
      </c>
      <c r="O367" s="91">
        <v>691.47</v>
      </c>
      <c r="P367" s="91">
        <v>106.38</v>
      </c>
      <c r="Q367" s="85">
        <v>265.95</v>
      </c>
      <c r="R367" s="68" t="s">
        <v>436</v>
      </c>
      <c r="S367" s="86">
        <v>255</v>
      </c>
      <c r="T367" s="68">
        <v>64</v>
      </c>
      <c r="U367" s="68">
        <v>12</v>
      </c>
      <c r="V367" s="68">
        <v>16</v>
      </c>
      <c r="W367" s="68">
        <v>18</v>
      </c>
      <c r="X367" s="68">
        <v>35</v>
      </c>
      <c r="Y367" s="68">
        <v>53</v>
      </c>
      <c r="Z367" s="68">
        <v>35</v>
      </c>
      <c r="AA367" s="68">
        <v>0</v>
      </c>
      <c r="AB367" s="69">
        <v>6</v>
      </c>
      <c r="AC367" s="69">
        <v>0</v>
      </c>
      <c r="AD367" s="70">
        <f>IFERROR(tblTarget[[#This Row],[Cluster Target]]/tblTarget[[#This Row],[Cluster PiN]],0)</f>
        <v>0.10001128158844766</v>
      </c>
      <c r="AE367" s="79">
        <f>_xlfn.XLOOKUP(tblTarget[[#This Row],[ID]],tblResponse[ID],tblResponse[2024 Projected reached (Dec 2024)])</f>
        <v>39800</v>
      </c>
      <c r="AF367" s="79">
        <f>_xlfn.XLOOKUP(tblTarget[[#This Row],[ID]],tblResponse[ID],tblResponse[2024 Intercluster reached -August RPM])</f>
        <v>23229.677695469942</v>
      </c>
      <c r="AG367" s="79">
        <v>4</v>
      </c>
      <c r="AH367" s="79"/>
      <c r="AI367" s="79"/>
      <c r="AJ367" s="70" t="str">
        <f>IF(tblTarget[[#This Row],[Target to PiN (%)]]&gt;Targ_vs_PiN,"Flagged","")</f>
        <v/>
      </c>
      <c r="AK367" s="69" t="str">
        <f>IF(AND(tblTarget[[#This Row],[Qualifies for exception]]="Flagged",tblTarget[[#This Row],[Target to PiN (%)]]&gt;Targ_severity5),"Flagged","")</f>
        <v/>
      </c>
      <c r="AL367" s="68" t="str">
        <f>IFERROR(IF(AND(tblTarget[[#This Row],[Intercluser Severity]]=4,tblTarget[[#This Row],[Qualifies for exception]]="Flagged",(tblTarget[[#This Row],[Cluster Target]]-tblTarget[[#This Row],[2024 Response capacity up to December]])/tblTarget[[#This Row],[Cluster Target]]&gt;Diff_severity4),"Flagged",""),"No target")</f>
        <v/>
      </c>
      <c r="AM367" s="68" t="str">
        <f>IFERROR(IF(AND(tblTarget[[#This Row],[Intercluser Severity]]=3,tblTarget[[#This Row],[Qualifies for exception]]="Flagged",(tblTarget[[#This Row],[Cluster Target]]-tblTarget[[#This Row],[2024 Response capacity up to December]])/tblTarget[[#This Row],[Cluster Target]]&gt;Diff_severity3),"Flagged",""),"No target")</f>
        <v/>
      </c>
      <c r="AN367" s="81" t="s">
        <v>1099</v>
      </c>
      <c r="AO367" s="81"/>
      <c r="AP367" s="81" t="s">
        <v>1099</v>
      </c>
      <c r="AQ367" s="81" t="s">
        <v>1107</v>
      </c>
    </row>
    <row r="368" spans="1:43" ht="15.95" customHeight="1" x14ac:dyDescent="0.2">
      <c r="A368" s="62" t="s">
        <v>805</v>
      </c>
      <c r="B368" s="63" t="s">
        <v>390</v>
      </c>
      <c r="C368" s="64" t="s">
        <v>391</v>
      </c>
      <c r="D368" s="63" t="s">
        <v>404</v>
      </c>
      <c r="E368" s="64" t="s">
        <v>405</v>
      </c>
      <c r="F368" s="65">
        <v>79388</v>
      </c>
      <c r="G368" s="66" t="s">
        <v>436</v>
      </c>
      <c r="H368" s="67">
        <v>21108</v>
      </c>
      <c r="I368" s="68">
        <v>3</v>
      </c>
      <c r="J368" s="68">
        <v>3</v>
      </c>
      <c r="K368" s="91">
        <v>8443</v>
      </c>
      <c r="L368" s="91">
        <v>4291.3197266001926</v>
      </c>
      <c r="M368" s="91">
        <v>4151.6802733998074</v>
      </c>
      <c r="N368" s="91">
        <v>4643.6500000000005</v>
      </c>
      <c r="O368" s="91">
        <v>3292.77</v>
      </c>
      <c r="P368" s="91">
        <v>506.58</v>
      </c>
      <c r="Q368" s="85">
        <v>1266.45</v>
      </c>
      <c r="R368" s="68" t="s">
        <v>436</v>
      </c>
      <c r="S368" s="86">
        <v>1216</v>
      </c>
      <c r="T368" s="68">
        <v>304</v>
      </c>
      <c r="U368" s="68">
        <v>57</v>
      </c>
      <c r="V368" s="68">
        <v>76</v>
      </c>
      <c r="W368" s="68">
        <v>84</v>
      </c>
      <c r="X368" s="68">
        <v>169</v>
      </c>
      <c r="Y368" s="68">
        <v>253</v>
      </c>
      <c r="Z368" s="68">
        <v>169</v>
      </c>
      <c r="AA368" s="68">
        <v>83.275621987094752</v>
      </c>
      <c r="AB368" s="69">
        <v>24</v>
      </c>
      <c r="AC368" s="69">
        <v>37.669527532706297</v>
      </c>
      <c r="AD368" s="70">
        <f>IFERROR(tblTarget[[#This Row],[Cluster Target]]/tblTarget[[#This Row],[Cluster PiN]],0)</f>
        <v>0.3999905249194618</v>
      </c>
      <c r="AE368" s="79">
        <f>_xlfn.XLOOKUP(tblTarget[[#This Row],[ID]],tblResponse[ID],tblResponse[2024 Projected reached (Dec 2024)])</f>
        <v>44665</v>
      </c>
      <c r="AF368" s="79">
        <f>_xlfn.XLOOKUP(tblTarget[[#This Row],[ID]],tblResponse[ID],tblResponse[2024 Intercluster reached -August RPM])</f>
        <v>23007.578088147082</v>
      </c>
      <c r="AG368" s="79">
        <v>6</v>
      </c>
      <c r="AH368" s="79"/>
      <c r="AI368" s="79"/>
      <c r="AJ368" s="70" t="str">
        <f>IF(tblTarget[[#This Row],[Target to PiN (%)]]&gt;Targ_vs_PiN,"Flagged","")</f>
        <v/>
      </c>
      <c r="AK368" s="69" t="str">
        <f>IF(AND(tblTarget[[#This Row],[Qualifies for exception]]="Flagged",tblTarget[[#This Row],[Target to PiN (%)]]&gt;Targ_severity5),"Flagged","")</f>
        <v/>
      </c>
      <c r="AL368" s="68" t="str">
        <f>IFERROR(IF(AND(tblTarget[[#This Row],[Intercluser Severity]]=4,tblTarget[[#This Row],[Qualifies for exception]]="Flagged",(tblTarget[[#This Row],[Cluster Target]]-tblTarget[[#This Row],[2024 Response capacity up to December]])/tblTarget[[#This Row],[Cluster Target]]&gt;Diff_severity4),"Flagged",""),"No target")</f>
        <v/>
      </c>
      <c r="AM368" s="68" t="str">
        <f>IFERROR(IF(AND(tblTarget[[#This Row],[Intercluser Severity]]=3,tblTarget[[#This Row],[Qualifies for exception]]="Flagged",(tblTarget[[#This Row],[Cluster Target]]-tblTarget[[#This Row],[2024 Response capacity up to December]])/tblTarget[[#This Row],[Cluster Target]]&gt;Diff_severity3),"Flagged",""),"No target")</f>
        <v/>
      </c>
      <c r="AN368" s="81" t="s">
        <v>1099</v>
      </c>
      <c r="AO368" s="81"/>
      <c r="AP368" s="81" t="s">
        <v>1099</v>
      </c>
      <c r="AQ368" s="81" t="s">
        <v>1107</v>
      </c>
    </row>
    <row r="369" spans="1:43" ht="15.95" customHeight="1" x14ac:dyDescent="0.2">
      <c r="A369" s="62" t="s">
        <v>806</v>
      </c>
      <c r="B369" s="63" t="s">
        <v>406</v>
      </c>
      <c r="C369" s="64" t="s">
        <v>407</v>
      </c>
      <c r="D369" s="63" t="s">
        <v>408</v>
      </c>
      <c r="E369" s="64" t="s">
        <v>409</v>
      </c>
      <c r="F369" s="65">
        <v>13823</v>
      </c>
      <c r="G369" s="66" t="s">
        <v>436</v>
      </c>
      <c r="H369" s="67">
        <v>7573</v>
      </c>
      <c r="I369" s="68">
        <v>3</v>
      </c>
      <c r="J369" s="68">
        <v>3</v>
      </c>
      <c r="K369" s="91">
        <v>0</v>
      </c>
      <c r="L369" s="91">
        <v>0</v>
      </c>
      <c r="M369" s="91">
        <v>0</v>
      </c>
      <c r="N369" s="91">
        <v>0</v>
      </c>
      <c r="O369" s="91">
        <v>0</v>
      </c>
      <c r="P369" s="91">
        <v>0</v>
      </c>
      <c r="Q369" s="85">
        <v>0</v>
      </c>
      <c r="R369" s="68" t="s">
        <v>436</v>
      </c>
      <c r="S369" s="86">
        <v>0</v>
      </c>
      <c r="T369" s="68">
        <v>0</v>
      </c>
      <c r="U369" s="68">
        <v>0</v>
      </c>
      <c r="V369" s="68">
        <v>0</v>
      </c>
      <c r="W369" s="68">
        <v>0</v>
      </c>
      <c r="X369" s="68">
        <v>0</v>
      </c>
      <c r="Y369" s="68">
        <v>0</v>
      </c>
      <c r="Z369" s="68">
        <v>0</v>
      </c>
      <c r="AA369" s="68">
        <v>0</v>
      </c>
      <c r="AB369" s="69">
        <v>0</v>
      </c>
      <c r="AC369" s="69">
        <v>0</v>
      </c>
      <c r="AD369" s="70">
        <f>IFERROR(tblTarget[[#This Row],[Cluster Target]]/tblTarget[[#This Row],[Cluster PiN]],0)</f>
        <v>0</v>
      </c>
      <c r="AE369" s="79">
        <f>_xlfn.XLOOKUP(tblTarget[[#This Row],[ID]],tblResponse[ID],tblResponse[2024 Projected reached (Dec 2024)])</f>
        <v>0</v>
      </c>
      <c r="AF369" s="79">
        <f>_xlfn.XLOOKUP(tblTarget[[#This Row],[ID]],tblResponse[ID],tblResponse[2024 Intercluster reached -August RPM])</f>
        <v>570.95014735953248</v>
      </c>
      <c r="AG369" s="79">
        <v>1</v>
      </c>
      <c r="AH369" s="79"/>
      <c r="AI369" s="79"/>
      <c r="AJ369" s="70" t="str">
        <f>IF(tblTarget[[#This Row],[Target to PiN (%)]]&gt;Targ_vs_PiN,"Flagged","")</f>
        <v/>
      </c>
      <c r="AK369" s="69" t="str">
        <f>IF(AND(tblTarget[[#This Row],[Qualifies for exception]]="Flagged",tblTarget[[#This Row],[Target to PiN (%)]]&gt;Targ_severity5),"Flagged","")</f>
        <v/>
      </c>
      <c r="AL369" s="68" t="str">
        <f>IFERROR(IF(AND(tblTarget[[#This Row],[Intercluser Severity]]=4,tblTarget[[#This Row],[Qualifies for exception]]="Flagged",(tblTarget[[#This Row],[Cluster Target]]-tblTarget[[#This Row],[2024 Response capacity up to December]])/tblTarget[[#This Row],[Cluster Target]]&gt;Diff_severity4),"Flagged",""),"No target")</f>
        <v>No target</v>
      </c>
      <c r="AM369" s="68" t="str">
        <f>IFERROR(IF(AND(tblTarget[[#This Row],[Intercluser Severity]]=3,tblTarget[[#This Row],[Qualifies for exception]]="Flagged",(tblTarget[[#This Row],[Cluster Target]]-tblTarget[[#This Row],[2024 Response capacity up to December]])/tblTarget[[#This Row],[Cluster Target]]&gt;Diff_severity3),"Flagged",""),"No target")</f>
        <v>No target</v>
      </c>
      <c r="AN369" s="81" t="s">
        <v>1099</v>
      </c>
      <c r="AO369" s="81"/>
      <c r="AP369" s="81" t="s">
        <v>1099</v>
      </c>
      <c r="AQ369" s="81" t="s">
        <v>1107</v>
      </c>
    </row>
    <row r="370" spans="1:43" ht="15.95" customHeight="1" x14ac:dyDescent="0.2">
      <c r="A370" s="62" t="s">
        <v>807</v>
      </c>
      <c r="B370" s="63" t="s">
        <v>406</v>
      </c>
      <c r="C370" s="64" t="s">
        <v>407</v>
      </c>
      <c r="D370" s="63" t="s">
        <v>410</v>
      </c>
      <c r="E370" s="64" t="s">
        <v>411</v>
      </c>
      <c r="F370" s="65">
        <v>46202</v>
      </c>
      <c r="G370" s="66" t="s">
        <v>436</v>
      </c>
      <c r="H370" s="67">
        <v>18968</v>
      </c>
      <c r="I370" s="68">
        <v>3</v>
      </c>
      <c r="J370" s="68">
        <v>5</v>
      </c>
      <c r="K370" s="91">
        <v>1137.5999999999999</v>
      </c>
      <c r="L370" s="91">
        <v>582.9373398966037</v>
      </c>
      <c r="M370" s="91">
        <v>554.66266010339621</v>
      </c>
      <c r="N370" s="91">
        <v>625.67999999999995</v>
      </c>
      <c r="O370" s="91">
        <v>443.66399999999999</v>
      </c>
      <c r="P370" s="91">
        <v>68.255999999999986</v>
      </c>
      <c r="Q370" s="85">
        <v>170.64</v>
      </c>
      <c r="R370" s="68" t="s">
        <v>15</v>
      </c>
      <c r="S370" s="86">
        <v>164</v>
      </c>
      <c r="T370" s="68">
        <v>41</v>
      </c>
      <c r="U370" s="68">
        <v>8</v>
      </c>
      <c r="V370" s="68">
        <v>10</v>
      </c>
      <c r="W370" s="68">
        <v>11</v>
      </c>
      <c r="X370" s="68">
        <v>23</v>
      </c>
      <c r="Y370" s="68">
        <v>34</v>
      </c>
      <c r="Z370" s="68">
        <v>23</v>
      </c>
      <c r="AA370" s="68">
        <v>0</v>
      </c>
      <c r="AB370" s="69">
        <v>4</v>
      </c>
      <c r="AC370" s="69">
        <v>0</v>
      </c>
      <c r="AD370" s="70">
        <f>IFERROR(tblTarget[[#This Row],[Cluster Target]]/tblTarget[[#This Row],[Cluster PiN]],0)</f>
        <v>5.997469422184732E-2</v>
      </c>
      <c r="AE370" s="79">
        <f>_xlfn.XLOOKUP(tblTarget[[#This Row],[ID]],tblResponse[ID],tblResponse[2024 Projected reached (Dec 2024)])</f>
        <v>0</v>
      </c>
      <c r="AF370" s="79">
        <f>_xlfn.XLOOKUP(tblTarget[[#This Row],[ID]],tblResponse[ID],tblResponse[2024 Intercluster reached -August RPM])</f>
        <v>58.236915030672321</v>
      </c>
      <c r="AG370" s="79">
        <v>1</v>
      </c>
      <c r="AH370" s="79"/>
      <c r="AI370" s="79"/>
      <c r="AJ370" s="70" t="str">
        <f>IF(tblTarget[[#This Row],[Target to PiN (%)]]&gt;Targ_vs_PiN,"Flagged","")</f>
        <v/>
      </c>
      <c r="AK370" s="69" t="str">
        <f>IF(AND(tblTarget[[#This Row],[Qualifies for exception]]="Flagged",tblTarget[[#This Row],[Target to PiN (%)]]&gt;Targ_severity5),"Flagged","")</f>
        <v/>
      </c>
      <c r="AL370" s="68" t="str">
        <f>IFERROR(IF(AND(tblTarget[[#This Row],[Intercluser Severity]]=4,tblTarget[[#This Row],[Qualifies for exception]]="Flagged",(tblTarget[[#This Row],[Cluster Target]]-tblTarget[[#This Row],[2024 Response capacity up to December]])/tblTarget[[#This Row],[Cluster Target]]&gt;Diff_severity4),"Flagged",""),"No target")</f>
        <v/>
      </c>
      <c r="AM370" s="68" t="str">
        <f>IFERROR(IF(AND(tblTarget[[#This Row],[Intercluser Severity]]=3,tblTarget[[#This Row],[Qualifies for exception]]="Flagged",(tblTarget[[#This Row],[Cluster Target]]-tblTarget[[#This Row],[2024 Response capacity up to December]])/tblTarget[[#This Row],[Cluster Target]]&gt;Diff_severity3),"Flagged",""),"No target")</f>
        <v/>
      </c>
      <c r="AN370" s="81" t="s">
        <v>1099</v>
      </c>
      <c r="AO370" s="81"/>
      <c r="AP370" s="81" t="s">
        <v>1099</v>
      </c>
      <c r="AQ370" s="81" t="s">
        <v>1098</v>
      </c>
    </row>
    <row r="371" spans="1:43" ht="15.95" customHeight="1" x14ac:dyDescent="0.2">
      <c r="A371" s="62" t="s">
        <v>808</v>
      </c>
      <c r="B371" s="63" t="s">
        <v>406</v>
      </c>
      <c r="C371" s="64" t="s">
        <v>407</v>
      </c>
      <c r="D371" s="63" t="s">
        <v>412</v>
      </c>
      <c r="E371" s="64" t="s">
        <v>413</v>
      </c>
      <c r="F371" s="65">
        <v>26261</v>
      </c>
      <c r="G371" s="66" t="s">
        <v>436</v>
      </c>
      <c r="H371" s="67">
        <v>11860</v>
      </c>
      <c r="I371" s="68">
        <v>3</v>
      </c>
      <c r="J371" s="68">
        <v>4</v>
      </c>
      <c r="K371" s="91">
        <v>593</v>
      </c>
      <c r="L371" s="91">
        <v>309.22243821945443</v>
      </c>
      <c r="M371" s="91">
        <v>283.77756178054557</v>
      </c>
      <c r="N371" s="91">
        <v>326.15000000000003</v>
      </c>
      <c r="O371" s="91">
        <v>231.27</v>
      </c>
      <c r="P371" s="91">
        <v>35.58</v>
      </c>
      <c r="Q371" s="85">
        <v>88.95</v>
      </c>
      <c r="R371" s="68" t="s">
        <v>15</v>
      </c>
      <c r="S371" s="86">
        <v>85</v>
      </c>
      <c r="T371" s="68">
        <v>21</v>
      </c>
      <c r="U371" s="68">
        <v>4</v>
      </c>
      <c r="V371" s="68">
        <v>5</v>
      </c>
      <c r="W371" s="68">
        <v>6</v>
      </c>
      <c r="X371" s="68">
        <v>12</v>
      </c>
      <c r="Y371" s="68">
        <v>18</v>
      </c>
      <c r="Z371" s="68">
        <v>12</v>
      </c>
      <c r="AA371" s="68">
        <v>0</v>
      </c>
      <c r="AB371" s="69">
        <v>2</v>
      </c>
      <c r="AC371" s="69">
        <v>0</v>
      </c>
      <c r="AD371" s="70">
        <f>IFERROR(tblTarget[[#This Row],[Cluster Target]]/tblTarget[[#This Row],[Cluster PiN]],0)</f>
        <v>0.05</v>
      </c>
      <c r="AE371" s="79">
        <f>_xlfn.XLOOKUP(tblTarget[[#This Row],[ID]],tblResponse[ID],tblResponse[2024 Projected reached (Dec 2024)])</f>
        <v>0</v>
      </c>
      <c r="AF371" s="79">
        <f>_xlfn.XLOOKUP(tblTarget[[#This Row],[ID]],tblResponse[ID],tblResponse[2024 Intercluster reached -August RPM])</f>
        <v>10134.365115631703</v>
      </c>
      <c r="AG371" s="79">
        <v>1</v>
      </c>
      <c r="AH371" s="79"/>
      <c r="AI371" s="79"/>
      <c r="AJ371" s="70" t="str">
        <f>IF(tblTarget[[#This Row],[Target to PiN (%)]]&gt;Targ_vs_PiN,"Flagged","")</f>
        <v/>
      </c>
      <c r="AK371" s="69" t="str">
        <f>IF(AND(tblTarget[[#This Row],[Qualifies for exception]]="Flagged",tblTarget[[#This Row],[Target to PiN (%)]]&gt;Targ_severity5),"Flagged","")</f>
        <v/>
      </c>
      <c r="AL371" s="68" t="str">
        <f>IFERROR(IF(AND(tblTarget[[#This Row],[Intercluser Severity]]=4,tblTarget[[#This Row],[Qualifies for exception]]="Flagged",(tblTarget[[#This Row],[Cluster Target]]-tblTarget[[#This Row],[2024 Response capacity up to December]])/tblTarget[[#This Row],[Cluster Target]]&gt;Diff_severity4),"Flagged",""),"No target")</f>
        <v/>
      </c>
      <c r="AM371" s="68" t="str">
        <f>IFERROR(IF(AND(tblTarget[[#This Row],[Intercluser Severity]]=3,tblTarget[[#This Row],[Qualifies for exception]]="Flagged",(tblTarget[[#This Row],[Cluster Target]]-tblTarget[[#This Row],[2024 Response capacity up to December]])/tblTarget[[#This Row],[Cluster Target]]&gt;Diff_severity3),"Flagged",""),"No target")</f>
        <v/>
      </c>
      <c r="AN371" s="81" t="s">
        <v>1099</v>
      </c>
      <c r="AO371" s="81"/>
      <c r="AP371" s="81" t="s">
        <v>15</v>
      </c>
      <c r="AQ371" s="81" t="s">
        <v>1098</v>
      </c>
    </row>
    <row r="372" spans="1:43" ht="15.95" customHeight="1" x14ac:dyDescent="0.2">
      <c r="A372" s="62" t="s">
        <v>809</v>
      </c>
      <c r="B372" s="63" t="s">
        <v>406</v>
      </c>
      <c r="C372" s="64" t="s">
        <v>407</v>
      </c>
      <c r="D372" s="63" t="s">
        <v>414</v>
      </c>
      <c r="E372" s="64" t="s">
        <v>415</v>
      </c>
      <c r="F372" s="65">
        <v>6300</v>
      </c>
      <c r="G372" s="66" t="s">
        <v>436</v>
      </c>
      <c r="H372" s="67">
        <v>3668</v>
      </c>
      <c r="I372" s="68">
        <v>3</v>
      </c>
      <c r="J372" s="68">
        <v>3</v>
      </c>
      <c r="K372" s="91">
        <v>0</v>
      </c>
      <c r="L372" s="91">
        <v>0</v>
      </c>
      <c r="M372" s="91">
        <v>0</v>
      </c>
      <c r="N372" s="91">
        <v>0</v>
      </c>
      <c r="O372" s="91">
        <v>0</v>
      </c>
      <c r="P372" s="91">
        <v>0</v>
      </c>
      <c r="Q372" s="85">
        <v>0</v>
      </c>
      <c r="R372" s="68" t="s">
        <v>436</v>
      </c>
      <c r="S372" s="86">
        <v>0</v>
      </c>
      <c r="T372" s="68">
        <v>0</v>
      </c>
      <c r="U372" s="68">
        <v>0</v>
      </c>
      <c r="V372" s="68">
        <v>0</v>
      </c>
      <c r="W372" s="68">
        <v>0</v>
      </c>
      <c r="X372" s="68">
        <v>0</v>
      </c>
      <c r="Y372" s="68">
        <v>0</v>
      </c>
      <c r="Z372" s="68">
        <v>0</v>
      </c>
      <c r="AA372" s="68">
        <v>0</v>
      </c>
      <c r="AB372" s="69">
        <v>0</v>
      </c>
      <c r="AC372" s="69">
        <v>0</v>
      </c>
      <c r="AD372" s="70">
        <f>IFERROR(tblTarget[[#This Row],[Cluster Target]]/tblTarget[[#This Row],[Cluster PiN]],0)</f>
        <v>0</v>
      </c>
      <c r="AE372" s="79">
        <f>_xlfn.XLOOKUP(tblTarget[[#This Row],[ID]],tblResponse[ID],tblResponse[2024 Projected reached (Dec 2024)])</f>
        <v>0</v>
      </c>
      <c r="AF372" s="79">
        <f>_xlfn.XLOOKUP(tblTarget[[#This Row],[ID]],tblResponse[ID],tblResponse[2024 Intercluster reached -August RPM])</f>
        <v>0</v>
      </c>
      <c r="AG372" s="79">
        <v>1</v>
      </c>
      <c r="AH372" s="79"/>
      <c r="AI372" s="79"/>
      <c r="AJ372" s="70" t="str">
        <f>IF(tblTarget[[#This Row],[Target to PiN (%)]]&gt;Targ_vs_PiN,"Flagged","")</f>
        <v/>
      </c>
      <c r="AK372" s="69" t="str">
        <f>IF(AND(tblTarget[[#This Row],[Qualifies for exception]]="Flagged",tblTarget[[#This Row],[Target to PiN (%)]]&gt;Targ_severity5),"Flagged","")</f>
        <v/>
      </c>
      <c r="AL372" s="68" t="str">
        <f>IFERROR(IF(AND(tblTarget[[#This Row],[Intercluser Severity]]=4,tblTarget[[#This Row],[Qualifies for exception]]="Flagged",(tblTarget[[#This Row],[Cluster Target]]-tblTarget[[#This Row],[2024 Response capacity up to December]])/tblTarget[[#This Row],[Cluster Target]]&gt;Diff_severity4),"Flagged",""),"No target")</f>
        <v>No target</v>
      </c>
      <c r="AM372" s="68" t="str">
        <f>IFERROR(IF(AND(tblTarget[[#This Row],[Intercluser Severity]]=3,tblTarget[[#This Row],[Qualifies for exception]]="Flagged",(tblTarget[[#This Row],[Cluster Target]]-tblTarget[[#This Row],[2024 Response capacity up to December]])/tblTarget[[#This Row],[Cluster Target]]&gt;Diff_severity3),"Flagged",""),"No target")</f>
        <v>No target</v>
      </c>
      <c r="AN372" s="81" t="s">
        <v>1099</v>
      </c>
      <c r="AO372" s="81"/>
      <c r="AP372" s="81" t="s">
        <v>1099</v>
      </c>
      <c r="AQ372" s="81" t="s">
        <v>1107</v>
      </c>
    </row>
    <row r="373" spans="1:43" ht="15.95" customHeight="1" x14ac:dyDescent="0.2">
      <c r="A373" s="62" t="s">
        <v>810</v>
      </c>
      <c r="B373" s="63" t="s">
        <v>406</v>
      </c>
      <c r="C373" s="64" t="s">
        <v>407</v>
      </c>
      <c r="D373" s="63" t="s">
        <v>416</v>
      </c>
      <c r="E373" s="64" t="s">
        <v>417</v>
      </c>
      <c r="F373" s="65">
        <v>13758</v>
      </c>
      <c r="G373" s="66" t="s">
        <v>436</v>
      </c>
      <c r="H373" s="67">
        <v>10962</v>
      </c>
      <c r="I373" s="68">
        <v>3</v>
      </c>
      <c r="J373" s="68">
        <v>3</v>
      </c>
      <c r="K373" s="91">
        <v>0</v>
      </c>
      <c r="L373" s="91">
        <v>0</v>
      </c>
      <c r="M373" s="91">
        <v>0</v>
      </c>
      <c r="N373" s="91">
        <v>0</v>
      </c>
      <c r="O373" s="91">
        <v>0</v>
      </c>
      <c r="P373" s="91">
        <v>0</v>
      </c>
      <c r="Q373" s="85">
        <v>0</v>
      </c>
      <c r="R373" s="68" t="s">
        <v>436</v>
      </c>
      <c r="S373" s="86">
        <v>0</v>
      </c>
      <c r="T373" s="68">
        <v>0</v>
      </c>
      <c r="U373" s="68">
        <v>0</v>
      </c>
      <c r="V373" s="68">
        <v>0</v>
      </c>
      <c r="W373" s="68">
        <v>0</v>
      </c>
      <c r="X373" s="68">
        <v>0</v>
      </c>
      <c r="Y373" s="68">
        <v>0</v>
      </c>
      <c r="Z373" s="68">
        <v>0</v>
      </c>
      <c r="AA373" s="68">
        <v>0</v>
      </c>
      <c r="AB373" s="69">
        <v>0</v>
      </c>
      <c r="AC373" s="69">
        <v>0</v>
      </c>
      <c r="AD373" s="70">
        <f>IFERROR(tblTarget[[#This Row],[Cluster Target]]/tblTarget[[#This Row],[Cluster PiN]],0)</f>
        <v>0</v>
      </c>
      <c r="AE373" s="79">
        <f>_xlfn.XLOOKUP(tblTarget[[#This Row],[ID]],tblResponse[ID],tblResponse[2024 Projected reached (Dec 2024)])</f>
        <v>0</v>
      </c>
      <c r="AF373" s="79">
        <f>_xlfn.XLOOKUP(tblTarget[[#This Row],[ID]],tblResponse[ID],tblResponse[2024 Intercluster reached -August RPM])</f>
        <v>0</v>
      </c>
      <c r="AG373" s="79">
        <v>1</v>
      </c>
      <c r="AH373" s="79"/>
      <c r="AI373" s="79"/>
      <c r="AJ373" s="70" t="str">
        <f>IF(tblTarget[[#This Row],[Target to PiN (%)]]&gt;Targ_vs_PiN,"Flagged","")</f>
        <v/>
      </c>
      <c r="AK373" s="69" t="str">
        <f>IF(AND(tblTarget[[#This Row],[Qualifies for exception]]="Flagged",tblTarget[[#This Row],[Target to PiN (%)]]&gt;Targ_severity5),"Flagged","")</f>
        <v/>
      </c>
      <c r="AL373" s="68" t="str">
        <f>IFERROR(IF(AND(tblTarget[[#This Row],[Intercluser Severity]]=4,tblTarget[[#This Row],[Qualifies for exception]]="Flagged",(tblTarget[[#This Row],[Cluster Target]]-tblTarget[[#This Row],[2024 Response capacity up to December]])/tblTarget[[#This Row],[Cluster Target]]&gt;Diff_severity4),"Flagged",""),"No target")</f>
        <v>No target</v>
      </c>
      <c r="AM373" s="68" t="str">
        <f>IFERROR(IF(AND(tblTarget[[#This Row],[Intercluser Severity]]=3,tblTarget[[#This Row],[Qualifies for exception]]="Flagged",(tblTarget[[#This Row],[Cluster Target]]-tblTarget[[#This Row],[2024 Response capacity up to December]])/tblTarget[[#This Row],[Cluster Target]]&gt;Diff_severity3),"Flagged",""),"No target")</f>
        <v>No target</v>
      </c>
      <c r="AN373" s="81" t="s">
        <v>1099</v>
      </c>
      <c r="AO373" s="81"/>
      <c r="AP373" s="81" t="s">
        <v>1099</v>
      </c>
      <c r="AQ373" s="81" t="s">
        <v>1107</v>
      </c>
    </row>
    <row r="374" spans="1:43" ht="15.95" customHeight="1" x14ac:dyDescent="0.2">
      <c r="A374" s="62" t="s">
        <v>811</v>
      </c>
      <c r="B374" s="63" t="s">
        <v>406</v>
      </c>
      <c r="C374" s="64" t="s">
        <v>407</v>
      </c>
      <c r="D374" s="63" t="s">
        <v>418</v>
      </c>
      <c r="E374" s="64" t="s">
        <v>419</v>
      </c>
      <c r="F374" s="65">
        <v>31416</v>
      </c>
      <c r="G374" s="66" t="s">
        <v>436</v>
      </c>
      <c r="H374" s="67">
        <v>20590</v>
      </c>
      <c r="I374" s="68">
        <v>3</v>
      </c>
      <c r="J374" s="68">
        <v>4</v>
      </c>
      <c r="K374" s="91">
        <v>8236</v>
      </c>
      <c r="L374" s="91">
        <v>4201.3810695823231</v>
      </c>
      <c r="M374" s="91">
        <v>4034.6189304176769</v>
      </c>
      <c r="N374" s="91">
        <v>4529.8</v>
      </c>
      <c r="O374" s="91">
        <v>3212.04</v>
      </c>
      <c r="P374" s="91">
        <v>494.15999999999997</v>
      </c>
      <c r="Q374" s="85">
        <v>1235.3999999999999</v>
      </c>
      <c r="R374" s="68" t="s">
        <v>436</v>
      </c>
      <c r="S374" s="86">
        <v>1186</v>
      </c>
      <c r="T374" s="68">
        <v>296</v>
      </c>
      <c r="U374" s="68">
        <v>56</v>
      </c>
      <c r="V374" s="68">
        <v>74</v>
      </c>
      <c r="W374" s="68">
        <v>82</v>
      </c>
      <c r="X374" s="68">
        <v>165</v>
      </c>
      <c r="Y374" s="68">
        <v>247</v>
      </c>
      <c r="Z374" s="68">
        <v>165</v>
      </c>
      <c r="AA374" s="68">
        <v>0</v>
      </c>
      <c r="AB374" s="69">
        <v>24</v>
      </c>
      <c r="AC374" s="69">
        <v>37.669527532706297</v>
      </c>
      <c r="AD374" s="70">
        <f>IFERROR(tblTarget[[#This Row],[Cluster Target]]/tblTarget[[#This Row],[Cluster PiN]],0)</f>
        <v>0.4</v>
      </c>
      <c r="AE374" s="79">
        <f>_xlfn.XLOOKUP(tblTarget[[#This Row],[ID]],tblResponse[ID],tblResponse[2024 Projected reached (Dec 2024)])</f>
        <v>10000</v>
      </c>
      <c r="AF374" s="79">
        <f>_xlfn.XLOOKUP(tblTarget[[#This Row],[ID]],tblResponse[ID],tblResponse[2024 Intercluster reached -August RPM])</f>
        <v>2141.0630525982469</v>
      </c>
      <c r="AG374" s="79">
        <v>2</v>
      </c>
      <c r="AH374" s="79"/>
      <c r="AI374" s="79"/>
      <c r="AJ374" s="70" t="str">
        <f>IF(tblTarget[[#This Row],[Target to PiN (%)]]&gt;Targ_vs_PiN,"Flagged","")</f>
        <v/>
      </c>
      <c r="AK374" s="69" t="str">
        <f>IF(AND(tblTarget[[#This Row],[Qualifies for exception]]="Flagged",tblTarget[[#This Row],[Target to PiN (%)]]&gt;Targ_severity5),"Flagged","")</f>
        <v/>
      </c>
      <c r="AL374" s="68" t="str">
        <f>IFERROR(IF(AND(tblTarget[[#This Row],[Intercluser Severity]]=4,tblTarget[[#This Row],[Qualifies for exception]]="Flagged",(tblTarget[[#This Row],[Cluster Target]]-tblTarget[[#This Row],[2024 Response capacity up to December]])/tblTarget[[#This Row],[Cluster Target]]&gt;Diff_severity4),"Flagged",""),"No target")</f>
        <v/>
      </c>
      <c r="AM374" s="68" t="str">
        <f>IFERROR(IF(AND(tblTarget[[#This Row],[Intercluser Severity]]=3,tblTarget[[#This Row],[Qualifies for exception]]="Flagged",(tblTarget[[#This Row],[Cluster Target]]-tblTarget[[#This Row],[2024 Response capacity up to December]])/tblTarget[[#This Row],[Cluster Target]]&gt;Diff_severity3),"Flagged",""),"No target")</f>
        <v/>
      </c>
      <c r="AN374" s="81" t="s">
        <v>1099</v>
      </c>
      <c r="AO374" s="81"/>
      <c r="AP374" s="81" t="s">
        <v>1099</v>
      </c>
      <c r="AQ374" s="81" t="s">
        <v>1107</v>
      </c>
    </row>
    <row r="375" spans="1:43" ht="15.95" customHeight="1" x14ac:dyDescent="0.2">
      <c r="A375" s="62" t="s">
        <v>812</v>
      </c>
      <c r="B375" s="63" t="s">
        <v>406</v>
      </c>
      <c r="C375" s="64" t="s">
        <v>407</v>
      </c>
      <c r="D375" s="63" t="s">
        <v>420</v>
      </c>
      <c r="E375" s="64" t="s">
        <v>421</v>
      </c>
      <c r="F375" s="65">
        <v>19629</v>
      </c>
      <c r="G375" s="66" t="s">
        <v>436</v>
      </c>
      <c r="H375" s="67">
        <v>9066</v>
      </c>
      <c r="I375" s="68">
        <v>3</v>
      </c>
      <c r="J375" s="68">
        <v>4</v>
      </c>
      <c r="K375" s="91">
        <v>907</v>
      </c>
      <c r="L375" s="91">
        <v>464.26176757812499</v>
      </c>
      <c r="M375" s="91">
        <v>442.73823242187501</v>
      </c>
      <c r="N375" s="91">
        <v>498.85</v>
      </c>
      <c r="O375" s="91">
        <v>353.73</v>
      </c>
      <c r="P375" s="91">
        <v>54.419999999999995</v>
      </c>
      <c r="Q375" s="85">
        <v>136.04999999999998</v>
      </c>
      <c r="R375" s="68" t="s">
        <v>436</v>
      </c>
      <c r="S375" s="86">
        <v>131</v>
      </c>
      <c r="T375" s="68">
        <v>33</v>
      </c>
      <c r="U375" s="68">
        <v>6</v>
      </c>
      <c r="V375" s="68">
        <v>8</v>
      </c>
      <c r="W375" s="68">
        <v>9</v>
      </c>
      <c r="X375" s="68">
        <v>18</v>
      </c>
      <c r="Y375" s="68">
        <v>27</v>
      </c>
      <c r="Z375" s="68">
        <v>18</v>
      </c>
      <c r="AA375" s="68">
        <v>0</v>
      </c>
      <c r="AB375" s="69">
        <v>2</v>
      </c>
      <c r="AC375" s="69">
        <v>0</v>
      </c>
      <c r="AD375" s="70">
        <f>IFERROR(tblTarget[[#This Row],[Cluster Target]]/tblTarget[[#This Row],[Cluster PiN]],0)</f>
        <v>0.100044120891242</v>
      </c>
      <c r="AE375" s="79">
        <f>_xlfn.XLOOKUP(tblTarget[[#This Row],[ID]],tblResponse[ID],tblResponse[2024 Projected reached (Dec 2024)])</f>
        <v>0</v>
      </c>
      <c r="AF375" s="79">
        <f>_xlfn.XLOOKUP(tblTarget[[#This Row],[ID]],tblResponse[ID],tblResponse[2024 Intercluster reached -August RPM])</f>
        <v>164690.57000585715</v>
      </c>
      <c r="AG375" s="79">
        <v>1</v>
      </c>
      <c r="AH375" s="79"/>
      <c r="AI375" s="79"/>
      <c r="AJ375" s="70" t="str">
        <f>IF(tblTarget[[#This Row],[Target to PiN (%)]]&gt;Targ_vs_PiN,"Flagged","")</f>
        <v/>
      </c>
      <c r="AK375" s="69" t="str">
        <f>IF(AND(tblTarget[[#This Row],[Qualifies for exception]]="Flagged",tblTarget[[#This Row],[Target to PiN (%)]]&gt;Targ_severity5),"Flagged","")</f>
        <v/>
      </c>
      <c r="AL375" s="68" t="str">
        <f>IFERROR(IF(AND(tblTarget[[#This Row],[Intercluser Severity]]=4,tblTarget[[#This Row],[Qualifies for exception]]="Flagged",(tblTarget[[#This Row],[Cluster Target]]-tblTarget[[#This Row],[2024 Response capacity up to December]])/tblTarget[[#This Row],[Cluster Target]]&gt;Diff_severity4),"Flagged",""),"No target")</f>
        <v>Flagged</v>
      </c>
      <c r="AM375" s="68" t="str">
        <f>IFERROR(IF(AND(tblTarget[[#This Row],[Intercluser Severity]]=3,tblTarget[[#This Row],[Qualifies for exception]]="Flagged",(tblTarget[[#This Row],[Cluster Target]]-tblTarget[[#This Row],[2024 Response capacity up to December]])/tblTarget[[#This Row],[Cluster Target]]&gt;Diff_severity3),"Flagged",""),"No target")</f>
        <v/>
      </c>
      <c r="AN375" s="81" t="s">
        <v>1099</v>
      </c>
      <c r="AO375" s="81"/>
      <c r="AP375" s="81" t="s">
        <v>1099</v>
      </c>
      <c r="AQ375" s="81" t="s">
        <v>1107</v>
      </c>
    </row>
    <row r="376" spans="1:43" ht="15.95" customHeight="1" x14ac:dyDescent="0.2">
      <c r="A376" s="62" t="s">
        <v>813</v>
      </c>
      <c r="B376" s="63" t="s">
        <v>406</v>
      </c>
      <c r="C376" s="64" t="s">
        <v>407</v>
      </c>
      <c r="D376" s="63" t="s">
        <v>422</v>
      </c>
      <c r="E376" s="64" t="s">
        <v>423</v>
      </c>
      <c r="F376" s="65">
        <v>8359</v>
      </c>
      <c r="G376" s="66" t="s">
        <v>436</v>
      </c>
      <c r="H376" s="67">
        <v>4314</v>
      </c>
      <c r="I376" s="68">
        <v>3</v>
      </c>
      <c r="J376" s="68">
        <v>3</v>
      </c>
      <c r="K376" s="91">
        <v>0</v>
      </c>
      <c r="L376" s="91">
        <v>0</v>
      </c>
      <c r="M376" s="91">
        <v>0</v>
      </c>
      <c r="N376" s="91">
        <v>0</v>
      </c>
      <c r="O376" s="91">
        <v>0</v>
      </c>
      <c r="P376" s="91">
        <v>0</v>
      </c>
      <c r="Q376" s="85">
        <v>0</v>
      </c>
      <c r="R376" s="68" t="s">
        <v>436</v>
      </c>
      <c r="S376" s="86">
        <v>0</v>
      </c>
      <c r="T376" s="68">
        <v>0</v>
      </c>
      <c r="U376" s="68">
        <v>0</v>
      </c>
      <c r="V376" s="68">
        <v>0</v>
      </c>
      <c r="W376" s="68">
        <v>0</v>
      </c>
      <c r="X376" s="68">
        <v>0</v>
      </c>
      <c r="Y376" s="68">
        <v>0</v>
      </c>
      <c r="Z376" s="68">
        <v>0</v>
      </c>
      <c r="AA376" s="68">
        <v>0</v>
      </c>
      <c r="AB376" s="69">
        <v>0</v>
      </c>
      <c r="AC376" s="69">
        <v>0</v>
      </c>
      <c r="AD376" s="70">
        <f>IFERROR(tblTarget[[#This Row],[Cluster Target]]/tblTarget[[#This Row],[Cluster PiN]],0)</f>
        <v>0</v>
      </c>
      <c r="AE376" s="79">
        <f>_xlfn.XLOOKUP(tblTarget[[#This Row],[ID]],tblResponse[ID],tblResponse[2024 Projected reached (Dec 2024)])</f>
        <v>0</v>
      </c>
      <c r="AF376" s="79">
        <f>_xlfn.XLOOKUP(tblTarget[[#This Row],[ID]],tblResponse[ID],tblResponse[2024 Intercluster reached -August RPM])</f>
        <v>0</v>
      </c>
      <c r="AG376" s="79">
        <v>1</v>
      </c>
      <c r="AH376" s="79"/>
      <c r="AI376" s="79"/>
      <c r="AJ376" s="70" t="str">
        <f>IF(tblTarget[[#This Row],[Target to PiN (%)]]&gt;Targ_vs_PiN,"Flagged","")</f>
        <v/>
      </c>
      <c r="AK376" s="69" t="str">
        <f>IF(AND(tblTarget[[#This Row],[Qualifies for exception]]="Flagged",tblTarget[[#This Row],[Target to PiN (%)]]&gt;Targ_severity5),"Flagged","")</f>
        <v/>
      </c>
      <c r="AL376" s="68" t="str">
        <f>IFERROR(IF(AND(tblTarget[[#This Row],[Intercluser Severity]]=4,tblTarget[[#This Row],[Qualifies for exception]]="Flagged",(tblTarget[[#This Row],[Cluster Target]]-tblTarget[[#This Row],[2024 Response capacity up to December]])/tblTarget[[#This Row],[Cluster Target]]&gt;Diff_severity4),"Flagged",""),"No target")</f>
        <v>No target</v>
      </c>
      <c r="AM376" s="68" t="str">
        <f>IFERROR(IF(AND(tblTarget[[#This Row],[Intercluser Severity]]=3,tblTarget[[#This Row],[Qualifies for exception]]="Flagged",(tblTarget[[#This Row],[Cluster Target]]-tblTarget[[#This Row],[2024 Response capacity up to December]])/tblTarget[[#This Row],[Cluster Target]]&gt;Diff_severity3),"Flagged",""),"No target")</f>
        <v>No target</v>
      </c>
      <c r="AN376" s="81" t="s">
        <v>1099</v>
      </c>
      <c r="AO376" s="81"/>
      <c r="AP376" s="81" t="s">
        <v>1099</v>
      </c>
      <c r="AQ376" s="81" t="s">
        <v>1107</v>
      </c>
    </row>
    <row r="377" spans="1:43" ht="15.95" customHeight="1" x14ac:dyDescent="0.2">
      <c r="A377" s="62" t="s">
        <v>814</v>
      </c>
      <c r="B377" s="63" t="s">
        <v>406</v>
      </c>
      <c r="C377" s="64" t="s">
        <v>407</v>
      </c>
      <c r="D377" s="63" t="s">
        <v>424</v>
      </c>
      <c r="E377" s="64" t="s">
        <v>425</v>
      </c>
      <c r="F377" s="65">
        <v>34417</v>
      </c>
      <c r="G377" s="66" t="s">
        <v>436</v>
      </c>
      <c r="H377" s="67">
        <v>27581</v>
      </c>
      <c r="I377" s="68">
        <v>3</v>
      </c>
      <c r="J377" s="68">
        <v>4</v>
      </c>
      <c r="K377" s="91">
        <v>1379</v>
      </c>
      <c r="L377" s="91">
        <v>694.89809650287737</v>
      </c>
      <c r="M377" s="91">
        <v>684.10190349712263</v>
      </c>
      <c r="N377" s="91">
        <v>758.45</v>
      </c>
      <c r="O377" s="91">
        <v>537.81000000000006</v>
      </c>
      <c r="P377" s="91">
        <v>82.74</v>
      </c>
      <c r="Q377" s="85">
        <v>206.85</v>
      </c>
      <c r="R377" s="68" t="s">
        <v>436</v>
      </c>
      <c r="S377" s="86">
        <v>199</v>
      </c>
      <c r="T377" s="68">
        <v>50</v>
      </c>
      <c r="U377" s="68">
        <v>9</v>
      </c>
      <c r="V377" s="68">
        <v>12</v>
      </c>
      <c r="W377" s="68">
        <v>14</v>
      </c>
      <c r="X377" s="68">
        <v>28</v>
      </c>
      <c r="Y377" s="68">
        <v>41</v>
      </c>
      <c r="Z377" s="68">
        <v>28</v>
      </c>
      <c r="AA377" s="68">
        <v>0</v>
      </c>
      <c r="AB377" s="69">
        <v>4</v>
      </c>
      <c r="AC377" s="69">
        <v>0</v>
      </c>
      <c r="AD377" s="70">
        <f>IFERROR(tblTarget[[#This Row],[Cluster Target]]/tblTarget[[#This Row],[Cluster PiN]],0)</f>
        <v>4.9998187157826036E-2</v>
      </c>
      <c r="AE377" s="79">
        <f>_xlfn.XLOOKUP(tblTarget[[#This Row],[ID]],tblResponse[ID],tblResponse[2024 Projected reached (Dec 2024)])</f>
        <v>0</v>
      </c>
      <c r="AF377" s="79">
        <f>_xlfn.XLOOKUP(tblTarget[[#This Row],[ID]],tblResponse[ID],tblResponse[2024 Intercluster reached -August RPM])</f>
        <v>205.5420530494317</v>
      </c>
      <c r="AG377" s="79">
        <v>1</v>
      </c>
      <c r="AH377" s="79"/>
      <c r="AI377" s="79"/>
      <c r="AJ377" s="70" t="str">
        <f>IF(tblTarget[[#This Row],[Target to PiN (%)]]&gt;Targ_vs_PiN,"Flagged","")</f>
        <v/>
      </c>
      <c r="AK377" s="69" t="str">
        <f>IF(AND(tblTarget[[#This Row],[Qualifies for exception]]="Flagged",tblTarget[[#This Row],[Target to PiN (%)]]&gt;Targ_severity5),"Flagged","")</f>
        <v/>
      </c>
      <c r="AL377" s="68" t="str">
        <f>IFERROR(IF(AND(tblTarget[[#This Row],[Intercluser Severity]]=4,tblTarget[[#This Row],[Qualifies for exception]]="Flagged",(tblTarget[[#This Row],[Cluster Target]]-tblTarget[[#This Row],[2024 Response capacity up to December]])/tblTarget[[#This Row],[Cluster Target]]&gt;Diff_severity4),"Flagged",""),"No target")</f>
        <v>Flagged</v>
      </c>
      <c r="AM377" s="68" t="str">
        <f>IFERROR(IF(AND(tblTarget[[#This Row],[Intercluser Severity]]=3,tblTarget[[#This Row],[Qualifies for exception]]="Flagged",(tblTarget[[#This Row],[Cluster Target]]-tblTarget[[#This Row],[2024 Response capacity up to December]])/tblTarget[[#This Row],[Cluster Target]]&gt;Diff_severity3),"Flagged",""),"No target")</f>
        <v/>
      </c>
      <c r="AN377" s="81" t="s">
        <v>1099</v>
      </c>
      <c r="AO377" s="81"/>
      <c r="AP377" s="81" t="s">
        <v>1099</v>
      </c>
      <c r="AQ377" s="81" t="s">
        <v>1107</v>
      </c>
    </row>
    <row r="378" spans="1:43" ht="15.95" customHeight="1" x14ac:dyDescent="0.2">
      <c r="A378" s="62" t="s">
        <v>815</v>
      </c>
      <c r="B378" s="63" t="s">
        <v>406</v>
      </c>
      <c r="C378" s="64" t="s">
        <v>407</v>
      </c>
      <c r="D378" s="63" t="s">
        <v>426</v>
      </c>
      <c r="E378" s="64" t="s">
        <v>427</v>
      </c>
      <c r="F378" s="65">
        <v>19972</v>
      </c>
      <c r="G378" s="66" t="s">
        <v>436</v>
      </c>
      <c r="H378" s="67">
        <v>15894</v>
      </c>
      <c r="I378" s="68">
        <v>3</v>
      </c>
      <c r="J378" s="68">
        <v>4</v>
      </c>
      <c r="K378" s="91">
        <v>1589</v>
      </c>
      <c r="L378" s="91">
        <v>809.75720472869909</v>
      </c>
      <c r="M378" s="91">
        <v>779.24279527130091</v>
      </c>
      <c r="N378" s="91">
        <v>873.95</v>
      </c>
      <c r="O378" s="91">
        <v>619.71</v>
      </c>
      <c r="P378" s="91">
        <v>95.34</v>
      </c>
      <c r="Q378" s="85">
        <v>238.35</v>
      </c>
      <c r="R378" s="68" t="s">
        <v>15</v>
      </c>
      <c r="S378" s="86">
        <v>229</v>
      </c>
      <c r="T378" s="68">
        <v>57</v>
      </c>
      <c r="U378" s="68">
        <v>11</v>
      </c>
      <c r="V378" s="68">
        <v>14</v>
      </c>
      <c r="W378" s="68">
        <v>16</v>
      </c>
      <c r="X378" s="68">
        <v>32</v>
      </c>
      <c r="Y378" s="68">
        <v>48</v>
      </c>
      <c r="Z378" s="68">
        <v>32</v>
      </c>
      <c r="AA378" s="68">
        <v>0</v>
      </c>
      <c r="AB378" s="69">
        <v>4</v>
      </c>
      <c r="AC378" s="69">
        <v>0</v>
      </c>
      <c r="AD378" s="70">
        <f>IFERROR(tblTarget[[#This Row],[Cluster Target]]/tblTarget[[#This Row],[Cluster PiN]],0)</f>
        <v>9.9974833270416508E-2</v>
      </c>
      <c r="AE378" s="79">
        <f>_xlfn.XLOOKUP(tblTarget[[#This Row],[ID]],tblResponse[ID],tblResponse[2024 Projected reached (Dec 2024)])</f>
        <v>0</v>
      </c>
      <c r="AF378" s="79">
        <f>_xlfn.XLOOKUP(tblTarget[[#This Row],[ID]],tblResponse[ID],tblResponse[2024 Intercluster reached -August RPM])</f>
        <v>2696.8830210527517</v>
      </c>
      <c r="AG378" s="79">
        <v>1</v>
      </c>
      <c r="AH378" s="79"/>
      <c r="AI378" s="79"/>
      <c r="AJ378" s="70" t="str">
        <f>IF(tblTarget[[#This Row],[Target to PiN (%)]]&gt;Targ_vs_PiN,"Flagged","")</f>
        <v/>
      </c>
      <c r="AK378" s="69" t="str">
        <f>IF(AND(tblTarget[[#This Row],[Qualifies for exception]]="Flagged",tblTarget[[#This Row],[Target to PiN (%)]]&gt;Targ_severity5),"Flagged","")</f>
        <v/>
      </c>
      <c r="AL378" s="68" t="str">
        <f>IFERROR(IF(AND(tblTarget[[#This Row],[Intercluser Severity]]=4,tblTarget[[#This Row],[Qualifies for exception]]="Flagged",(tblTarget[[#This Row],[Cluster Target]]-tblTarget[[#This Row],[2024 Response capacity up to December]])/tblTarget[[#This Row],[Cluster Target]]&gt;Diff_severity4),"Flagged",""),"No target")</f>
        <v/>
      </c>
      <c r="AM378" s="68" t="str">
        <f>IFERROR(IF(AND(tblTarget[[#This Row],[Intercluser Severity]]=3,tblTarget[[#This Row],[Qualifies for exception]]="Flagged",(tblTarget[[#This Row],[Cluster Target]]-tblTarget[[#This Row],[2024 Response capacity up to December]])/tblTarget[[#This Row],[Cluster Target]]&gt;Diff_severity3),"Flagged",""),"No target")</f>
        <v/>
      </c>
      <c r="AN378" s="81" t="s">
        <v>1099</v>
      </c>
      <c r="AO378" s="81"/>
      <c r="AP378" s="81" t="s">
        <v>15</v>
      </c>
      <c r="AQ378" s="81" t="s">
        <v>1098</v>
      </c>
    </row>
    <row r="379" spans="1:43" ht="15.95" customHeight="1" x14ac:dyDescent="0.2">
      <c r="A379" s="62" t="s">
        <v>816</v>
      </c>
      <c r="B379" s="63" t="s">
        <v>406</v>
      </c>
      <c r="C379" s="64" t="s">
        <v>407</v>
      </c>
      <c r="D379" s="63" t="s">
        <v>428</v>
      </c>
      <c r="E379" s="64" t="s">
        <v>429</v>
      </c>
      <c r="F379" s="65">
        <v>21146</v>
      </c>
      <c r="G379" s="66" t="s">
        <v>436</v>
      </c>
      <c r="H379" s="67">
        <v>15597</v>
      </c>
      <c r="I379" s="68">
        <v>3</v>
      </c>
      <c r="J379" s="68">
        <v>4</v>
      </c>
      <c r="K379" s="91">
        <v>780</v>
      </c>
      <c r="L379" s="91">
        <v>386.95336434812208</v>
      </c>
      <c r="M379" s="91">
        <v>393.04663565187786</v>
      </c>
      <c r="N379" s="91">
        <v>429.00000000000006</v>
      </c>
      <c r="O379" s="91">
        <v>304.2</v>
      </c>
      <c r="P379" s="91">
        <v>46.8</v>
      </c>
      <c r="Q379" s="85">
        <v>117</v>
      </c>
      <c r="R379" s="68" t="s">
        <v>436</v>
      </c>
      <c r="S379" s="86">
        <v>112</v>
      </c>
      <c r="T379" s="68">
        <v>28</v>
      </c>
      <c r="U379" s="68">
        <v>5</v>
      </c>
      <c r="V379" s="68">
        <v>7</v>
      </c>
      <c r="W379" s="68">
        <v>8</v>
      </c>
      <c r="X379" s="68">
        <v>16</v>
      </c>
      <c r="Y379" s="68">
        <v>23</v>
      </c>
      <c r="Z379" s="68">
        <v>16</v>
      </c>
      <c r="AA379" s="68">
        <v>0</v>
      </c>
      <c r="AB379" s="69">
        <v>2</v>
      </c>
      <c r="AC379" s="69">
        <v>0</v>
      </c>
      <c r="AD379" s="70">
        <f>IFERROR(tblTarget[[#This Row],[Cluster Target]]/tblTarget[[#This Row],[Cluster PiN]],0)</f>
        <v>5.0009617234083481E-2</v>
      </c>
      <c r="AE379" s="79">
        <f>_xlfn.XLOOKUP(tblTarget[[#This Row],[ID]],tblResponse[ID],tblResponse[2024 Projected reached (Dec 2024)])</f>
        <v>0</v>
      </c>
      <c r="AF379" s="79">
        <f>_xlfn.XLOOKUP(tblTarget[[#This Row],[ID]],tblResponse[ID],tblResponse[2024 Intercluster reached -August RPM])</f>
        <v>18807.097854023003</v>
      </c>
      <c r="AG379" s="79">
        <v>1</v>
      </c>
      <c r="AH379" s="79"/>
      <c r="AI379" s="79"/>
      <c r="AJ379" s="70" t="str">
        <f>IF(tblTarget[[#This Row],[Target to PiN (%)]]&gt;Targ_vs_PiN,"Flagged","")</f>
        <v/>
      </c>
      <c r="AK379" s="69" t="str">
        <f>IF(AND(tblTarget[[#This Row],[Qualifies for exception]]="Flagged",tblTarget[[#This Row],[Target to PiN (%)]]&gt;Targ_severity5),"Flagged","")</f>
        <v/>
      </c>
      <c r="AL379" s="68" t="str">
        <f>IFERROR(IF(AND(tblTarget[[#This Row],[Intercluser Severity]]=4,tblTarget[[#This Row],[Qualifies for exception]]="Flagged",(tblTarget[[#This Row],[Cluster Target]]-tblTarget[[#This Row],[2024 Response capacity up to December]])/tblTarget[[#This Row],[Cluster Target]]&gt;Diff_severity4),"Flagged",""),"No target")</f>
        <v>Flagged</v>
      </c>
      <c r="AM379" s="68" t="str">
        <f>IFERROR(IF(AND(tblTarget[[#This Row],[Intercluser Severity]]=3,tblTarget[[#This Row],[Qualifies for exception]]="Flagged",(tblTarget[[#This Row],[Cluster Target]]-tblTarget[[#This Row],[2024 Response capacity up to December]])/tblTarget[[#This Row],[Cluster Target]]&gt;Diff_severity3),"Flagged",""),"No target")</f>
        <v/>
      </c>
      <c r="AN379" s="81" t="s">
        <v>1099</v>
      </c>
      <c r="AO379" s="81"/>
      <c r="AP379" s="81" t="s">
        <v>1099</v>
      </c>
      <c r="AQ379" s="81" t="s">
        <v>1107</v>
      </c>
    </row>
    <row r="380" spans="1:43" ht="15.95" customHeight="1" x14ac:dyDescent="0.2">
      <c r="A380" s="62" t="s">
        <v>817</v>
      </c>
      <c r="B380" s="63" t="s">
        <v>406</v>
      </c>
      <c r="C380" s="64" t="s">
        <v>407</v>
      </c>
      <c r="D380" s="63" t="s">
        <v>430</v>
      </c>
      <c r="E380" s="64" t="s">
        <v>431</v>
      </c>
      <c r="F380" s="65">
        <v>96705</v>
      </c>
      <c r="G380" s="66" t="s">
        <v>436</v>
      </c>
      <c r="H380" s="67">
        <v>39683</v>
      </c>
      <c r="I380" s="68">
        <v>3</v>
      </c>
      <c r="J380" s="68">
        <v>4</v>
      </c>
      <c r="K380" s="91">
        <v>3968</v>
      </c>
      <c r="L380" s="91">
        <v>2051.5555185997441</v>
      </c>
      <c r="M380" s="91">
        <v>1916.4444814002557</v>
      </c>
      <c r="N380" s="91">
        <v>2182.4</v>
      </c>
      <c r="O380" s="91">
        <v>1547.52</v>
      </c>
      <c r="P380" s="91">
        <v>238.07999999999998</v>
      </c>
      <c r="Q380" s="85">
        <v>595.19999999999993</v>
      </c>
      <c r="R380" s="68" t="s">
        <v>15</v>
      </c>
      <c r="S380" s="86">
        <v>571</v>
      </c>
      <c r="T380" s="68">
        <v>143</v>
      </c>
      <c r="U380" s="68">
        <v>27</v>
      </c>
      <c r="V380" s="68">
        <v>36</v>
      </c>
      <c r="W380" s="68">
        <v>40</v>
      </c>
      <c r="X380" s="68">
        <v>79</v>
      </c>
      <c r="Y380" s="68">
        <v>119</v>
      </c>
      <c r="Z380" s="68">
        <v>79</v>
      </c>
      <c r="AA380" s="68">
        <v>0</v>
      </c>
      <c r="AB380" s="69">
        <v>12</v>
      </c>
      <c r="AC380" s="69">
        <v>37.669527532706297</v>
      </c>
      <c r="AD380" s="70">
        <f>IFERROR(tblTarget[[#This Row],[Cluster Target]]/tblTarget[[#This Row],[Cluster PiN]],0)</f>
        <v>9.9992440087694978E-2</v>
      </c>
      <c r="AE380" s="79">
        <f>_xlfn.XLOOKUP(tblTarget[[#This Row],[ID]],tblResponse[ID],tblResponse[2024 Projected reached (Dec 2024)])</f>
        <v>0</v>
      </c>
      <c r="AF380" s="79">
        <f>_xlfn.XLOOKUP(tblTarget[[#This Row],[ID]],tblResponse[ID],tblResponse[2024 Intercluster reached -August RPM])</f>
        <v>62.804516209548581</v>
      </c>
      <c r="AG380" s="79">
        <v>1</v>
      </c>
      <c r="AH380" s="79"/>
      <c r="AI380" s="79"/>
      <c r="AJ380" s="70" t="str">
        <f>IF(tblTarget[[#This Row],[Target to PiN (%)]]&gt;Targ_vs_PiN,"Flagged","")</f>
        <v/>
      </c>
      <c r="AK380" s="69" t="str">
        <f>IF(AND(tblTarget[[#This Row],[Qualifies for exception]]="Flagged",tblTarget[[#This Row],[Target to PiN (%)]]&gt;Targ_severity5),"Flagged","")</f>
        <v/>
      </c>
      <c r="AL380" s="68" t="str">
        <f>IFERROR(IF(AND(tblTarget[[#This Row],[Intercluser Severity]]=4,tblTarget[[#This Row],[Qualifies for exception]]="Flagged",(tblTarget[[#This Row],[Cluster Target]]-tblTarget[[#This Row],[2024 Response capacity up to December]])/tblTarget[[#This Row],[Cluster Target]]&gt;Diff_severity4),"Flagged",""),"No target")</f>
        <v/>
      </c>
      <c r="AM380" s="68" t="str">
        <f>IFERROR(IF(AND(tblTarget[[#This Row],[Intercluser Severity]]=3,tblTarget[[#This Row],[Qualifies for exception]]="Flagged",(tblTarget[[#This Row],[Cluster Target]]-tblTarget[[#This Row],[2024 Response capacity up to December]])/tblTarget[[#This Row],[Cluster Target]]&gt;Diff_severity3),"Flagged",""),"No target")</f>
        <v/>
      </c>
      <c r="AN380" s="81" t="s">
        <v>1099</v>
      </c>
      <c r="AO380" s="81"/>
      <c r="AP380" s="81" t="s">
        <v>15</v>
      </c>
      <c r="AQ380" s="81" t="s">
        <v>1098</v>
      </c>
    </row>
    <row r="381" spans="1:43" ht="15.95" customHeight="1" x14ac:dyDescent="0.2">
      <c r="A381" s="62" t="s">
        <v>818</v>
      </c>
      <c r="B381" s="63" t="s">
        <v>406</v>
      </c>
      <c r="C381" s="64" t="s">
        <v>407</v>
      </c>
      <c r="D381" s="63" t="s">
        <v>432</v>
      </c>
      <c r="E381" s="64" t="s">
        <v>433</v>
      </c>
      <c r="F381" s="65">
        <v>9038</v>
      </c>
      <c r="G381" s="66" t="s">
        <v>436</v>
      </c>
      <c r="H381" s="67">
        <v>1754</v>
      </c>
      <c r="I381" s="68">
        <v>3</v>
      </c>
      <c r="J381" s="68">
        <v>3</v>
      </c>
      <c r="K381" s="91">
        <v>0</v>
      </c>
      <c r="L381" s="91">
        <v>0</v>
      </c>
      <c r="M381" s="91">
        <v>0</v>
      </c>
      <c r="N381" s="91">
        <v>0</v>
      </c>
      <c r="O381" s="91">
        <v>0</v>
      </c>
      <c r="P381" s="91">
        <v>0</v>
      </c>
      <c r="Q381" s="85">
        <v>0</v>
      </c>
      <c r="R381" s="68" t="s">
        <v>436</v>
      </c>
      <c r="S381" s="86">
        <v>0</v>
      </c>
      <c r="T381" s="68">
        <v>0</v>
      </c>
      <c r="U381" s="68">
        <v>0</v>
      </c>
      <c r="V381" s="68">
        <v>0</v>
      </c>
      <c r="W381" s="68">
        <v>0</v>
      </c>
      <c r="X381" s="68">
        <v>0</v>
      </c>
      <c r="Y381" s="68">
        <v>0</v>
      </c>
      <c r="Z381" s="68">
        <v>0</v>
      </c>
      <c r="AA381" s="68">
        <v>0</v>
      </c>
      <c r="AB381" s="69">
        <v>0</v>
      </c>
      <c r="AC381" s="69">
        <v>0</v>
      </c>
      <c r="AD381" s="70">
        <f>IFERROR(tblTarget[[#This Row],[Cluster Target]]/tblTarget[[#This Row],[Cluster PiN]],0)</f>
        <v>0</v>
      </c>
      <c r="AE381" s="79">
        <f>_xlfn.XLOOKUP(tblTarget[[#This Row],[ID]],tblResponse[ID],tblResponse[2024 Projected reached (Dec 2024)])</f>
        <v>0</v>
      </c>
      <c r="AF381" s="79">
        <f>_xlfn.XLOOKUP(tblTarget[[#This Row],[ID]],tblResponse[ID],tblResponse[2024 Intercluster reached -August RPM])</f>
        <v>0</v>
      </c>
      <c r="AG381" s="79">
        <v>1</v>
      </c>
      <c r="AH381" s="79"/>
      <c r="AI381" s="79"/>
      <c r="AJ381" s="70" t="str">
        <f>IF(tblTarget[[#This Row],[Target to PiN (%)]]&gt;Targ_vs_PiN,"Flagged","")</f>
        <v/>
      </c>
      <c r="AK381" s="69" t="str">
        <f>IF(AND(tblTarget[[#This Row],[Qualifies for exception]]="Flagged",tblTarget[[#This Row],[Target to PiN (%)]]&gt;Targ_severity5),"Flagged","")</f>
        <v/>
      </c>
      <c r="AL381" s="68" t="str">
        <f>IFERROR(IF(AND(tblTarget[[#This Row],[Intercluser Severity]]=4,tblTarget[[#This Row],[Qualifies for exception]]="Flagged",(tblTarget[[#This Row],[Cluster Target]]-tblTarget[[#This Row],[2024 Response capacity up to December]])/tblTarget[[#This Row],[Cluster Target]]&gt;Diff_severity4),"Flagged",""),"No target")</f>
        <v>No target</v>
      </c>
      <c r="AM381" s="68" t="str">
        <f>IFERROR(IF(AND(tblTarget[[#This Row],[Intercluser Severity]]=3,tblTarget[[#This Row],[Qualifies for exception]]="Flagged",(tblTarget[[#This Row],[Cluster Target]]-tblTarget[[#This Row],[2024 Response capacity up to December]])/tblTarget[[#This Row],[Cluster Target]]&gt;Diff_severity3),"Flagged",""),"No target")</f>
        <v>No target</v>
      </c>
      <c r="AN381" s="81" t="s">
        <v>1099</v>
      </c>
      <c r="AO381" s="81"/>
      <c r="AP381" s="81" t="s">
        <v>1099</v>
      </c>
      <c r="AQ381" s="81" t="s">
        <v>1107</v>
      </c>
    </row>
    <row r="382" spans="1:43" ht="15.95" customHeight="1" x14ac:dyDescent="0.2">
      <c r="A382" s="62" t="s">
        <v>819</v>
      </c>
      <c r="B382" s="63" t="s">
        <v>406</v>
      </c>
      <c r="C382" s="64" t="s">
        <v>407</v>
      </c>
      <c r="D382" s="63" t="s">
        <v>434</v>
      </c>
      <c r="E382" s="64" t="s">
        <v>435</v>
      </c>
      <c r="F382" s="65">
        <v>8023</v>
      </c>
      <c r="G382" s="66" t="s">
        <v>436</v>
      </c>
      <c r="H382" s="67">
        <v>5917</v>
      </c>
      <c r="I382" s="68">
        <v>3</v>
      </c>
      <c r="J382" s="68">
        <v>4</v>
      </c>
      <c r="K382" s="91">
        <v>592</v>
      </c>
      <c r="L382" s="91">
        <v>294.21464458855377</v>
      </c>
      <c r="M382" s="91">
        <v>297.78535541144623</v>
      </c>
      <c r="N382" s="91">
        <v>325.60000000000002</v>
      </c>
      <c r="O382" s="91">
        <v>230.88</v>
      </c>
      <c r="P382" s="91">
        <v>35.519999999999996</v>
      </c>
      <c r="Q382" s="85">
        <v>88.8</v>
      </c>
      <c r="R382" s="68" t="s">
        <v>15</v>
      </c>
      <c r="S382" s="86">
        <v>85</v>
      </c>
      <c r="T382" s="68">
        <v>21</v>
      </c>
      <c r="U382" s="68">
        <v>4</v>
      </c>
      <c r="V382" s="68">
        <v>5</v>
      </c>
      <c r="W382" s="68">
        <v>6</v>
      </c>
      <c r="X382" s="68">
        <v>12</v>
      </c>
      <c r="Y382" s="68">
        <v>18</v>
      </c>
      <c r="Z382" s="68">
        <v>12</v>
      </c>
      <c r="AA382" s="68">
        <v>0</v>
      </c>
      <c r="AB382" s="69">
        <v>2</v>
      </c>
      <c r="AC382" s="69">
        <v>0</v>
      </c>
      <c r="AD382" s="70">
        <f>IFERROR(tblTarget[[#This Row],[Cluster Target]]/tblTarget[[#This Row],[Cluster PiN]],0)</f>
        <v>0.10005070136893696</v>
      </c>
      <c r="AE382" s="79">
        <f>_xlfn.XLOOKUP(tblTarget[[#This Row],[ID]],tblResponse[ID],tblResponse[2024 Projected reached (Dec 2024)])</f>
        <v>0</v>
      </c>
      <c r="AF382" s="79">
        <f>_xlfn.XLOOKUP(tblTarget[[#This Row],[ID]],tblResponse[ID],tblResponse[2024 Intercluster reached -August RPM])</f>
        <v>4.2821261051964941</v>
      </c>
      <c r="AG382" s="79">
        <v>1</v>
      </c>
      <c r="AH382" s="79"/>
      <c r="AI382" s="79"/>
      <c r="AJ382" s="70" t="str">
        <f>IF(tblTarget[[#This Row],[Target to PiN (%)]]&gt;Targ_vs_PiN,"Flagged","")</f>
        <v/>
      </c>
      <c r="AK382" s="69" t="str">
        <f>IF(AND(tblTarget[[#This Row],[Qualifies for exception]]="Flagged",tblTarget[[#This Row],[Target to PiN (%)]]&gt;Targ_severity5),"Flagged","")</f>
        <v/>
      </c>
      <c r="AL382" s="68" t="str">
        <f>IFERROR(IF(AND(tblTarget[[#This Row],[Intercluser Severity]]=4,tblTarget[[#This Row],[Qualifies for exception]]="Flagged",(tblTarget[[#This Row],[Cluster Target]]-tblTarget[[#This Row],[2024 Response capacity up to December]])/tblTarget[[#This Row],[Cluster Target]]&gt;Diff_severity4),"Flagged",""),"No target")</f>
        <v/>
      </c>
      <c r="AM382" s="68" t="str">
        <f>IFERROR(IF(AND(tblTarget[[#This Row],[Intercluser Severity]]=3,tblTarget[[#This Row],[Qualifies for exception]]="Flagged",(tblTarget[[#This Row],[Cluster Target]]-tblTarget[[#This Row],[2024 Response capacity up to December]])/tblTarget[[#This Row],[Cluster Target]]&gt;Diff_severity3),"Flagged",""),"No target")</f>
        <v/>
      </c>
      <c r="AN382" s="81" t="s">
        <v>1099</v>
      </c>
      <c r="AO382" s="81"/>
      <c r="AP382" s="81" t="s">
        <v>15</v>
      </c>
      <c r="AQ382" s="81" t="s">
        <v>1098</v>
      </c>
    </row>
    <row r="383" spans="1:43" ht="15.95" customHeight="1" x14ac:dyDescent="0.2">
      <c r="A383" s="62" t="s">
        <v>820</v>
      </c>
      <c r="B383" s="63" t="s">
        <v>26</v>
      </c>
      <c r="C383" s="64" t="s">
        <v>27</v>
      </c>
      <c r="D383" s="63" t="s">
        <v>28</v>
      </c>
      <c r="E383" s="64" t="s">
        <v>29</v>
      </c>
      <c r="F383" s="65">
        <v>1228200</v>
      </c>
      <c r="G383" s="66" t="s">
        <v>437</v>
      </c>
      <c r="H383" s="67">
        <v>111846</v>
      </c>
      <c r="I383" s="68">
        <v>3</v>
      </c>
      <c r="J383" s="68">
        <v>4</v>
      </c>
      <c r="K383" s="91">
        <v>69.12</v>
      </c>
      <c r="L383" s="91">
        <v>32.006663722000226</v>
      </c>
      <c r="M383" s="91">
        <v>37.113336277999778</v>
      </c>
      <c r="N383" s="91">
        <v>34.56</v>
      </c>
      <c r="O383" s="91">
        <v>30.412800000000001</v>
      </c>
      <c r="P383" s="91">
        <v>4.1471999999999998</v>
      </c>
      <c r="Q383" s="85">
        <v>10.368</v>
      </c>
      <c r="R383" s="68" t="s">
        <v>15</v>
      </c>
      <c r="S383" s="86">
        <v>10</v>
      </c>
      <c r="T383" s="68">
        <v>2</v>
      </c>
      <c r="U383" s="68">
        <v>0</v>
      </c>
      <c r="V383" s="68">
        <v>0</v>
      </c>
      <c r="W383" s="68">
        <v>1</v>
      </c>
      <c r="X383" s="68">
        <v>1</v>
      </c>
      <c r="Y383" s="68">
        <v>5</v>
      </c>
      <c r="Z383" s="68">
        <v>0</v>
      </c>
      <c r="AA383" s="68">
        <v>0</v>
      </c>
      <c r="AB383" s="69">
        <v>0</v>
      </c>
      <c r="AC383" s="69">
        <v>0</v>
      </c>
      <c r="AD383" s="70">
        <f>IFERROR(tblTarget[[#This Row],[Cluster Target]]/tblTarget[[#This Row],[Cluster PiN]],0)</f>
        <v>6.179925969636822E-4</v>
      </c>
      <c r="AE383" s="79">
        <f>_xlfn.XLOOKUP(tblTarget[[#This Row],[ID]],tblResponse[ID],tblResponse[2024 Projected reached (Dec 2024)])</f>
        <v>0</v>
      </c>
      <c r="AF383" s="79">
        <f>_xlfn.XLOOKUP(tblTarget[[#This Row],[ID]],tblResponse[ID],tblResponse[2024 Intercluster reached -August RPM])</f>
        <v>892.50550978534534</v>
      </c>
      <c r="AG383" s="79">
        <v>2</v>
      </c>
      <c r="AH383" s="79"/>
      <c r="AI383" s="79"/>
      <c r="AJ383" s="70" t="str">
        <f>IF(tblTarget[[#This Row],[Target to PiN (%)]]&gt;Targ_vs_PiN,"Flagged","")</f>
        <v/>
      </c>
      <c r="AK383" s="69" t="str">
        <f>IF(AND(tblTarget[[#This Row],[Qualifies for exception]]="Flagged",tblTarget[[#This Row],[Target to PiN (%)]]&gt;Targ_severity5),"Flagged","")</f>
        <v/>
      </c>
      <c r="AL383" s="68" t="str">
        <f>IFERROR(IF(AND(tblTarget[[#This Row],[Intercluser Severity]]=4,tblTarget[[#This Row],[Qualifies for exception]]="Flagged",(tblTarget[[#This Row],[Cluster Target]]-tblTarget[[#This Row],[2024 Response capacity up to December]])/tblTarget[[#This Row],[Cluster Target]]&gt;Diff_severity4),"Flagged",""),"No target")</f>
        <v/>
      </c>
      <c r="AM383" s="68" t="str">
        <f>IFERROR(IF(AND(tblTarget[[#This Row],[Intercluser Severity]]=3,tblTarget[[#This Row],[Qualifies for exception]]="Flagged",(tblTarget[[#This Row],[Cluster Target]]-tblTarget[[#This Row],[2024 Response capacity up to December]])/tblTarget[[#This Row],[Cluster Target]]&gt;Diff_severity3),"Flagged",""),"No target")</f>
        <v/>
      </c>
      <c r="AN383" s="81" t="s">
        <v>15</v>
      </c>
      <c r="AO383" s="81"/>
      <c r="AP383" s="81" t="s">
        <v>15</v>
      </c>
      <c r="AQ383" s="81" t="s">
        <v>1098</v>
      </c>
    </row>
    <row r="384" spans="1:43" ht="15.95" hidden="1" customHeight="1" x14ac:dyDescent="0.2">
      <c r="A384" s="62" t="s">
        <v>821</v>
      </c>
      <c r="B384" s="63" t="s">
        <v>26</v>
      </c>
      <c r="C384" s="64" t="s">
        <v>27</v>
      </c>
      <c r="D384" s="63" t="s">
        <v>31</v>
      </c>
      <c r="E384" s="64" t="s">
        <v>32</v>
      </c>
      <c r="F384" s="65">
        <v>1539537</v>
      </c>
      <c r="G384" s="66" t="s">
        <v>437</v>
      </c>
      <c r="H384" s="67">
        <v>344494</v>
      </c>
      <c r="I384" s="68">
        <v>4</v>
      </c>
      <c r="J384" s="68">
        <v>4</v>
      </c>
      <c r="K384" s="91">
        <v>41.22</v>
      </c>
      <c r="L384" s="91">
        <v>19.05608317675923</v>
      </c>
      <c r="M384" s="91">
        <v>22.163916823240768</v>
      </c>
      <c r="N384" s="91">
        <v>20.61</v>
      </c>
      <c r="O384" s="91">
        <v>18.136800000000001</v>
      </c>
      <c r="P384" s="91">
        <v>2.4731999999999998</v>
      </c>
      <c r="Q384" s="85">
        <v>6.1829999999999998</v>
      </c>
      <c r="R384" s="68" t="s">
        <v>1107</v>
      </c>
      <c r="S384" s="86">
        <v>6</v>
      </c>
      <c r="T384" s="68">
        <v>1</v>
      </c>
      <c r="U384" s="68">
        <v>0</v>
      </c>
      <c r="V384" s="68">
        <v>0</v>
      </c>
      <c r="W384" s="68">
        <v>0</v>
      </c>
      <c r="X384" s="68">
        <v>1</v>
      </c>
      <c r="Y384" s="68">
        <v>3</v>
      </c>
      <c r="Z384" s="68">
        <v>0</v>
      </c>
      <c r="AA384" s="68">
        <v>0</v>
      </c>
      <c r="AB384" s="69">
        <v>0</v>
      </c>
      <c r="AC384" s="69">
        <v>0</v>
      </c>
      <c r="AD384" s="70">
        <f>IFERROR(tblTarget[[#This Row],[Cluster Target]]/tblTarget[[#This Row],[Cluster PiN]],0)</f>
        <v>1.1965375304069156E-4</v>
      </c>
      <c r="AE384" s="79">
        <f>_xlfn.XLOOKUP(tblTarget[[#This Row],[ID]],tblResponse[ID],tblResponse[2024 Projected reached (Dec 2024)])</f>
        <v>0</v>
      </c>
      <c r="AF384" s="79">
        <f>_xlfn.XLOOKUP(tblTarget[[#This Row],[ID]],tblResponse[ID],tblResponse[2024 Intercluster reached -August RPM])</f>
        <v>42.305329799855755</v>
      </c>
      <c r="AG384" s="79">
        <v>1</v>
      </c>
      <c r="AH384" s="79"/>
      <c r="AI384" s="79"/>
      <c r="AJ384" s="70" t="str">
        <f>IF(tblTarget[[#This Row],[Target to PiN (%)]]&gt;Targ_vs_PiN,"Flagged","")</f>
        <v/>
      </c>
      <c r="AK384" s="69" t="str">
        <f>IF(AND(tblTarget[[#This Row],[Qualifies for exception]]="Flagged",tblTarget[[#This Row],[Target to PiN (%)]]&gt;Targ_severity5),"Flagged","")</f>
        <v/>
      </c>
      <c r="AL384" s="68" t="str">
        <f>IFERROR(IF(AND(tblTarget[[#This Row],[Intercluser Severity]]=4,tblTarget[[#This Row],[Qualifies for exception]]="Flagged",(tblTarget[[#This Row],[Cluster Target]]-tblTarget[[#This Row],[2024 Response capacity up to December]])/tblTarget[[#This Row],[Cluster Target]]&gt;Diff_severity4),"Flagged",""),"No target")</f>
        <v>Flagged</v>
      </c>
      <c r="AM384" s="68" t="str">
        <f>IFERROR(IF(AND(tblTarget[[#This Row],[Intercluser Severity]]=3,tblTarget[[#This Row],[Qualifies for exception]]="Flagged",(tblTarget[[#This Row],[Cluster Target]]-tblTarget[[#This Row],[2024 Response capacity up to December]])/tblTarget[[#This Row],[Cluster Target]]&gt;Diff_severity3),"Flagged",""),"No target")</f>
        <v/>
      </c>
      <c r="AN384" s="81" t="s">
        <v>1099</v>
      </c>
      <c r="AO384" s="81"/>
      <c r="AP384" s="81" t="s">
        <v>1099</v>
      </c>
      <c r="AQ384" s="81" t="s">
        <v>1107</v>
      </c>
    </row>
    <row r="385" spans="1:43" ht="15.95" customHeight="1" x14ac:dyDescent="0.2">
      <c r="A385" s="62" t="s">
        <v>822</v>
      </c>
      <c r="B385" s="63" t="s">
        <v>26</v>
      </c>
      <c r="C385" s="64" t="s">
        <v>27</v>
      </c>
      <c r="D385" s="63" t="s">
        <v>33</v>
      </c>
      <c r="E385" s="64" t="s">
        <v>34</v>
      </c>
      <c r="F385" s="65">
        <v>397537</v>
      </c>
      <c r="G385" s="66" t="s">
        <v>437</v>
      </c>
      <c r="H385" s="67">
        <v>72403</v>
      </c>
      <c r="I385" s="68">
        <v>4</v>
      </c>
      <c r="J385" s="68">
        <v>4</v>
      </c>
      <c r="K385" s="91">
        <v>657</v>
      </c>
      <c r="L385" s="91">
        <v>310.11402278816325</v>
      </c>
      <c r="M385" s="91">
        <v>346.88597721183675</v>
      </c>
      <c r="N385" s="91">
        <v>328.5</v>
      </c>
      <c r="O385" s="91">
        <v>289.08</v>
      </c>
      <c r="P385" s="91">
        <v>39.42</v>
      </c>
      <c r="Q385" s="85">
        <v>98.55</v>
      </c>
      <c r="R385" s="68" t="s">
        <v>15</v>
      </c>
      <c r="S385" s="86">
        <v>95</v>
      </c>
      <c r="T385" s="68">
        <v>24</v>
      </c>
      <c r="U385" s="68">
        <v>0</v>
      </c>
      <c r="V385" s="68">
        <v>0</v>
      </c>
      <c r="W385" s="68">
        <v>7</v>
      </c>
      <c r="X385" s="68">
        <v>13</v>
      </c>
      <c r="Y385" s="68">
        <v>46</v>
      </c>
      <c r="Z385" s="68">
        <v>0</v>
      </c>
      <c r="AA385" s="68">
        <v>0</v>
      </c>
      <c r="AB385" s="69">
        <v>0</v>
      </c>
      <c r="AC385" s="69">
        <v>0</v>
      </c>
      <c r="AD385" s="70">
        <f>IFERROR(tblTarget[[#This Row],[Cluster Target]]/tblTarget[[#This Row],[Cluster PiN]],0)</f>
        <v>9.0742096321975614E-3</v>
      </c>
      <c r="AE385" s="79">
        <f>_xlfn.XLOOKUP(tblTarget[[#This Row],[ID]],tblResponse[ID],tblResponse[2024 Projected reached (Dec 2024)])</f>
        <v>0</v>
      </c>
      <c r="AF385" s="79">
        <f>_xlfn.XLOOKUP(tblTarget[[#This Row],[ID]],tblResponse[ID],tblResponse[2024 Intercluster reached -August RPM])</f>
        <v>521.00159852039098</v>
      </c>
      <c r="AG385" s="79">
        <v>1</v>
      </c>
      <c r="AH385" s="79"/>
      <c r="AI385" s="79"/>
      <c r="AJ385" s="70" t="str">
        <f>IF(tblTarget[[#This Row],[Target to PiN (%)]]&gt;Targ_vs_PiN,"Flagged","")</f>
        <v/>
      </c>
      <c r="AK385" s="69" t="str">
        <f>IF(AND(tblTarget[[#This Row],[Qualifies for exception]]="Flagged",tblTarget[[#This Row],[Target to PiN (%)]]&gt;Targ_severity5),"Flagged","")</f>
        <v/>
      </c>
      <c r="AL385" s="68" t="str">
        <f>IFERROR(IF(AND(tblTarget[[#This Row],[Intercluser Severity]]=4,tblTarget[[#This Row],[Qualifies for exception]]="Flagged",(tblTarget[[#This Row],[Cluster Target]]-tblTarget[[#This Row],[2024 Response capacity up to December]])/tblTarget[[#This Row],[Cluster Target]]&gt;Diff_severity4),"Flagged",""),"No target")</f>
        <v/>
      </c>
      <c r="AM385" s="68" t="str">
        <f>IFERROR(IF(AND(tblTarget[[#This Row],[Intercluser Severity]]=3,tblTarget[[#This Row],[Qualifies for exception]]="Flagged",(tblTarget[[#This Row],[Cluster Target]]-tblTarget[[#This Row],[2024 Response capacity up to December]])/tblTarget[[#This Row],[Cluster Target]]&gt;Diff_severity3),"Flagged",""),"No target")</f>
        <v/>
      </c>
      <c r="AN385" s="81" t="s">
        <v>1099</v>
      </c>
      <c r="AO385" s="81"/>
      <c r="AP385" s="81" t="s">
        <v>15</v>
      </c>
      <c r="AQ385" s="81" t="s">
        <v>1098</v>
      </c>
    </row>
    <row r="386" spans="1:43" ht="15.95" hidden="1" customHeight="1" x14ac:dyDescent="0.2">
      <c r="A386" s="62" t="s">
        <v>823</v>
      </c>
      <c r="B386" s="63" t="s">
        <v>26</v>
      </c>
      <c r="C386" s="64" t="s">
        <v>27</v>
      </c>
      <c r="D386" s="63" t="s">
        <v>35</v>
      </c>
      <c r="E386" s="64" t="s">
        <v>36</v>
      </c>
      <c r="F386" s="65">
        <v>936418</v>
      </c>
      <c r="G386" s="66" t="s">
        <v>437</v>
      </c>
      <c r="H386" s="67">
        <v>170550</v>
      </c>
      <c r="I386" s="68">
        <v>4</v>
      </c>
      <c r="J386" s="68">
        <v>4</v>
      </c>
      <c r="K386" s="91">
        <v>330.65999999999997</v>
      </c>
      <c r="L386" s="91">
        <v>154.48567989081877</v>
      </c>
      <c r="M386" s="91">
        <v>176.1743201091812</v>
      </c>
      <c r="N386" s="91">
        <v>165.32999999999998</v>
      </c>
      <c r="O386" s="91">
        <v>145.49039999999999</v>
      </c>
      <c r="P386" s="91">
        <v>19.839599999999997</v>
      </c>
      <c r="Q386" s="85">
        <v>49.598999999999997</v>
      </c>
      <c r="R386" s="68" t="s">
        <v>1107</v>
      </c>
      <c r="S386" s="86">
        <v>48</v>
      </c>
      <c r="T386" s="68">
        <v>12</v>
      </c>
      <c r="U386" s="68">
        <v>0</v>
      </c>
      <c r="V386" s="68">
        <v>0</v>
      </c>
      <c r="W386" s="68">
        <v>3</v>
      </c>
      <c r="X386" s="68">
        <v>7</v>
      </c>
      <c r="Y386" s="68">
        <v>23</v>
      </c>
      <c r="Z386" s="68">
        <v>0</v>
      </c>
      <c r="AA386" s="68">
        <v>0</v>
      </c>
      <c r="AB386" s="69">
        <v>0</v>
      </c>
      <c r="AC386" s="69">
        <v>0</v>
      </c>
      <c r="AD386" s="70">
        <f>IFERROR(tblTarget[[#This Row],[Cluster Target]]/tblTarget[[#This Row],[Cluster PiN]],0)</f>
        <v>1.9387862796833772E-3</v>
      </c>
      <c r="AE386" s="79">
        <f>_xlfn.XLOOKUP(tblTarget[[#This Row],[ID]],tblResponse[ID],tblResponse[2024 Projected reached (Dec 2024)])</f>
        <v>0</v>
      </c>
      <c r="AF386" s="79">
        <f>_xlfn.XLOOKUP(tblTarget[[#This Row],[ID]],tblResponse[ID],tblResponse[2024 Intercluster reached -August RPM])</f>
        <v>297.71519915450915</v>
      </c>
      <c r="AG386" s="79">
        <v>1</v>
      </c>
      <c r="AH386" s="79"/>
      <c r="AI386" s="79"/>
      <c r="AJ386" s="70" t="str">
        <f>IF(tblTarget[[#This Row],[Target to PiN (%)]]&gt;Targ_vs_PiN,"Flagged","")</f>
        <v/>
      </c>
      <c r="AK386" s="69" t="str">
        <f>IF(AND(tblTarget[[#This Row],[Qualifies for exception]]="Flagged",tblTarget[[#This Row],[Target to PiN (%)]]&gt;Targ_severity5),"Flagged","")</f>
        <v/>
      </c>
      <c r="AL386" s="68" t="str">
        <f>IFERROR(IF(AND(tblTarget[[#This Row],[Intercluser Severity]]=4,tblTarget[[#This Row],[Qualifies for exception]]="Flagged",(tblTarget[[#This Row],[Cluster Target]]-tblTarget[[#This Row],[2024 Response capacity up to December]])/tblTarget[[#This Row],[Cluster Target]]&gt;Diff_severity4),"Flagged",""),"No target")</f>
        <v>Flagged</v>
      </c>
      <c r="AM386" s="68" t="str">
        <f>IFERROR(IF(AND(tblTarget[[#This Row],[Intercluser Severity]]=3,tblTarget[[#This Row],[Qualifies for exception]]="Flagged",(tblTarget[[#This Row],[Cluster Target]]-tblTarget[[#This Row],[2024 Response capacity up to December]])/tblTarget[[#This Row],[Cluster Target]]&gt;Diff_severity3),"Flagged",""),"No target")</f>
        <v/>
      </c>
      <c r="AN386" s="81" t="s">
        <v>1099</v>
      </c>
      <c r="AO386" s="81"/>
      <c r="AP386" s="81" t="s">
        <v>1099</v>
      </c>
      <c r="AQ386" s="81" t="s">
        <v>1107</v>
      </c>
    </row>
    <row r="387" spans="1:43" ht="15.95" hidden="1" customHeight="1" x14ac:dyDescent="0.2">
      <c r="A387" s="62" t="s">
        <v>824</v>
      </c>
      <c r="B387" s="63" t="s">
        <v>26</v>
      </c>
      <c r="C387" s="64" t="s">
        <v>27</v>
      </c>
      <c r="D387" s="63" t="s">
        <v>37</v>
      </c>
      <c r="E387" s="64" t="s">
        <v>38</v>
      </c>
      <c r="F387" s="65">
        <v>1123499</v>
      </c>
      <c r="G387" s="66" t="s">
        <v>437</v>
      </c>
      <c r="H387" s="67">
        <v>102311</v>
      </c>
      <c r="I387" s="68">
        <v>3</v>
      </c>
      <c r="J387" s="68">
        <v>3</v>
      </c>
      <c r="K387" s="91">
        <v>185.04</v>
      </c>
      <c r="L387" s="91">
        <v>87.987507848857746</v>
      </c>
      <c r="M387" s="91">
        <v>97.052492151142246</v>
      </c>
      <c r="N387" s="91">
        <v>92.52</v>
      </c>
      <c r="O387" s="91">
        <v>81.417599999999993</v>
      </c>
      <c r="P387" s="91">
        <v>11.102399999999999</v>
      </c>
      <c r="Q387" s="85">
        <v>27.755999999999997</v>
      </c>
      <c r="R387" s="68" t="s">
        <v>1107</v>
      </c>
      <c r="S387" s="86">
        <v>27</v>
      </c>
      <c r="T387" s="68">
        <v>7</v>
      </c>
      <c r="U387" s="68">
        <v>0</v>
      </c>
      <c r="V387" s="68">
        <v>0</v>
      </c>
      <c r="W387" s="68">
        <v>2</v>
      </c>
      <c r="X387" s="68">
        <v>4</v>
      </c>
      <c r="Y387" s="68">
        <v>13</v>
      </c>
      <c r="Z387" s="68">
        <v>0</v>
      </c>
      <c r="AA387" s="68">
        <v>0</v>
      </c>
      <c r="AB387" s="69">
        <v>0</v>
      </c>
      <c r="AC387" s="69">
        <v>0</v>
      </c>
      <c r="AD387" s="70">
        <f>IFERROR(tblTarget[[#This Row],[Cluster Target]]/tblTarget[[#This Row],[Cluster PiN]],0)</f>
        <v>1.8086031804986755E-3</v>
      </c>
      <c r="AE387" s="79">
        <f>_xlfn.XLOOKUP(tblTarget[[#This Row],[ID]],tblResponse[ID],tblResponse[2024 Projected reached (Dec 2024)])</f>
        <v>0</v>
      </c>
      <c r="AF387" s="79">
        <f>_xlfn.XLOOKUP(tblTarget[[#This Row],[ID]],tblResponse[ID],tblResponse[2024 Intercluster reached -August RPM])</f>
        <v>1267.01634456176</v>
      </c>
      <c r="AG387" s="79">
        <v>5</v>
      </c>
      <c r="AH387" s="79"/>
      <c r="AI387" s="79" t="s">
        <v>1119</v>
      </c>
      <c r="AJ387" s="70" t="str">
        <f>IF(tblTarget[[#This Row],[Target to PiN (%)]]&gt;Targ_vs_PiN,"Flagged","")</f>
        <v/>
      </c>
      <c r="AK387" s="69" t="str">
        <f>IF(AND(tblTarget[[#This Row],[Qualifies for exception]]="Flagged",tblTarget[[#This Row],[Target to PiN (%)]]&gt;Targ_severity5),"Flagged","")</f>
        <v/>
      </c>
      <c r="AL387" s="68" t="str">
        <f>IFERROR(IF(AND(tblTarget[[#This Row],[Intercluser Severity]]=4,tblTarget[[#This Row],[Qualifies for exception]]="Flagged",(tblTarget[[#This Row],[Cluster Target]]-tblTarget[[#This Row],[2024 Response capacity up to December]])/tblTarget[[#This Row],[Cluster Target]]&gt;Diff_severity4),"Flagged",""),"No target")</f>
        <v/>
      </c>
      <c r="AM387" s="68" t="str">
        <f>IFERROR(IF(AND(tblTarget[[#This Row],[Intercluser Severity]]=3,tblTarget[[#This Row],[Qualifies for exception]]="Flagged",(tblTarget[[#This Row],[Cluster Target]]-tblTarget[[#This Row],[2024 Response capacity up to December]])/tblTarget[[#This Row],[Cluster Target]]&gt;Diff_severity3),"Flagged",""),"No target")</f>
        <v>Flagged</v>
      </c>
      <c r="AN387" s="81" t="s">
        <v>1099</v>
      </c>
      <c r="AO387" s="81"/>
      <c r="AP387" s="81" t="s">
        <v>1099</v>
      </c>
      <c r="AQ387" s="81" t="s">
        <v>1107</v>
      </c>
    </row>
    <row r="388" spans="1:43" ht="15.95" customHeight="1" x14ac:dyDescent="0.2">
      <c r="A388" s="62" t="s">
        <v>825</v>
      </c>
      <c r="B388" s="63" t="s">
        <v>26</v>
      </c>
      <c r="C388" s="64" t="s">
        <v>27</v>
      </c>
      <c r="D388" s="63" t="s">
        <v>39</v>
      </c>
      <c r="E388" s="64" t="s">
        <v>40</v>
      </c>
      <c r="F388" s="65">
        <v>326576</v>
      </c>
      <c r="G388" s="66" t="s">
        <v>437</v>
      </c>
      <c r="H388" s="67">
        <v>74349</v>
      </c>
      <c r="I388" s="68">
        <v>4</v>
      </c>
      <c r="J388" s="68">
        <v>4</v>
      </c>
      <c r="K388" s="91">
        <v>316.44</v>
      </c>
      <c r="L388" s="91">
        <v>149.25439834746928</v>
      </c>
      <c r="M388" s="91">
        <v>167.18560165253072</v>
      </c>
      <c r="N388" s="91">
        <v>158.22</v>
      </c>
      <c r="O388" s="91">
        <v>139.2336</v>
      </c>
      <c r="P388" s="91">
        <v>18.9864</v>
      </c>
      <c r="Q388" s="85">
        <v>47.466000000000001</v>
      </c>
      <c r="R388" s="68" t="s">
        <v>15</v>
      </c>
      <c r="S388" s="86">
        <v>46</v>
      </c>
      <c r="T388" s="68">
        <v>11</v>
      </c>
      <c r="U388" s="68">
        <v>0</v>
      </c>
      <c r="V388" s="68">
        <v>0</v>
      </c>
      <c r="W388" s="68">
        <v>3</v>
      </c>
      <c r="X388" s="68">
        <v>6</v>
      </c>
      <c r="Y388" s="68">
        <v>22</v>
      </c>
      <c r="Z388" s="68">
        <v>0</v>
      </c>
      <c r="AA388" s="68">
        <v>0</v>
      </c>
      <c r="AB388" s="69">
        <v>0</v>
      </c>
      <c r="AC388" s="69">
        <v>0</v>
      </c>
      <c r="AD388" s="70">
        <f>IFERROR(tblTarget[[#This Row],[Cluster Target]]/tblTarget[[#This Row],[Cluster PiN]],0)</f>
        <v>4.2561433240527781E-3</v>
      </c>
      <c r="AE388" s="79">
        <f>_xlfn.XLOOKUP(tblTarget[[#This Row],[ID]],tblResponse[ID],tblResponse[2024 Projected reached (Dec 2024)])</f>
        <v>0</v>
      </c>
      <c r="AF388" s="79">
        <f>_xlfn.XLOOKUP(tblTarget[[#This Row],[ID]],tblResponse[ID],tblResponse[2024 Intercluster reached -August RPM])</f>
        <v>1157.665551912309</v>
      </c>
      <c r="AG388" s="79">
        <v>6</v>
      </c>
      <c r="AH388" s="79"/>
      <c r="AI388" s="79"/>
      <c r="AJ388" s="70" t="str">
        <f>IF(tblTarget[[#This Row],[Target to PiN (%)]]&gt;Targ_vs_PiN,"Flagged","")</f>
        <v/>
      </c>
      <c r="AK388" s="69" t="str">
        <f>IF(AND(tblTarget[[#This Row],[Qualifies for exception]]="Flagged",tblTarget[[#This Row],[Target to PiN (%)]]&gt;Targ_severity5),"Flagged","")</f>
        <v/>
      </c>
      <c r="AL388" s="68" t="str">
        <f>IFERROR(IF(AND(tblTarget[[#This Row],[Intercluser Severity]]=4,tblTarget[[#This Row],[Qualifies for exception]]="Flagged",(tblTarget[[#This Row],[Cluster Target]]-tblTarget[[#This Row],[2024 Response capacity up to December]])/tblTarget[[#This Row],[Cluster Target]]&gt;Diff_severity4),"Flagged",""),"No target")</f>
        <v/>
      </c>
      <c r="AM388" s="68" t="str">
        <f>IFERROR(IF(AND(tblTarget[[#This Row],[Intercluser Severity]]=3,tblTarget[[#This Row],[Qualifies for exception]]="Flagged",(tblTarget[[#This Row],[Cluster Target]]-tblTarget[[#This Row],[2024 Response capacity up to December]])/tblTarget[[#This Row],[Cluster Target]]&gt;Diff_severity3),"Flagged",""),"No target")</f>
        <v/>
      </c>
      <c r="AN388" s="81" t="s">
        <v>1099</v>
      </c>
      <c r="AO388" s="81"/>
      <c r="AP388" s="81" t="s">
        <v>15</v>
      </c>
      <c r="AQ388" s="81" t="s">
        <v>1098</v>
      </c>
    </row>
    <row r="389" spans="1:43" ht="15.95" customHeight="1" x14ac:dyDescent="0.2">
      <c r="A389" s="62" t="s">
        <v>826</v>
      </c>
      <c r="B389" s="63" t="s">
        <v>26</v>
      </c>
      <c r="C389" s="64" t="s">
        <v>27</v>
      </c>
      <c r="D389" s="63" t="s">
        <v>26</v>
      </c>
      <c r="E389" s="64" t="s">
        <v>41</v>
      </c>
      <c r="F389" s="65">
        <v>79748</v>
      </c>
      <c r="G389" s="66" t="s">
        <v>437</v>
      </c>
      <c r="H389" s="67">
        <v>18156</v>
      </c>
      <c r="I389" s="68">
        <v>4</v>
      </c>
      <c r="J389" s="68">
        <v>4</v>
      </c>
      <c r="K389" s="91">
        <v>111.6</v>
      </c>
      <c r="L389" s="91">
        <v>52.258577072904423</v>
      </c>
      <c r="M389" s="91">
        <v>59.341422927095579</v>
      </c>
      <c r="N389" s="91">
        <v>55.8</v>
      </c>
      <c r="O389" s="91">
        <v>49.103999999999999</v>
      </c>
      <c r="P389" s="91">
        <v>6.6959999999999997</v>
      </c>
      <c r="Q389" s="85">
        <v>16.739999999999998</v>
      </c>
      <c r="R389" s="68" t="s">
        <v>15</v>
      </c>
      <c r="S389" s="86">
        <v>16</v>
      </c>
      <c r="T389" s="68">
        <v>4</v>
      </c>
      <c r="U389" s="68">
        <v>0</v>
      </c>
      <c r="V389" s="68">
        <v>0</v>
      </c>
      <c r="W389" s="68">
        <v>1</v>
      </c>
      <c r="X389" s="68">
        <v>2</v>
      </c>
      <c r="Y389" s="68">
        <v>8</v>
      </c>
      <c r="Z389" s="68">
        <v>0</v>
      </c>
      <c r="AA389" s="68">
        <v>0</v>
      </c>
      <c r="AB389" s="69">
        <v>0</v>
      </c>
      <c r="AC389" s="69">
        <v>0</v>
      </c>
      <c r="AD389" s="70">
        <f>IFERROR(tblTarget[[#This Row],[Cluster Target]]/tblTarget[[#This Row],[Cluster PiN]],0)</f>
        <v>6.1467283542630535E-3</v>
      </c>
      <c r="AE389" s="79">
        <f>_xlfn.XLOOKUP(tblTarget[[#This Row],[ID]],tblResponse[ID],tblResponse[2024 Projected reached (Dec 2024)])</f>
        <v>0</v>
      </c>
      <c r="AF389" s="79">
        <f>_xlfn.XLOOKUP(tblTarget[[#This Row],[ID]],tblResponse[ID],tblResponse[2024 Intercluster reached -August RPM])</f>
        <v>1486.2091599392675</v>
      </c>
      <c r="AG389" s="79">
        <v>1</v>
      </c>
      <c r="AH389" s="79"/>
      <c r="AI389" s="79"/>
      <c r="AJ389" s="70" t="str">
        <f>IF(tblTarget[[#This Row],[Target to PiN (%)]]&gt;Targ_vs_PiN,"Flagged","")</f>
        <v/>
      </c>
      <c r="AK389" s="69" t="str">
        <f>IF(AND(tblTarget[[#This Row],[Qualifies for exception]]="Flagged",tblTarget[[#This Row],[Target to PiN (%)]]&gt;Targ_severity5),"Flagged","")</f>
        <v/>
      </c>
      <c r="AL389" s="68" t="str">
        <f>IFERROR(IF(AND(tblTarget[[#This Row],[Intercluser Severity]]=4,tblTarget[[#This Row],[Qualifies for exception]]="Flagged",(tblTarget[[#This Row],[Cluster Target]]-tblTarget[[#This Row],[2024 Response capacity up to December]])/tblTarget[[#This Row],[Cluster Target]]&gt;Diff_severity4),"Flagged",""),"No target")</f>
        <v/>
      </c>
      <c r="AM389" s="68" t="str">
        <f>IFERROR(IF(AND(tblTarget[[#This Row],[Intercluser Severity]]=3,tblTarget[[#This Row],[Qualifies for exception]]="Flagged",(tblTarget[[#This Row],[Cluster Target]]-tblTarget[[#This Row],[2024 Response capacity up to December]])/tblTarget[[#This Row],[Cluster Target]]&gt;Diff_severity3),"Flagged",""),"No target")</f>
        <v/>
      </c>
      <c r="AN389" s="81" t="s">
        <v>15</v>
      </c>
      <c r="AO389" s="81"/>
      <c r="AP389" s="81" t="s">
        <v>15</v>
      </c>
      <c r="AQ389" s="81" t="s">
        <v>1098</v>
      </c>
    </row>
    <row r="390" spans="1:43" ht="15.95" hidden="1" customHeight="1" x14ac:dyDescent="0.2">
      <c r="A390" s="62" t="s">
        <v>827</v>
      </c>
      <c r="B390" s="63" t="s">
        <v>42</v>
      </c>
      <c r="C390" s="64" t="s">
        <v>43</v>
      </c>
      <c r="D390" s="63" t="s">
        <v>44</v>
      </c>
      <c r="E390" s="64" t="s">
        <v>45</v>
      </c>
      <c r="F390" s="65">
        <v>0</v>
      </c>
      <c r="G390" s="66" t="s">
        <v>437</v>
      </c>
      <c r="H390" s="67">
        <v>0</v>
      </c>
      <c r="I390" s="68">
        <v>3</v>
      </c>
      <c r="J390" s="68">
        <v>4</v>
      </c>
      <c r="K390" s="91">
        <v>0</v>
      </c>
      <c r="L390" s="91">
        <v>0</v>
      </c>
      <c r="M390" s="91">
        <v>0</v>
      </c>
      <c r="N390" s="91">
        <v>0</v>
      </c>
      <c r="O390" s="91">
        <v>0</v>
      </c>
      <c r="P390" s="91">
        <v>0</v>
      </c>
      <c r="Q390" s="85">
        <v>0</v>
      </c>
      <c r="R390" s="68" t="s">
        <v>1107</v>
      </c>
      <c r="S390" s="86">
        <v>0</v>
      </c>
      <c r="T390" s="68">
        <v>0</v>
      </c>
      <c r="U390" s="68">
        <v>0</v>
      </c>
      <c r="V390" s="68">
        <v>0</v>
      </c>
      <c r="W390" s="68">
        <v>0</v>
      </c>
      <c r="X390" s="68">
        <v>0</v>
      </c>
      <c r="Y390" s="68">
        <v>0</v>
      </c>
      <c r="Z390" s="68">
        <v>0</v>
      </c>
      <c r="AA390" s="68">
        <v>0</v>
      </c>
      <c r="AB390" s="69">
        <v>0</v>
      </c>
      <c r="AC390" s="69">
        <v>0</v>
      </c>
      <c r="AD390" s="70">
        <f>IFERROR(tblTarget[[#This Row],[Cluster Target]]/tblTarget[[#This Row],[Cluster PiN]],0)</f>
        <v>0</v>
      </c>
      <c r="AE390" s="79">
        <f>_xlfn.XLOOKUP(tblTarget[[#This Row],[ID]],tblResponse[ID],tblResponse[2024 Projected reached (Dec 2024)])</f>
        <v>0</v>
      </c>
      <c r="AF390" s="79">
        <f>_xlfn.XLOOKUP(tblTarget[[#This Row],[ID]],tblResponse[ID],tblResponse[2024 Intercluster reached -August RPM])</f>
        <v>66.241631811878293</v>
      </c>
      <c r="AG390" s="79">
        <v>1</v>
      </c>
      <c r="AH390" s="79"/>
      <c r="AI390" s="79"/>
      <c r="AJ390" s="70" t="str">
        <f>IF(tblTarget[[#This Row],[Target to PiN (%)]]&gt;Targ_vs_PiN,"Flagged","")</f>
        <v/>
      </c>
      <c r="AK390" s="69" t="str">
        <f>IF(AND(tblTarget[[#This Row],[Qualifies for exception]]="Flagged",tblTarget[[#This Row],[Target to PiN (%)]]&gt;Targ_severity5),"Flagged","")</f>
        <v/>
      </c>
      <c r="AL390" s="68" t="str">
        <f>IFERROR(IF(AND(tblTarget[[#This Row],[Intercluser Severity]]=4,tblTarget[[#This Row],[Qualifies for exception]]="Flagged",(tblTarget[[#This Row],[Cluster Target]]-tblTarget[[#This Row],[2024 Response capacity up to December]])/tblTarget[[#This Row],[Cluster Target]]&gt;Diff_severity4),"Flagged",""),"No target")</f>
        <v>No target</v>
      </c>
      <c r="AM390" s="68" t="str">
        <f>IFERROR(IF(AND(tblTarget[[#This Row],[Intercluser Severity]]=3,tblTarget[[#This Row],[Qualifies for exception]]="Flagged",(tblTarget[[#This Row],[Cluster Target]]-tblTarget[[#This Row],[2024 Response capacity up to December]])/tblTarget[[#This Row],[Cluster Target]]&gt;Diff_severity3),"Flagged",""),"No target")</f>
        <v>No target</v>
      </c>
      <c r="AN390" s="81" t="s">
        <v>1099</v>
      </c>
      <c r="AO390" s="81"/>
      <c r="AP390" s="81" t="s">
        <v>1099</v>
      </c>
      <c r="AQ390" s="81" t="s">
        <v>1107</v>
      </c>
    </row>
    <row r="391" spans="1:43" ht="15.95" customHeight="1" x14ac:dyDescent="0.2">
      <c r="A391" s="62" t="s">
        <v>828</v>
      </c>
      <c r="B391" s="63" t="s">
        <v>42</v>
      </c>
      <c r="C391" s="64" t="s">
        <v>43</v>
      </c>
      <c r="D391" s="63" t="s">
        <v>46</v>
      </c>
      <c r="E391" s="64" t="s">
        <v>47</v>
      </c>
      <c r="F391" s="65">
        <v>35415</v>
      </c>
      <c r="G391" s="66" t="s">
        <v>437</v>
      </c>
      <c r="H391" s="67">
        <v>4979</v>
      </c>
      <c r="I391" s="68">
        <v>4</v>
      </c>
      <c r="J391" s="68">
        <v>5</v>
      </c>
      <c r="K391" s="91">
        <v>1991.5</v>
      </c>
      <c r="L391" s="91">
        <v>1004.1521460742891</v>
      </c>
      <c r="M391" s="91">
        <v>987.34785392571087</v>
      </c>
      <c r="N391" s="91">
        <v>995.75</v>
      </c>
      <c r="O391" s="91">
        <v>876.26</v>
      </c>
      <c r="P391" s="91">
        <v>119.49</v>
      </c>
      <c r="Q391" s="85">
        <v>298.72499999999997</v>
      </c>
      <c r="R391" s="68" t="s">
        <v>15</v>
      </c>
      <c r="S391" s="86">
        <v>287</v>
      </c>
      <c r="T391" s="68">
        <v>72</v>
      </c>
      <c r="U391" s="68">
        <v>0</v>
      </c>
      <c r="V391" s="68">
        <v>0</v>
      </c>
      <c r="W391" s="68">
        <v>20</v>
      </c>
      <c r="X391" s="68">
        <v>40</v>
      </c>
      <c r="Y391" s="68">
        <v>139</v>
      </c>
      <c r="Z391" s="68">
        <v>0</v>
      </c>
      <c r="AA391" s="68">
        <v>0</v>
      </c>
      <c r="AB391" s="69">
        <v>0</v>
      </c>
      <c r="AC391" s="69">
        <v>0</v>
      </c>
      <c r="AD391" s="70">
        <f>IFERROR(tblTarget[[#This Row],[Cluster Target]]/tblTarget[[#This Row],[Cluster PiN]],0)</f>
        <v>0.399979915645712</v>
      </c>
      <c r="AE391" s="79">
        <f>_xlfn.XLOOKUP(tblTarget[[#This Row],[ID]],tblResponse[ID],tblResponse[2024 Projected reached (Dec 2024)])</f>
        <v>0</v>
      </c>
      <c r="AF391" s="79">
        <f>_xlfn.XLOOKUP(tblTarget[[#This Row],[ID]],tblResponse[ID],tblResponse[2024 Intercluster reached -August RPM])</f>
        <v>2349.6874378070479</v>
      </c>
      <c r="AG391" s="79">
        <v>5</v>
      </c>
      <c r="AH391" s="79"/>
      <c r="AI391" s="79"/>
      <c r="AJ391" s="70" t="str">
        <f>IF(tblTarget[[#This Row],[Target to PiN (%)]]&gt;Targ_vs_PiN,"Flagged","")</f>
        <v/>
      </c>
      <c r="AK391" s="69" t="str">
        <f>IF(AND(tblTarget[[#This Row],[Qualifies for exception]]="Flagged",tblTarget[[#This Row],[Target to PiN (%)]]&gt;Targ_severity5),"Flagged","")</f>
        <v/>
      </c>
      <c r="AL391" s="68" t="str">
        <f>IFERROR(IF(AND(tblTarget[[#This Row],[Intercluser Severity]]=4,tblTarget[[#This Row],[Qualifies for exception]]="Flagged",(tblTarget[[#This Row],[Cluster Target]]-tblTarget[[#This Row],[2024 Response capacity up to December]])/tblTarget[[#This Row],[Cluster Target]]&gt;Diff_severity4),"Flagged",""),"No target")</f>
        <v/>
      </c>
      <c r="AM391" s="68" t="str">
        <f>IFERROR(IF(AND(tblTarget[[#This Row],[Intercluser Severity]]=3,tblTarget[[#This Row],[Qualifies for exception]]="Flagged",(tblTarget[[#This Row],[Cluster Target]]-tblTarget[[#This Row],[2024 Response capacity up to December]])/tblTarget[[#This Row],[Cluster Target]]&gt;Diff_severity3),"Flagged",""),"No target")</f>
        <v/>
      </c>
      <c r="AN391" s="81" t="s">
        <v>15</v>
      </c>
      <c r="AO391" s="81"/>
      <c r="AP391" s="81" t="s">
        <v>1099</v>
      </c>
      <c r="AQ391" s="81" t="s">
        <v>1098</v>
      </c>
    </row>
    <row r="392" spans="1:43" ht="15.95" customHeight="1" x14ac:dyDescent="0.2">
      <c r="A392" s="62" t="s">
        <v>829</v>
      </c>
      <c r="B392" s="63" t="s">
        <v>42</v>
      </c>
      <c r="C392" s="64" t="s">
        <v>43</v>
      </c>
      <c r="D392" s="63" t="s">
        <v>48</v>
      </c>
      <c r="E392" s="64" t="s">
        <v>49</v>
      </c>
      <c r="F392" s="65">
        <v>23429</v>
      </c>
      <c r="G392" s="66" t="s">
        <v>437</v>
      </c>
      <c r="H392" s="67">
        <v>164</v>
      </c>
      <c r="I392" s="68">
        <v>3</v>
      </c>
      <c r="J392" s="68">
        <v>4</v>
      </c>
      <c r="K392" s="91">
        <v>16.5</v>
      </c>
      <c r="L392" s="91">
        <v>8.1967301638364845</v>
      </c>
      <c r="M392" s="91">
        <v>8.3032698361635155</v>
      </c>
      <c r="N392" s="91">
        <v>8.25</v>
      </c>
      <c r="O392" s="91">
        <v>7.26</v>
      </c>
      <c r="P392" s="91">
        <v>0.99</v>
      </c>
      <c r="Q392" s="85">
        <v>2.4750000000000001</v>
      </c>
      <c r="R392" s="68" t="s">
        <v>15</v>
      </c>
      <c r="S392" s="86">
        <v>2</v>
      </c>
      <c r="T392" s="68">
        <v>1</v>
      </c>
      <c r="U392" s="68">
        <v>0</v>
      </c>
      <c r="V392" s="68">
        <v>0</v>
      </c>
      <c r="W392" s="68">
        <v>0</v>
      </c>
      <c r="X392" s="68">
        <v>0</v>
      </c>
      <c r="Y392" s="68">
        <v>1</v>
      </c>
      <c r="Z392" s="68">
        <v>0</v>
      </c>
      <c r="AA392" s="68">
        <v>0</v>
      </c>
      <c r="AB392" s="69">
        <v>0</v>
      </c>
      <c r="AC392" s="69">
        <v>0</v>
      </c>
      <c r="AD392" s="70">
        <f>IFERROR(tblTarget[[#This Row],[Cluster Target]]/tblTarget[[#This Row],[Cluster PiN]],0)</f>
        <v>0.10060975609756098</v>
      </c>
      <c r="AE392" s="79">
        <f>_xlfn.XLOOKUP(tblTarget[[#This Row],[ID]],tblResponse[ID],tblResponse[2024 Projected reached (Dec 2024)])</f>
        <v>0</v>
      </c>
      <c r="AF392" s="79">
        <f>_xlfn.XLOOKUP(tblTarget[[#This Row],[ID]],tblResponse[ID],tblResponse[2024 Intercluster reached -August RPM])</f>
        <v>28.565773358875155</v>
      </c>
      <c r="AG392" s="79">
        <v>1</v>
      </c>
      <c r="AH392" s="79"/>
      <c r="AI392" s="79"/>
      <c r="AJ392" s="70" t="str">
        <f>IF(tblTarget[[#This Row],[Target to PiN (%)]]&gt;Targ_vs_PiN,"Flagged","")</f>
        <v/>
      </c>
      <c r="AK392" s="69" t="str">
        <f>IF(AND(tblTarget[[#This Row],[Qualifies for exception]]="Flagged",tblTarget[[#This Row],[Target to PiN (%)]]&gt;Targ_severity5),"Flagged","")</f>
        <v/>
      </c>
      <c r="AL392" s="68" t="str">
        <f>IFERROR(IF(AND(tblTarget[[#This Row],[Intercluser Severity]]=4,tblTarget[[#This Row],[Qualifies for exception]]="Flagged",(tblTarget[[#This Row],[Cluster Target]]-tblTarget[[#This Row],[2024 Response capacity up to December]])/tblTarget[[#This Row],[Cluster Target]]&gt;Diff_severity4),"Flagged",""),"No target")</f>
        <v/>
      </c>
      <c r="AM392" s="68" t="str">
        <f>IFERROR(IF(AND(tblTarget[[#This Row],[Intercluser Severity]]=3,tblTarget[[#This Row],[Qualifies for exception]]="Flagged",(tblTarget[[#This Row],[Cluster Target]]-tblTarget[[#This Row],[2024 Response capacity up to December]])/tblTarget[[#This Row],[Cluster Target]]&gt;Diff_severity3),"Flagged",""),"No target")</f>
        <v/>
      </c>
      <c r="AN392" s="81" t="s">
        <v>1099</v>
      </c>
      <c r="AO392" s="81"/>
      <c r="AP392" s="81" t="s">
        <v>15</v>
      </c>
      <c r="AQ392" s="81" t="s">
        <v>1098</v>
      </c>
    </row>
    <row r="393" spans="1:43" ht="15.95" hidden="1" customHeight="1" x14ac:dyDescent="0.2">
      <c r="A393" s="62" t="s">
        <v>830</v>
      </c>
      <c r="B393" s="63" t="s">
        <v>42</v>
      </c>
      <c r="C393" s="64" t="s">
        <v>43</v>
      </c>
      <c r="D393" s="63" t="s">
        <v>50</v>
      </c>
      <c r="E393" s="64" t="s">
        <v>51</v>
      </c>
      <c r="F393" s="65">
        <v>121250</v>
      </c>
      <c r="G393" s="66" t="s">
        <v>437</v>
      </c>
      <c r="H393" s="67">
        <v>0</v>
      </c>
      <c r="I393" s="68">
        <v>3</v>
      </c>
      <c r="J393" s="68">
        <v>4</v>
      </c>
      <c r="K393" s="91">
        <v>0</v>
      </c>
      <c r="L393" s="91">
        <v>0</v>
      </c>
      <c r="M393" s="91">
        <v>0</v>
      </c>
      <c r="N393" s="91">
        <v>0</v>
      </c>
      <c r="O393" s="91">
        <v>0</v>
      </c>
      <c r="P393" s="91">
        <v>0</v>
      </c>
      <c r="Q393" s="85">
        <v>0</v>
      </c>
      <c r="R393" s="68" t="s">
        <v>1107</v>
      </c>
      <c r="S393" s="86">
        <v>0</v>
      </c>
      <c r="T393" s="68">
        <v>0</v>
      </c>
      <c r="U393" s="68">
        <v>0</v>
      </c>
      <c r="V393" s="68">
        <v>0</v>
      </c>
      <c r="W393" s="68">
        <v>0</v>
      </c>
      <c r="X393" s="68">
        <v>0</v>
      </c>
      <c r="Y393" s="68">
        <v>0</v>
      </c>
      <c r="Z393" s="68">
        <v>0</v>
      </c>
      <c r="AA393" s="68">
        <v>0</v>
      </c>
      <c r="AB393" s="69">
        <v>0</v>
      </c>
      <c r="AC393" s="69">
        <v>0</v>
      </c>
      <c r="AD393" s="70">
        <f>IFERROR(tblTarget[[#This Row],[Cluster Target]]/tblTarget[[#This Row],[Cluster PiN]],0)</f>
        <v>0</v>
      </c>
      <c r="AE393" s="79">
        <f>_xlfn.XLOOKUP(tblTarget[[#This Row],[ID]],tblResponse[ID],tblResponse[2024 Projected reached (Dec 2024)])</f>
        <v>0</v>
      </c>
      <c r="AF393" s="79">
        <f>_xlfn.XLOOKUP(tblTarget[[#This Row],[ID]],tblResponse[ID],tblResponse[2024 Intercluster reached -August RPM])</f>
        <v>302.37444202127722</v>
      </c>
      <c r="AG393" s="79">
        <v>2</v>
      </c>
      <c r="AH393" s="79"/>
      <c r="AI393" s="79"/>
      <c r="AJ393" s="70" t="str">
        <f>IF(tblTarget[[#This Row],[Target to PiN (%)]]&gt;Targ_vs_PiN,"Flagged","")</f>
        <v/>
      </c>
      <c r="AK393" s="69" t="str">
        <f>IF(AND(tblTarget[[#This Row],[Qualifies for exception]]="Flagged",tblTarget[[#This Row],[Target to PiN (%)]]&gt;Targ_severity5),"Flagged","")</f>
        <v/>
      </c>
      <c r="AL393" s="68" t="str">
        <f>IFERROR(IF(AND(tblTarget[[#This Row],[Intercluser Severity]]=4,tblTarget[[#This Row],[Qualifies for exception]]="Flagged",(tblTarget[[#This Row],[Cluster Target]]-tblTarget[[#This Row],[2024 Response capacity up to December]])/tblTarget[[#This Row],[Cluster Target]]&gt;Diff_severity4),"Flagged",""),"No target")</f>
        <v>No target</v>
      </c>
      <c r="AM393" s="68" t="str">
        <f>IFERROR(IF(AND(tblTarget[[#This Row],[Intercluser Severity]]=3,tblTarget[[#This Row],[Qualifies for exception]]="Flagged",(tblTarget[[#This Row],[Cluster Target]]-tblTarget[[#This Row],[2024 Response capacity up to December]])/tblTarget[[#This Row],[Cluster Target]]&gt;Diff_severity3),"Flagged",""),"No target")</f>
        <v>No target</v>
      </c>
      <c r="AN393" s="81" t="s">
        <v>1099</v>
      </c>
      <c r="AO393" s="81"/>
      <c r="AP393" s="81" t="s">
        <v>1099</v>
      </c>
      <c r="AQ393" s="81" t="s">
        <v>1107</v>
      </c>
    </row>
    <row r="394" spans="1:43" ht="15.95" hidden="1" customHeight="1" x14ac:dyDescent="0.2">
      <c r="A394" s="62" t="s">
        <v>831</v>
      </c>
      <c r="B394" s="63" t="s">
        <v>42</v>
      </c>
      <c r="C394" s="64" t="s">
        <v>43</v>
      </c>
      <c r="D394" s="63" t="s">
        <v>52</v>
      </c>
      <c r="E394" s="64" t="s">
        <v>53</v>
      </c>
      <c r="F394" s="65">
        <v>67234</v>
      </c>
      <c r="G394" s="66" t="s">
        <v>437</v>
      </c>
      <c r="H394" s="67">
        <v>0</v>
      </c>
      <c r="I394" s="68">
        <v>3</v>
      </c>
      <c r="J394" s="68">
        <v>4</v>
      </c>
      <c r="K394" s="91">
        <v>0</v>
      </c>
      <c r="L394" s="91">
        <v>0</v>
      </c>
      <c r="M394" s="91">
        <v>0</v>
      </c>
      <c r="N394" s="91">
        <v>0</v>
      </c>
      <c r="O394" s="91">
        <v>0</v>
      </c>
      <c r="P394" s="91">
        <v>0</v>
      </c>
      <c r="Q394" s="85">
        <v>0</v>
      </c>
      <c r="R394" s="68" t="s">
        <v>1107</v>
      </c>
      <c r="S394" s="86">
        <v>0</v>
      </c>
      <c r="T394" s="68">
        <v>0</v>
      </c>
      <c r="U394" s="68">
        <v>0</v>
      </c>
      <c r="V394" s="68">
        <v>0</v>
      </c>
      <c r="W394" s="68">
        <v>0</v>
      </c>
      <c r="X394" s="68">
        <v>0</v>
      </c>
      <c r="Y394" s="68">
        <v>0</v>
      </c>
      <c r="Z394" s="68">
        <v>0</v>
      </c>
      <c r="AA394" s="68">
        <v>0</v>
      </c>
      <c r="AB394" s="69">
        <v>0</v>
      </c>
      <c r="AC394" s="69">
        <v>0</v>
      </c>
      <c r="AD394" s="70">
        <f>IFERROR(tblTarget[[#This Row],[Cluster Target]]/tblTarget[[#This Row],[Cluster PiN]],0)</f>
        <v>0</v>
      </c>
      <c r="AE394" s="79">
        <f>_xlfn.XLOOKUP(tblTarget[[#This Row],[ID]],tblResponse[ID],tblResponse[2024 Projected reached (Dec 2024)])</f>
        <v>0</v>
      </c>
      <c r="AF394" s="79">
        <f>_xlfn.XLOOKUP(tblTarget[[#This Row],[ID]],tblResponse[ID],tblResponse[2024 Intercluster reached -August RPM])</f>
        <v>23.043156414559011</v>
      </c>
      <c r="AG394" s="79">
        <v>1</v>
      </c>
      <c r="AH394" s="79"/>
      <c r="AI394" s="79"/>
      <c r="AJ394" s="70" t="str">
        <f>IF(tblTarget[[#This Row],[Target to PiN (%)]]&gt;Targ_vs_PiN,"Flagged","")</f>
        <v/>
      </c>
      <c r="AK394" s="69" t="str">
        <f>IF(AND(tblTarget[[#This Row],[Qualifies for exception]]="Flagged",tblTarget[[#This Row],[Target to PiN (%)]]&gt;Targ_severity5),"Flagged","")</f>
        <v/>
      </c>
      <c r="AL394" s="68" t="str">
        <f>IFERROR(IF(AND(tblTarget[[#This Row],[Intercluser Severity]]=4,tblTarget[[#This Row],[Qualifies for exception]]="Flagged",(tblTarget[[#This Row],[Cluster Target]]-tblTarget[[#This Row],[2024 Response capacity up to December]])/tblTarget[[#This Row],[Cluster Target]]&gt;Diff_severity4),"Flagged",""),"No target")</f>
        <v>No target</v>
      </c>
      <c r="AM394" s="68" t="str">
        <f>IFERROR(IF(AND(tblTarget[[#This Row],[Intercluser Severity]]=3,tblTarget[[#This Row],[Qualifies for exception]]="Flagged",(tblTarget[[#This Row],[Cluster Target]]-tblTarget[[#This Row],[2024 Response capacity up to December]])/tblTarget[[#This Row],[Cluster Target]]&gt;Diff_severity3),"Flagged",""),"No target")</f>
        <v>No target</v>
      </c>
      <c r="AN394" s="81" t="s">
        <v>1099</v>
      </c>
      <c r="AO394" s="81"/>
      <c r="AP394" s="81" t="s">
        <v>1099</v>
      </c>
      <c r="AQ394" s="81" t="s">
        <v>1107</v>
      </c>
    </row>
    <row r="395" spans="1:43" ht="15.95" customHeight="1" x14ac:dyDescent="0.2">
      <c r="A395" s="62" t="s">
        <v>832</v>
      </c>
      <c r="B395" s="63" t="s">
        <v>42</v>
      </c>
      <c r="C395" s="64" t="s">
        <v>43</v>
      </c>
      <c r="D395" s="63" t="s">
        <v>54</v>
      </c>
      <c r="E395" s="64" t="s">
        <v>55</v>
      </c>
      <c r="F395" s="65">
        <v>145284</v>
      </c>
      <c r="G395" s="66" t="s">
        <v>437</v>
      </c>
      <c r="H395" s="67">
        <v>1025</v>
      </c>
      <c r="I395" s="68">
        <v>3</v>
      </c>
      <c r="J395" s="68">
        <v>3</v>
      </c>
      <c r="K395" s="91">
        <v>0</v>
      </c>
      <c r="L395" s="91">
        <v>0</v>
      </c>
      <c r="M395" s="91">
        <v>0</v>
      </c>
      <c r="N395" s="91">
        <v>0</v>
      </c>
      <c r="O395" s="91">
        <v>0</v>
      </c>
      <c r="P395" s="91">
        <v>0</v>
      </c>
      <c r="Q395" s="85">
        <v>0</v>
      </c>
      <c r="R395" s="68" t="s">
        <v>15</v>
      </c>
      <c r="S395" s="86">
        <v>0</v>
      </c>
      <c r="T395" s="68">
        <v>0</v>
      </c>
      <c r="U395" s="68">
        <v>0</v>
      </c>
      <c r="V395" s="68">
        <v>0</v>
      </c>
      <c r="W395" s="68">
        <v>0</v>
      </c>
      <c r="X395" s="68">
        <v>0</v>
      </c>
      <c r="Y395" s="68">
        <v>0</v>
      </c>
      <c r="Z395" s="68">
        <v>0</v>
      </c>
      <c r="AA395" s="68">
        <v>0</v>
      </c>
      <c r="AB395" s="69">
        <v>0</v>
      </c>
      <c r="AC395" s="69">
        <v>0</v>
      </c>
      <c r="AD395" s="70">
        <f>IFERROR(tblTarget[[#This Row],[Cluster Target]]/tblTarget[[#This Row],[Cluster PiN]],0)</f>
        <v>0</v>
      </c>
      <c r="AE395" s="79">
        <f>_xlfn.XLOOKUP(tblTarget[[#This Row],[ID]],tblResponse[ID],tblResponse[2024 Projected reached (Dec 2024)])</f>
        <v>0</v>
      </c>
      <c r="AF395" s="79">
        <f>_xlfn.XLOOKUP(tblTarget[[#This Row],[ID]],tblResponse[ID],tblResponse[2024 Intercluster reached -August RPM])</f>
        <v>40.504152844970974</v>
      </c>
      <c r="AG395" s="79">
        <v>1</v>
      </c>
      <c r="AH395" s="79"/>
      <c r="AI395" s="79"/>
      <c r="AJ395" s="70" t="str">
        <f>IF(tblTarget[[#This Row],[Target to PiN (%)]]&gt;Targ_vs_PiN,"Flagged","")</f>
        <v/>
      </c>
      <c r="AK395" s="69" t="str">
        <f>IF(AND(tblTarget[[#This Row],[Qualifies for exception]]="Flagged",tblTarget[[#This Row],[Target to PiN (%)]]&gt;Targ_severity5),"Flagged","")</f>
        <v/>
      </c>
      <c r="AL395" s="68" t="str">
        <f>IFERROR(IF(AND(tblTarget[[#This Row],[Intercluser Severity]]=4,tblTarget[[#This Row],[Qualifies for exception]]="Flagged",(tblTarget[[#This Row],[Cluster Target]]-tblTarget[[#This Row],[2024 Response capacity up to December]])/tblTarget[[#This Row],[Cluster Target]]&gt;Diff_severity4),"Flagged",""),"No target")</f>
        <v>No target</v>
      </c>
      <c r="AM395" s="68" t="str">
        <f>IFERROR(IF(AND(tblTarget[[#This Row],[Intercluser Severity]]=3,tblTarget[[#This Row],[Qualifies for exception]]="Flagged",(tblTarget[[#This Row],[Cluster Target]]-tblTarget[[#This Row],[2024 Response capacity up to December]])/tblTarget[[#This Row],[Cluster Target]]&gt;Diff_severity3),"Flagged",""),"No target")</f>
        <v>No target</v>
      </c>
      <c r="AN395" s="81" t="s">
        <v>1099</v>
      </c>
      <c r="AO395" s="81" t="s">
        <v>15</v>
      </c>
      <c r="AP395" s="81" t="s">
        <v>1099</v>
      </c>
      <c r="AQ395" s="81" t="s">
        <v>1098</v>
      </c>
    </row>
    <row r="396" spans="1:43" ht="15.95" hidden="1" customHeight="1" x14ac:dyDescent="0.2">
      <c r="A396" s="62" t="s">
        <v>833</v>
      </c>
      <c r="B396" s="63" t="s">
        <v>42</v>
      </c>
      <c r="C396" s="64" t="s">
        <v>43</v>
      </c>
      <c r="D396" s="63" t="s">
        <v>56</v>
      </c>
      <c r="E396" s="64" t="s">
        <v>57</v>
      </c>
      <c r="F396" s="65">
        <v>161349</v>
      </c>
      <c r="G396" s="66" t="s">
        <v>437</v>
      </c>
      <c r="H396" s="67">
        <v>0</v>
      </c>
      <c r="I396" s="68">
        <v>3</v>
      </c>
      <c r="J396" s="68">
        <v>4</v>
      </c>
      <c r="K396" s="91">
        <v>0</v>
      </c>
      <c r="L396" s="91">
        <v>0</v>
      </c>
      <c r="M396" s="91">
        <v>0</v>
      </c>
      <c r="N396" s="91">
        <v>0</v>
      </c>
      <c r="O396" s="91">
        <v>0</v>
      </c>
      <c r="P396" s="91">
        <v>0</v>
      </c>
      <c r="Q396" s="85">
        <v>0</v>
      </c>
      <c r="R396" s="68" t="s">
        <v>1107</v>
      </c>
      <c r="S396" s="86">
        <v>0</v>
      </c>
      <c r="T396" s="68">
        <v>0</v>
      </c>
      <c r="U396" s="68">
        <v>0</v>
      </c>
      <c r="V396" s="68">
        <v>0</v>
      </c>
      <c r="W396" s="68">
        <v>0</v>
      </c>
      <c r="X396" s="68">
        <v>0</v>
      </c>
      <c r="Y396" s="68">
        <v>0</v>
      </c>
      <c r="Z396" s="68">
        <v>0</v>
      </c>
      <c r="AA396" s="68">
        <v>0</v>
      </c>
      <c r="AB396" s="69">
        <v>0</v>
      </c>
      <c r="AC396" s="69">
        <v>0</v>
      </c>
      <c r="AD396" s="70">
        <f>IFERROR(tblTarget[[#This Row],[Cluster Target]]/tblTarget[[#This Row],[Cluster PiN]],0)</f>
        <v>0</v>
      </c>
      <c r="AE396" s="79">
        <f>_xlfn.XLOOKUP(tblTarget[[#This Row],[ID]],tblResponse[ID],tblResponse[2024 Projected reached (Dec 2024)])</f>
        <v>0</v>
      </c>
      <c r="AF396" s="79">
        <f>_xlfn.XLOOKUP(tblTarget[[#This Row],[ID]],tblResponse[ID],tblResponse[2024 Intercluster reached -August RPM])</f>
        <v>52.100159852039106</v>
      </c>
      <c r="AG396" s="79">
        <v>2</v>
      </c>
      <c r="AH396" s="79"/>
      <c r="AI396" s="79"/>
      <c r="AJ396" s="70" t="str">
        <f>IF(tblTarget[[#This Row],[Target to PiN (%)]]&gt;Targ_vs_PiN,"Flagged","")</f>
        <v/>
      </c>
      <c r="AK396" s="69" t="str">
        <f>IF(AND(tblTarget[[#This Row],[Qualifies for exception]]="Flagged",tblTarget[[#This Row],[Target to PiN (%)]]&gt;Targ_severity5),"Flagged","")</f>
        <v/>
      </c>
      <c r="AL396" s="68" t="str">
        <f>IFERROR(IF(AND(tblTarget[[#This Row],[Intercluser Severity]]=4,tblTarget[[#This Row],[Qualifies for exception]]="Flagged",(tblTarget[[#This Row],[Cluster Target]]-tblTarget[[#This Row],[2024 Response capacity up to December]])/tblTarget[[#This Row],[Cluster Target]]&gt;Diff_severity4),"Flagged",""),"No target")</f>
        <v>No target</v>
      </c>
      <c r="AM396" s="68" t="str">
        <f>IFERROR(IF(AND(tblTarget[[#This Row],[Intercluser Severity]]=3,tblTarget[[#This Row],[Qualifies for exception]]="Flagged",(tblTarget[[#This Row],[Cluster Target]]-tblTarget[[#This Row],[2024 Response capacity up to December]])/tblTarget[[#This Row],[Cluster Target]]&gt;Diff_severity3),"Flagged",""),"No target")</f>
        <v>No target</v>
      </c>
      <c r="AN396" s="81" t="s">
        <v>1099</v>
      </c>
      <c r="AO396" s="81"/>
      <c r="AP396" s="81" t="s">
        <v>1099</v>
      </c>
      <c r="AQ396" s="81" t="s">
        <v>1107</v>
      </c>
    </row>
    <row r="397" spans="1:43" ht="15.95" hidden="1" customHeight="1" x14ac:dyDescent="0.2">
      <c r="A397" s="62" t="s">
        <v>834</v>
      </c>
      <c r="B397" s="63" t="s">
        <v>42</v>
      </c>
      <c r="C397" s="64" t="s">
        <v>43</v>
      </c>
      <c r="D397" s="63" t="s">
        <v>58</v>
      </c>
      <c r="E397" s="64" t="s">
        <v>59</v>
      </c>
      <c r="F397" s="65">
        <v>80175</v>
      </c>
      <c r="G397" s="66" t="s">
        <v>437</v>
      </c>
      <c r="H397" s="67">
        <v>17566</v>
      </c>
      <c r="I397" s="68">
        <v>4</v>
      </c>
      <c r="J397" s="68">
        <v>4</v>
      </c>
      <c r="K397" s="91">
        <v>3513</v>
      </c>
      <c r="L397" s="91">
        <v>1757.7531850704281</v>
      </c>
      <c r="M397" s="91">
        <v>1755.2468149295719</v>
      </c>
      <c r="N397" s="91">
        <v>1756.5</v>
      </c>
      <c r="O397" s="91">
        <v>1545.72</v>
      </c>
      <c r="P397" s="91">
        <v>210.78</v>
      </c>
      <c r="Q397" s="85">
        <v>526.94999999999993</v>
      </c>
      <c r="R397" s="68" t="s">
        <v>1107</v>
      </c>
      <c r="S397" s="86">
        <v>506</v>
      </c>
      <c r="T397" s="68">
        <v>126</v>
      </c>
      <c r="U397" s="68">
        <v>0</v>
      </c>
      <c r="V397" s="68">
        <v>0</v>
      </c>
      <c r="W397" s="68">
        <v>35</v>
      </c>
      <c r="X397" s="68">
        <v>70</v>
      </c>
      <c r="Y397" s="68">
        <v>246</v>
      </c>
      <c r="Z397" s="68">
        <v>0</v>
      </c>
      <c r="AA397" s="68">
        <v>0</v>
      </c>
      <c r="AB397" s="69">
        <v>0</v>
      </c>
      <c r="AC397" s="69">
        <v>0</v>
      </c>
      <c r="AD397" s="70">
        <f>IFERROR(tblTarget[[#This Row],[Cluster Target]]/tblTarget[[#This Row],[Cluster PiN]],0)</f>
        <v>0.19998861436866675</v>
      </c>
      <c r="AE397" s="79">
        <f>_xlfn.XLOOKUP(tblTarget[[#This Row],[ID]],tblResponse[ID],tblResponse[2024 Projected reached (Dec 2024)])</f>
        <v>0</v>
      </c>
      <c r="AF397" s="79">
        <f>_xlfn.XLOOKUP(tblTarget[[#This Row],[ID]],tblResponse[ID],tblResponse[2024 Intercluster reached -August RPM])</f>
        <v>229.22581758901433</v>
      </c>
      <c r="AG397" s="79">
        <v>1</v>
      </c>
      <c r="AH397" s="79"/>
      <c r="AI397" s="79"/>
      <c r="AJ397" s="70" t="str">
        <f>IF(tblTarget[[#This Row],[Target to PiN (%)]]&gt;Targ_vs_PiN,"Flagged","")</f>
        <v/>
      </c>
      <c r="AK397" s="69" t="str">
        <f>IF(AND(tblTarget[[#This Row],[Qualifies for exception]]="Flagged",tblTarget[[#This Row],[Target to PiN (%)]]&gt;Targ_severity5),"Flagged","")</f>
        <v/>
      </c>
      <c r="AL397" s="68" t="str">
        <f>IFERROR(IF(AND(tblTarget[[#This Row],[Intercluser Severity]]=4,tblTarget[[#This Row],[Qualifies for exception]]="Flagged",(tblTarget[[#This Row],[Cluster Target]]-tblTarget[[#This Row],[2024 Response capacity up to December]])/tblTarget[[#This Row],[Cluster Target]]&gt;Diff_severity4),"Flagged",""),"No target")</f>
        <v>Flagged</v>
      </c>
      <c r="AM397" s="68" t="str">
        <f>IFERROR(IF(AND(tblTarget[[#This Row],[Intercluser Severity]]=3,tblTarget[[#This Row],[Qualifies for exception]]="Flagged",(tblTarget[[#This Row],[Cluster Target]]-tblTarget[[#This Row],[2024 Response capacity up to December]])/tblTarget[[#This Row],[Cluster Target]]&gt;Diff_severity3),"Flagged",""),"No target")</f>
        <v/>
      </c>
      <c r="AN397" s="81" t="s">
        <v>1099</v>
      </c>
      <c r="AO397" s="81"/>
      <c r="AP397" s="81" t="s">
        <v>1099</v>
      </c>
      <c r="AQ397" s="81" t="s">
        <v>1107</v>
      </c>
    </row>
    <row r="398" spans="1:43" ht="15.95" hidden="1" customHeight="1" x14ac:dyDescent="0.2">
      <c r="A398" s="62" t="s">
        <v>835</v>
      </c>
      <c r="B398" s="63" t="s">
        <v>42</v>
      </c>
      <c r="C398" s="64" t="s">
        <v>43</v>
      </c>
      <c r="D398" s="63" t="s">
        <v>60</v>
      </c>
      <c r="E398" s="64" t="s">
        <v>61</v>
      </c>
      <c r="F398" s="65">
        <v>9014</v>
      </c>
      <c r="G398" s="66" t="s">
        <v>437</v>
      </c>
      <c r="H398" s="67">
        <v>57</v>
      </c>
      <c r="I398" s="68">
        <v>3</v>
      </c>
      <c r="J398" s="68">
        <v>4</v>
      </c>
      <c r="K398" s="91">
        <v>1.5</v>
      </c>
      <c r="L398" s="91">
        <v>0.76657365127684773</v>
      </c>
      <c r="M398" s="91">
        <v>0.73342634872315238</v>
      </c>
      <c r="N398" s="91">
        <v>0.75</v>
      </c>
      <c r="O398" s="91">
        <v>0.66</v>
      </c>
      <c r="P398" s="91">
        <v>0.09</v>
      </c>
      <c r="Q398" s="85">
        <v>0.22499999999999998</v>
      </c>
      <c r="R398" s="68" t="s">
        <v>1107</v>
      </c>
      <c r="S398" s="86">
        <v>0</v>
      </c>
      <c r="T398" s="68">
        <v>0</v>
      </c>
      <c r="U398" s="68">
        <v>0</v>
      </c>
      <c r="V398" s="68">
        <v>0</v>
      </c>
      <c r="W398" s="68">
        <v>0</v>
      </c>
      <c r="X398" s="68">
        <v>0</v>
      </c>
      <c r="Y398" s="68">
        <v>0</v>
      </c>
      <c r="Z398" s="68">
        <v>0</v>
      </c>
      <c r="AA398" s="68">
        <v>0</v>
      </c>
      <c r="AB398" s="69">
        <v>0</v>
      </c>
      <c r="AC398" s="69">
        <v>0</v>
      </c>
      <c r="AD398" s="70">
        <f>IFERROR(tblTarget[[#This Row],[Cluster Target]]/tblTarget[[#This Row],[Cluster PiN]],0)</f>
        <v>2.6315789473684209E-2</v>
      </c>
      <c r="AE398" s="79">
        <f>_xlfn.XLOOKUP(tblTarget[[#This Row],[ID]],tblResponse[ID],tblResponse[2024 Projected reached (Dec 2024)])</f>
        <v>0</v>
      </c>
      <c r="AF398" s="79">
        <f>_xlfn.XLOOKUP(tblTarget[[#This Row],[ID]],tblResponse[ID],tblResponse[2024 Intercluster reached -August RPM])</f>
        <v>56.536116319441291</v>
      </c>
      <c r="AG398" s="79">
        <v>1</v>
      </c>
      <c r="AH398" s="79"/>
      <c r="AI398" s="79"/>
      <c r="AJ398" s="70" t="str">
        <f>IF(tblTarget[[#This Row],[Target to PiN (%)]]&gt;Targ_vs_PiN,"Flagged","")</f>
        <v/>
      </c>
      <c r="AK398" s="69" t="str">
        <f>IF(AND(tblTarget[[#This Row],[Qualifies for exception]]="Flagged",tblTarget[[#This Row],[Target to PiN (%)]]&gt;Targ_severity5),"Flagged","")</f>
        <v/>
      </c>
      <c r="AL398" s="68" t="str">
        <f>IFERROR(IF(AND(tblTarget[[#This Row],[Intercluser Severity]]=4,tblTarget[[#This Row],[Qualifies for exception]]="Flagged",(tblTarget[[#This Row],[Cluster Target]]-tblTarget[[#This Row],[2024 Response capacity up to December]])/tblTarget[[#This Row],[Cluster Target]]&gt;Diff_severity4),"Flagged",""),"No target")</f>
        <v>Flagged</v>
      </c>
      <c r="AM398" s="68" t="str">
        <f>IFERROR(IF(AND(tblTarget[[#This Row],[Intercluser Severity]]=3,tblTarget[[#This Row],[Qualifies for exception]]="Flagged",(tblTarget[[#This Row],[Cluster Target]]-tblTarget[[#This Row],[2024 Response capacity up to December]])/tblTarget[[#This Row],[Cluster Target]]&gt;Diff_severity3),"Flagged",""),"No target")</f>
        <v/>
      </c>
      <c r="AN398" s="81" t="s">
        <v>1099</v>
      </c>
      <c r="AO398" s="81"/>
      <c r="AP398" s="81" t="s">
        <v>1099</v>
      </c>
      <c r="AQ398" s="81" t="s">
        <v>1107</v>
      </c>
    </row>
    <row r="399" spans="1:43" ht="15.95" customHeight="1" x14ac:dyDescent="0.2">
      <c r="A399" s="62" t="s">
        <v>836</v>
      </c>
      <c r="B399" s="63" t="s">
        <v>42</v>
      </c>
      <c r="C399" s="64" t="s">
        <v>43</v>
      </c>
      <c r="D399" s="63" t="s">
        <v>62</v>
      </c>
      <c r="E399" s="64" t="s">
        <v>63</v>
      </c>
      <c r="F399" s="65">
        <v>0</v>
      </c>
      <c r="G399" s="66" t="s">
        <v>437</v>
      </c>
      <c r="H399" s="67">
        <v>0</v>
      </c>
      <c r="I399" s="68">
        <v>3</v>
      </c>
      <c r="J399" s="68">
        <v>4</v>
      </c>
      <c r="K399" s="91">
        <v>0</v>
      </c>
      <c r="L399" s="91">
        <v>0</v>
      </c>
      <c r="M399" s="91">
        <v>0</v>
      </c>
      <c r="N399" s="91">
        <v>0</v>
      </c>
      <c r="O399" s="91">
        <v>0</v>
      </c>
      <c r="P399" s="91">
        <v>0</v>
      </c>
      <c r="Q399" s="85">
        <v>0</v>
      </c>
      <c r="R399" s="68" t="s">
        <v>15</v>
      </c>
      <c r="S399" s="86">
        <v>0</v>
      </c>
      <c r="T399" s="68">
        <v>0</v>
      </c>
      <c r="U399" s="68">
        <v>0</v>
      </c>
      <c r="V399" s="68">
        <v>0</v>
      </c>
      <c r="W399" s="68">
        <v>0</v>
      </c>
      <c r="X399" s="68">
        <v>0</v>
      </c>
      <c r="Y399" s="68">
        <v>0</v>
      </c>
      <c r="Z399" s="68">
        <v>0</v>
      </c>
      <c r="AA399" s="68">
        <v>0</v>
      </c>
      <c r="AB399" s="69">
        <v>0</v>
      </c>
      <c r="AC399" s="69">
        <v>0</v>
      </c>
      <c r="AD399" s="70">
        <f>IFERROR(tblTarget[[#This Row],[Cluster Target]]/tblTarget[[#This Row],[Cluster PiN]],0)</f>
        <v>0</v>
      </c>
      <c r="AE399" s="79">
        <f>_xlfn.XLOOKUP(tblTarget[[#This Row],[ID]],tblResponse[ID],tblResponse[2024 Projected reached (Dec 2024)])</f>
        <v>0</v>
      </c>
      <c r="AF399" s="79">
        <f>_xlfn.XLOOKUP(tblTarget[[#This Row],[ID]],tblResponse[ID],tblResponse[2024 Intercluster reached -August RPM])</f>
        <v>267.30359156087604</v>
      </c>
      <c r="AG399" s="79">
        <v>1</v>
      </c>
      <c r="AH399" s="79"/>
      <c r="AI399" s="79"/>
      <c r="AJ399" s="70" t="str">
        <f>IF(tblTarget[[#This Row],[Target to PiN (%)]]&gt;Targ_vs_PiN,"Flagged","")</f>
        <v/>
      </c>
      <c r="AK399" s="69" t="str">
        <f>IF(AND(tblTarget[[#This Row],[Qualifies for exception]]="Flagged",tblTarget[[#This Row],[Target to PiN (%)]]&gt;Targ_severity5),"Flagged","")</f>
        <v/>
      </c>
      <c r="AL399" s="68" t="str">
        <f>IFERROR(IF(AND(tblTarget[[#This Row],[Intercluser Severity]]=4,tblTarget[[#This Row],[Qualifies for exception]]="Flagged",(tblTarget[[#This Row],[Cluster Target]]-tblTarget[[#This Row],[2024 Response capacity up to December]])/tblTarget[[#This Row],[Cluster Target]]&gt;Diff_severity4),"Flagged",""),"No target")</f>
        <v>No target</v>
      </c>
      <c r="AM399" s="68" t="str">
        <f>IFERROR(IF(AND(tblTarget[[#This Row],[Intercluser Severity]]=3,tblTarget[[#This Row],[Qualifies for exception]]="Flagged",(tblTarget[[#This Row],[Cluster Target]]-tblTarget[[#This Row],[2024 Response capacity up to December]])/tblTarget[[#This Row],[Cluster Target]]&gt;Diff_severity3),"Flagged",""),"No target")</f>
        <v>No target</v>
      </c>
      <c r="AN399" s="81" t="s">
        <v>1099</v>
      </c>
      <c r="AO399" s="81"/>
      <c r="AP399" s="81" t="s">
        <v>15</v>
      </c>
      <c r="AQ399" s="81" t="s">
        <v>1098</v>
      </c>
    </row>
    <row r="400" spans="1:43" ht="15.95" hidden="1" customHeight="1" x14ac:dyDescent="0.2">
      <c r="A400" s="62" t="s">
        <v>837</v>
      </c>
      <c r="B400" s="63" t="s">
        <v>42</v>
      </c>
      <c r="C400" s="64" t="s">
        <v>43</v>
      </c>
      <c r="D400" s="63" t="s">
        <v>64</v>
      </c>
      <c r="E400" s="64" t="s">
        <v>65</v>
      </c>
      <c r="F400" s="65">
        <v>145076</v>
      </c>
      <c r="G400" s="66" t="s">
        <v>437</v>
      </c>
      <c r="H400" s="67">
        <v>10076</v>
      </c>
      <c r="I400" s="68">
        <v>3</v>
      </c>
      <c r="J400" s="68">
        <v>4</v>
      </c>
      <c r="K400" s="91">
        <v>214.38</v>
      </c>
      <c r="L400" s="91">
        <v>108.22221929817209</v>
      </c>
      <c r="M400" s="91">
        <v>106.1577807018279</v>
      </c>
      <c r="N400" s="91">
        <v>107.19</v>
      </c>
      <c r="O400" s="91">
        <v>94.327200000000005</v>
      </c>
      <c r="P400" s="91">
        <v>12.8628</v>
      </c>
      <c r="Q400" s="85">
        <v>32.156999999999996</v>
      </c>
      <c r="R400" s="68" t="s">
        <v>1107</v>
      </c>
      <c r="S400" s="86">
        <v>31</v>
      </c>
      <c r="T400" s="68">
        <v>8</v>
      </c>
      <c r="U400" s="68">
        <v>0</v>
      </c>
      <c r="V400" s="68">
        <v>0</v>
      </c>
      <c r="W400" s="68">
        <v>2</v>
      </c>
      <c r="X400" s="68">
        <v>4</v>
      </c>
      <c r="Y400" s="68">
        <v>15</v>
      </c>
      <c r="Z400" s="68">
        <v>0</v>
      </c>
      <c r="AA400" s="68">
        <v>0</v>
      </c>
      <c r="AB400" s="69">
        <v>0</v>
      </c>
      <c r="AC400" s="69">
        <v>0</v>
      </c>
      <c r="AD400" s="70">
        <f>IFERROR(tblTarget[[#This Row],[Cluster Target]]/tblTarget[[#This Row],[Cluster PiN]],0)</f>
        <v>2.1276300119094878E-2</v>
      </c>
      <c r="AE400" s="79">
        <f>_xlfn.XLOOKUP(tblTarget[[#This Row],[ID]],tblResponse[ID],tblResponse[2024 Projected reached (Dec 2024)])</f>
        <v>0</v>
      </c>
      <c r="AF400" s="79">
        <f>_xlfn.XLOOKUP(tblTarget[[#This Row],[ID]],tblResponse[ID],tblResponse[2024 Intercluster reached -August RPM])</f>
        <v>1263.0418466530473</v>
      </c>
      <c r="AG400" s="79">
        <v>1</v>
      </c>
      <c r="AH400" s="79"/>
      <c r="AI400" s="79"/>
      <c r="AJ400" s="70" t="str">
        <f>IF(tblTarget[[#This Row],[Target to PiN (%)]]&gt;Targ_vs_PiN,"Flagged","")</f>
        <v/>
      </c>
      <c r="AK400" s="69" t="str">
        <f>IF(AND(tblTarget[[#This Row],[Qualifies for exception]]="Flagged",tblTarget[[#This Row],[Target to PiN (%)]]&gt;Targ_severity5),"Flagged","")</f>
        <v/>
      </c>
      <c r="AL400" s="68" t="str">
        <f>IFERROR(IF(AND(tblTarget[[#This Row],[Intercluser Severity]]=4,tblTarget[[#This Row],[Qualifies for exception]]="Flagged",(tblTarget[[#This Row],[Cluster Target]]-tblTarget[[#This Row],[2024 Response capacity up to December]])/tblTarget[[#This Row],[Cluster Target]]&gt;Diff_severity4),"Flagged",""),"No target")</f>
        <v>Flagged</v>
      </c>
      <c r="AM400" s="68" t="str">
        <f>IFERROR(IF(AND(tblTarget[[#This Row],[Intercluser Severity]]=3,tblTarget[[#This Row],[Qualifies for exception]]="Flagged",(tblTarget[[#This Row],[Cluster Target]]-tblTarget[[#This Row],[2024 Response capacity up to December]])/tblTarget[[#This Row],[Cluster Target]]&gt;Diff_severity3),"Flagged",""),"No target")</f>
        <v/>
      </c>
      <c r="AN400" s="81" t="s">
        <v>1099</v>
      </c>
      <c r="AO400" s="81"/>
      <c r="AP400" s="81" t="s">
        <v>1099</v>
      </c>
      <c r="AQ400" s="81" t="s">
        <v>1107</v>
      </c>
    </row>
    <row r="401" spans="1:43" ht="15.95" hidden="1" customHeight="1" x14ac:dyDescent="0.2">
      <c r="A401" s="62" t="s">
        <v>838</v>
      </c>
      <c r="B401" s="63" t="s">
        <v>42</v>
      </c>
      <c r="C401" s="64" t="s">
        <v>43</v>
      </c>
      <c r="D401" s="63" t="s">
        <v>66</v>
      </c>
      <c r="E401" s="64" t="s">
        <v>67</v>
      </c>
      <c r="F401" s="65">
        <v>107058</v>
      </c>
      <c r="G401" s="66" t="s">
        <v>437</v>
      </c>
      <c r="H401" s="67">
        <v>18084</v>
      </c>
      <c r="I401" s="68">
        <v>3</v>
      </c>
      <c r="J401" s="68">
        <v>4</v>
      </c>
      <c r="K401" s="91">
        <v>3617</v>
      </c>
      <c r="L401" s="91">
        <v>1825.266700972659</v>
      </c>
      <c r="M401" s="91">
        <v>1791.7332990273408</v>
      </c>
      <c r="N401" s="91">
        <v>1808.5</v>
      </c>
      <c r="O401" s="91">
        <v>1591.48</v>
      </c>
      <c r="P401" s="91">
        <v>217.01999999999998</v>
      </c>
      <c r="Q401" s="85">
        <v>542.54999999999995</v>
      </c>
      <c r="R401" s="68" t="s">
        <v>1107</v>
      </c>
      <c r="S401" s="86">
        <v>521</v>
      </c>
      <c r="T401" s="68">
        <v>130</v>
      </c>
      <c r="U401" s="68">
        <v>0</v>
      </c>
      <c r="V401" s="68">
        <v>0</v>
      </c>
      <c r="W401" s="68">
        <v>36</v>
      </c>
      <c r="X401" s="68">
        <v>72</v>
      </c>
      <c r="Y401" s="68">
        <v>253</v>
      </c>
      <c r="Z401" s="68">
        <v>0</v>
      </c>
      <c r="AA401" s="68">
        <v>0</v>
      </c>
      <c r="AB401" s="69">
        <v>0</v>
      </c>
      <c r="AC401" s="69">
        <v>0</v>
      </c>
      <c r="AD401" s="70">
        <f>IFERROR(tblTarget[[#This Row],[Cluster Target]]/tblTarget[[#This Row],[Cluster PiN]],0)</f>
        <v>0.20001105950011058</v>
      </c>
      <c r="AE401" s="79">
        <f>_xlfn.XLOOKUP(tblTarget[[#This Row],[ID]],tblResponse[ID],tblResponse[2024 Projected reached (Dec 2024)])</f>
        <v>0</v>
      </c>
      <c r="AF401" s="79">
        <f>_xlfn.XLOOKUP(tblTarget[[#This Row],[ID]],tblResponse[ID],tblResponse[2024 Intercluster reached -August RPM])</f>
        <v>142.9032955941644</v>
      </c>
      <c r="AG401" s="79">
        <v>1</v>
      </c>
      <c r="AH401" s="79"/>
      <c r="AI401" s="79"/>
      <c r="AJ401" s="70" t="str">
        <f>IF(tblTarget[[#This Row],[Target to PiN (%)]]&gt;Targ_vs_PiN,"Flagged","")</f>
        <v/>
      </c>
      <c r="AK401" s="69" t="str">
        <f>IF(AND(tblTarget[[#This Row],[Qualifies for exception]]="Flagged",tblTarget[[#This Row],[Target to PiN (%)]]&gt;Targ_severity5),"Flagged","")</f>
        <v/>
      </c>
      <c r="AL401" s="68" t="str">
        <f>IFERROR(IF(AND(tblTarget[[#This Row],[Intercluser Severity]]=4,tblTarget[[#This Row],[Qualifies for exception]]="Flagged",(tblTarget[[#This Row],[Cluster Target]]-tblTarget[[#This Row],[2024 Response capacity up to December]])/tblTarget[[#This Row],[Cluster Target]]&gt;Diff_severity4),"Flagged",""),"No target")</f>
        <v>Flagged</v>
      </c>
      <c r="AM401" s="68" t="str">
        <f>IFERROR(IF(AND(tblTarget[[#This Row],[Intercluser Severity]]=3,tblTarget[[#This Row],[Qualifies for exception]]="Flagged",(tblTarget[[#This Row],[Cluster Target]]-tblTarget[[#This Row],[2024 Response capacity up to December]])/tblTarget[[#This Row],[Cluster Target]]&gt;Diff_severity3),"Flagged",""),"No target")</f>
        <v/>
      </c>
      <c r="AN401" s="81" t="s">
        <v>1099</v>
      </c>
      <c r="AO401" s="81"/>
      <c r="AP401" s="81" t="s">
        <v>1099</v>
      </c>
      <c r="AQ401" s="81" t="s">
        <v>1107</v>
      </c>
    </row>
    <row r="402" spans="1:43" ht="15.95" customHeight="1" x14ac:dyDescent="0.2">
      <c r="A402" s="62" t="s">
        <v>839</v>
      </c>
      <c r="B402" s="63" t="s">
        <v>42</v>
      </c>
      <c r="C402" s="64" t="s">
        <v>43</v>
      </c>
      <c r="D402" s="63" t="s">
        <v>68</v>
      </c>
      <c r="E402" s="64" t="s">
        <v>69</v>
      </c>
      <c r="F402" s="65">
        <v>111176</v>
      </c>
      <c r="G402" s="66" t="s">
        <v>437</v>
      </c>
      <c r="H402" s="67">
        <v>14249</v>
      </c>
      <c r="I402" s="68">
        <v>3</v>
      </c>
      <c r="J402" s="68">
        <v>4</v>
      </c>
      <c r="K402" s="91">
        <v>1388.7</v>
      </c>
      <c r="L402" s="91">
        <v>716.63333828585985</v>
      </c>
      <c r="M402" s="91">
        <v>672.0666617141402</v>
      </c>
      <c r="N402" s="91">
        <v>694.35</v>
      </c>
      <c r="O402" s="91">
        <v>611.02800000000002</v>
      </c>
      <c r="P402" s="91">
        <v>83.322000000000003</v>
      </c>
      <c r="Q402" s="85">
        <v>208.30500000000001</v>
      </c>
      <c r="R402" s="68" t="s">
        <v>15</v>
      </c>
      <c r="S402" s="86">
        <v>200</v>
      </c>
      <c r="T402" s="68">
        <v>50</v>
      </c>
      <c r="U402" s="68">
        <v>0</v>
      </c>
      <c r="V402" s="68">
        <v>0</v>
      </c>
      <c r="W402" s="68">
        <v>14</v>
      </c>
      <c r="X402" s="68">
        <v>28</v>
      </c>
      <c r="Y402" s="68">
        <v>97</v>
      </c>
      <c r="Z402" s="68">
        <v>0</v>
      </c>
      <c r="AA402" s="68">
        <v>0</v>
      </c>
      <c r="AB402" s="69">
        <v>0</v>
      </c>
      <c r="AC402" s="69">
        <v>0</v>
      </c>
      <c r="AD402" s="70">
        <f>IFERROR(tblTarget[[#This Row],[Cluster Target]]/tblTarget[[#This Row],[Cluster PiN]],0)</f>
        <v>9.7459470840058959E-2</v>
      </c>
      <c r="AE402" s="79">
        <f>_xlfn.XLOOKUP(tblTarget[[#This Row],[ID]],tblResponse[ID],tblResponse[2024 Projected reached (Dec 2024)])</f>
        <v>0</v>
      </c>
      <c r="AF402" s="79">
        <f>_xlfn.XLOOKUP(tblTarget[[#This Row],[ID]],tblResponse[ID],tblResponse[2024 Intercluster reached -August RPM])</f>
        <v>41.397298442434497</v>
      </c>
      <c r="AG402" s="79">
        <v>1</v>
      </c>
      <c r="AH402" s="79"/>
      <c r="AI402" s="79"/>
      <c r="AJ402" s="70" t="str">
        <f>IF(tblTarget[[#This Row],[Target to PiN (%)]]&gt;Targ_vs_PiN,"Flagged","")</f>
        <v/>
      </c>
      <c r="AK402" s="69" t="str">
        <f>IF(AND(tblTarget[[#This Row],[Qualifies for exception]]="Flagged",tblTarget[[#This Row],[Target to PiN (%)]]&gt;Targ_severity5),"Flagged","")</f>
        <v/>
      </c>
      <c r="AL402" s="68" t="str">
        <f>IFERROR(IF(AND(tblTarget[[#This Row],[Intercluser Severity]]=4,tblTarget[[#This Row],[Qualifies for exception]]="Flagged",(tblTarget[[#This Row],[Cluster Target]]-tblTarget[[#This Row],[2024 Response capacity up to December]])/tblTarget[[#This Row],[Cluster Target]]&gt;Diff_severity4),"Flagged",""),"No target")</f>
        <v/>
      </c>
      <c r="AM402" s="68" t="str">
        <f>IFERROR(IF(AND(tblTarget[[#This Row],[Intercluser Severity]]=3,tblTarget[[#This Row],[Qualifies for exception]]="Flagged",(tblTarget[[#This Row],[Cluster Target]]-tblTarget[[#This Row],[2024 Response capacity up to December]])/tblTarget[[#This Row],[Cluster Target]]&gt;Diff_severity3),"Flagged",""),"No target")</f>
        <v/>
      </c>
      <c r="AN402" s="81" t="s">
        <v>1099</v>
      </c>
      <c r="AO402" s="81" t="s">
        <v>15</v>
      </c>
      <c r="AP402" s="81" t="s">
        <v>15</v>
      </c>
      <c r="AQ402" s="81" t="s">
        <v>1098</v>
      </c>
    </row>
    <row r="403" spans="1:43" ht="15.95" hidden="1" customHeight="1" x14ac:dyDescent="0.2">
      <c r="A403" s="62" t="s">
        <v>840</v>
      </c>
      <c r="B403" s="63" t="s">
        <v>42</v>
      </c>
      <c r="C403" s="64" t="s">
        <v>43</v>
      </c>
      <c r="D403" s="63" t="s">
        <v>70</v>
      </c>
      <c r="E403" s="64" t="s">
        <v>71</v>
      </c>
      <c r="F403" s="65">
        <v>141930</v>
      </c>
      <c r="G403" s="66" t="s">
        <v>437</v>
      </c>
      <c r="H403" s="67">
        <v>1043</v>
      </c>
      <c r="I403" s="68">
        <v>3</v>
      </c>
      <c r="J403" s="68">
        <v>4</v>
      </c>
      <c r="K403" s="91">
        <v>31.32</v>
      </c>
      <c r="L403" s="91">
        <v>15.960381976023148</v>
      </c>
      <c r="M403" s="91">
        <v>15.35961802397685</v>
      </c>
      <c r="N403" s="91">
        <v>15.66</v>
      </c>
      <c r="O403" s="91">
        <v>13.780800000000001</v>
      </c>
      <c r="P403" s="91">
        <v>1.8792</v>
      </c>
      <c r="Q403" s="85">
        <v>4.6979999999999995</v>
      </c>
      <c r="R403" s="68" t="s">
        <v>1107</v>
      </c>
      <c r="S403" s="86">
        <v>5</v>
      </c>
      <c r="T403" s="68">
        <v>1</v>
      </c>
      <c r="U403" s="68">
        <v>0</v>
      </c>
      <c r="V403" s="68">
        <v>0</v>
      </c>
      <c r="W403" s="68">
        <v>0</v>
      </c>
      <c r="X403" s="68">
        <v>1</v>
      </c>
      <c r="Y403" s="68">
        <v>2</v>
      </c>
      <c r="Z403" s="68">
        <v>0</v>
      </c>
      <c r="AA403" s="68">
        <v>0</v>
      </c>
      <c r="AB403" s="69">
        <v>0</v>
      </c>
      <c r="AC403" s="69">
        <v>0</v>
      </c>
      <c r="AD403" s="70">
        <f>IFERROR(tblTarget[[#This Row],[Cluster Target]]/tblTarget[[#This Row],[Cluster PiN]],0)</f>
        <v>3.0028763183125598E-2</v>
      </c>
      <c r="AE403" s="79">
        <f>_xlfn.XLOOKUP(tblTarget[[#This Row],[ID]],tblResponse[ID],tblResponse[2024 Projected reached (Dec 2024)])</f>
        <v>0</v>
      </c>
      <c r="AF403" s="79">
        <f>_xlfn.XLOOKUP(tblTarget[[#This Row],[ID]],tblResponse[ID],tblResponse[2024 Intercluster reached -August RPM])</f>
        <v>35.353679899597964</v>
      </c>
      <c r="AG403" s="79">
        <v>2</v>
      </c>
      <c r="AH403" s="79"/>
      <c r="AI403" s="79"/>
      <c r="AJ403" s="70" t="str">
        <f>IF(tblTarget[[#This Row],[Target to PiN (%)]]&gt;Targ_vs_PiN,"Flagged","")</f>
        <v/>
      </c>
      <c r="AK403" s="69" t="str">
        <f>IF(AND(tblTarget[[#This Row],[Qualifies for exception]]="Flagged",tblTarget[[#This Row],[Target to PiN (%)]]&gt;Targ_severity5),"Flagged","")</f>
        <v/>
      </c>
      <c r="AL403" s="68" t="str">
        <f>IFERROR(IF(AND(tblTarget[[#This Row],[Intercluser Severity]]=4,tblTarget[[#This Row],[Qualifies for exception]]="Flagged",(tblTarget[[#This Row],[Cluster Target]]-tblTarget[[#This Row],[2024 Response capacity up to December]])/tblTarget[[#This Row],[Cluster Target]]&gt;Diff_severity4),"Flagged",""),"No target")</f>
        <v>Flagged</v>
      </c>
      <c r="AM403" s="68" t="str">
        <f>IFERROR(IF(AND(tblTarget[[#This Row],[Intercluser Severity]]=3,tblTarget[[#This Row],[Qualifies for exception]]="Flagged",(tblTarget[[#This Row],[Cluster Target]]-tblTarget[[#This Row],[2024 Response capacity up to December]])/tblTarget[[#This Row],[Cluster Target]]&gt;Diff_severity3),"Flagged",""),"No target")</f>
        <v/>
      </c>
      <c r="AN403" s="81" t="s">
        <v>1099</v>
      </c>
      <c r="AO403" s="81"/>
      <c r="AP403" s="81" t="s">
        <v>1099</v>
      </c>
      <c r="AQ403" s="81" t="s">
        <v>1107</v>
      </c>
    </row>
    <row r="404" spans="1:43" ht="15.95" customHeight="1" x14ac:dyDescent="0.2">
      <c r="A404" s="62" t="s">
        <v>841</v>
      </c>
      <c r="B404" s="63" t="s">
        <v>42</v>
      </c>
      <c r="C404" s="64" t="s">
        <v>43</v>
      </c>
      <c r="D404" s="63" t="s">
        <v>72</v>
      </c>
      <c r="E404" s="64" t="s">
        <v>73</v>
      </c>
      <c r="F404" s="65">
        <v>123533</v>
      </c>
      <c r="G404" s="66" t="s">
        <v>437</v>
      </c>
      <c r="H404" s="67">
        <v>750</v>
      </c>
      <c r="I404" s="68">
        <v>3</v>
      </c>
      <c r="J404" s="68">
        <v>4</v>
      </c>
      <c r="K404" s="91">
        <v>150</v>
      </c>
      <c r="L404" s="91">
        <v>76.536579924465769</v>
      </c>
      <c r="M404" s="91">
        <v>73.463420075534245</v>
      </c>
      <c r="N404" s="91">
        <v>75</v>
      </c>
      <c r="O404" s="91">
        <v>66</v>
      </c>
      <c r="P404" s="91">
        <v>9</v>
      </c>
      <c r="Q404" s="85">
        <v>22.5</v>
      </c>
      <c r="R404" s="68" t="s">
        <v>15</v>
      </c>
      <c r="S404" s="86">
        <v>22</v>
      </c>
      <c r="T404" s="68">
        <v>5</v>
      </c>
      <c r="U404" s="68">
        <v>0</v>
      </c>
      <c r="V404" s="68">
        <v>0</v>
      </c>
      <c r="W404" s="68">
        <v>2</v>
      </c>
      <c r="X404" s="68">
        <v>3</v>
      </c>
      <c r="Y404" s="68">
        <v>11</v>
      </c>
      <c r="Z404" s="68">
        <v>0</v>
      </c>
      <c r="AA404" s="68">
        <v>0</v>
      </c>
      <c r="AB404" s="69">
        <v>0</v>
      </c>
      <c r="AC404" s="69">
        <v>0</v>
      </c>
      <c r="AD404" s="70">
        <f>IFERROR(tblTarget[[#This Row],[Cluster Target]]/tblTarget[[#This Row],[Cluster PiN]],0)</f>
        <v>0.2</v>
      </c>
      <c r="AE404" s="79">
        <f>_xlfn.XLOOKUP(tblTarget[[#This Row],[ID]],tblResponse[ID],tblResponse[2024 Projected reached (Dec 2024)])</f>
        <v>0</v>
      </c>
      <c r="AF404" s="79">
        <f>_xlfn.XLOOKUP(tblTarget[[#This Row],[ID]],tblResponse[ID],tblResponse[2024 Intercluster reached -August RPM])</f>
        <v>63.190051020544573</v>
      </c>
      <c r="AG404" s="79">
        <v>3</v>
      </c>
      <c r="AH404" s="79"/>
      <c r="AI404" s="79"/>
      <c r="AJ404" s="70" t="str">
        <f>IF(tblTarget[[#This Row],[Target to PiN (%)]]&gt;Targ_vs_PiN,"Flagged","")</f>
        <v/>
      </c>
      <c r="AK404" s="69" t="str">
        <f>IF(AND(tblTarget[[#This Row],[Qualifies for exception]]="Flagged",tblTarget[[#This Row],[Target to PiN (%)]]&gt;Targ_severity5),"Flagged","")</f>
        <v/>
      </c>
      <c r="AL404" s="68" t="str">
        <f>IFERROR(IF(AND(tblTarget[[#This Row],[Intercluser Severity]]=4,tblTarget[[#This Row],[Qualifies for exception]]="Flagged",(tblTarget[[#This Row],[Cluster Target]]-tblTarget[[#This Row],[2024 Response capacity up to December]])/tblTarget[[#This Row],[Cluster Target]]&gt;Diff_severity4),"Flagged",""),"No target")</f>
        <v/>
      </c>
      <c r="AM404" s="68" t="str">
        <f>IFERROR(IF(AND(tblTarget[[#This Row],[Intercluser Severity]]=3,tblTarget[[#This Row],[Qualifies for exception]]="Flagged",(tblTarget[[#This Row],[Cluster Target]]-tblTarget[[#This Row],[2024 Response capacity up to December]])/tblTarget[[#This Row],[Cluster Target]]&gt;Diff_severity3),"Flagged",""),"No target")</f>
        <v/>
      </c>
      <c r="AN404" s="81" t="s">
        <v>1099</v>
      </c>
      <c r="AO404" s="81" t="s">
        <v>15</v>
      </c>
      <c r="AP404" s="81" t="s">
        <v>1099</v>
      </c>
      <c r="AQ404" s="81" t="s">
        <v>1098</v>
      </c>
    </row>
    <row r="405" spans="1:43" ht="15.95" customHeight="1" x14ac:dyDescent="0.2">
      <c r="A405" s="62" t="s">
        <v>842</v>
      </c>
      <c r="B405" s="63" t="s">
        <v>42</v>
      </c>
      <c r="C405" s="64" t="s">
        <v>43</v>
      </c>
      <c r="D405" s="63" t="s">
        <v>74</v>
      </c>
      <c r="E405" s="64" t="s">
        <v>75</v>
      </c>
      <c r="F405" s="65">
        <v>0</v>
      </c>
      <c r="G405" s="66" t="s">
        <v>437</v>
      </c>
      <c r="H405" s="71">
        <v>0</v>
      </c>
      <c r="I405" s="68">
        <v>4</v>
      </c>
      <c r="J405" s="68">
        <v>5</v>
      </c>
      <c r="K405" s="91">
        <v>0</v>
      </c>
      <c r="L405" s="91">
        <v>0</v>
      </c>
      <c r="M405" s="91">
        <v>0</v>
      </c>
      <c r="N405" s="91">
        <v>0</v>
      </c>
      <c r="O405" s="91">
        <v>0</v>
      </c>
      <c r="P405" s="91">
        <v>0</v>
      </c>
      <c r="Q405" s="85">
        <v>0</v>
      </c>
      <c r="R405" s="68" t="s">
        <v>15</v>
      </c>
      <c r="S405" s="86">
        <v>0</v>
      </c>
      <c r="T405" s="68">
        <v>0</v>
      </c>
      <c r="U405" s="68">
        <v>0</v>
      </c>
      <c r="V405" s="68">
        <v>0</v>
      </c>
      <c r="W405" s="68">
        <v>0</v>
      </c>
      <c r="X405" s="68">
        <v>0</v>
      </c>
      <c r="Y405" s="68">
        <v>0</v>
      </c>
      <c r="Z405" s="68">
        <v>0</v>
      </c>
      <c r="AA405" s="68">
        <v>0</v>
      </c>
      <c r="AB405" s="69">
        <v>0</v>
      </c>
      <c r="AC405" s="69">
        <v>0</v>
      </c>
      <c r="AD405" s="70">
        <f>IFERROR(tblTarget[[#This Row],[Cluster Target]]/tblTarget[[#This Row],[Cluster PiN]],0)</f>
        <v>0</v>
      </c>
      <c r="AE405" s="79">
        <f>_xlfn.XLOOKUP(tblTarget[[#This Row],[ID]],tblResponse[ID],tblResponse[2024 Projected reached (Dec 2024)])</f>
        <v>0</v>
      </c>
      <c r="AF405" s="79">
        <f>_xlfn.XLOOKUP(tblTarget[[#This Row],[ID]],tblResponse[ID],tblResponse[2024 Intercluster reached -August RPM])</f>
        <v>205.7063168558081</v>
      </c>
      <c r="AG405" s="79">
        <v>3</v>
      </c>
      <c r="AH405" s="79"/>
      <c r="AI405" s="79"/>
      <c r="AJ405" s="70" t="str">
        <f>IF(tblTarget[[#This Row],[Target to PiN (%)]]&gt;Targ_vs_PiN,"Flagged","")</f>
        <v/>
      </c>
      <c r="AK405" s="69" t="str">
        <f>IF(AND(tblTarget[[#This Row],[Qualifies for exception]]="Flagged",tblTarget[[#This Row],[Target to PiN (%)]]&gt;Targ_severity5),"Flagged","")</f>
        <v/>
      </c>
      <c r="AL405" s="68" t="str">
        <f>IFERROR(IF(AND(tblTarget[[#This Row],[Intercluser Severity]]=4,tblTarget[[#This Row],[Qualifies for exception]]="Flagged",(tblTarget[[#This Row],[Cluster Target]]-tblTarget[[#This Row],[2024 Response capacity up to December]])/tblTarget[[#This Row],[Cluster Target]]&gt;Diff_severity4),"Flagged",""),"No target")</f>
        <v>No target</v>
      </c>
      <c r="AM405" s="68" t="str">
        <f>IFERROR(IF(AND(tblTarget[[#This Row],[Intercluser Severity]]=3,tblTarget[[#This Row],[Qualifies for exception]]="Flagged",(tblTarget[[#This Row],[Cluster Target]]-tblTarget[[#This Row],[2024 Response capacity up to December]])/tblTarget[[#This Row],[Cluster Target]]&gt;Diff_severity3),"Flagged",""),"No target")</f>
        <v>No target</v>
      </c>
      <c r="AN405" s="81" t="s">
        <v>1099</v>
      </c>
      <c r="AO405" s="81"/>
      <c r="AP405" s="81" t="s">
        <v>15</v>
      </c>
      <c r="AQ405" s="81" t="s">
        <v>1098</v>
      </c>
    </row>
    <row r="406" spans="1:43" ht="15.95" hidden="1" customHeight="1" x14ac:dyDescent="0.2">
      <c r="A406" s="62" t="s">
        <v>843</v>
      </c>
      <c r="B406" s="63" t="s">
        <v>42</v>
      </c>
      <c r="C406" s="64" t="s">
        <v>43</v>
      </c>
      <c r="D406" s="63" t="s">
        <v>76</v>
      </c>
      <c r="E406" s="64" t="s">
        <v>77</v>
      </c>
      <c r="F406" s="65">
        <v>41449</v>
      </c>
      <c r="G406" s="66" t="s">
        <v>437</v>
      </c>
      <c r="H406" s="67">
        <v>2658</v>
      </c>
      <c r="I406" s="68">
        <v>3</v>
      </c>
      <c r="J406" s="68">
        <v>4</v>
      </c>
      <c r="K406" s="91">
        <v>328.32</v>
      </c>
      <c r="L406" s="91">
        <v>166.52090618357303</v>
      </c>
      <c r="M406" s="91">
        <v>161.79909381642696</v>
      </c>
      <c r="N406" s="91">
        <v>164.16</v>
      </c>
      <c r="O406" s="91">
        <v>144.46080000000001</v>
      </c>
      <c r="P406" s="91">
        <v>19.699199999999998</v>
      </c>
      <c r="Q406" s="85">
        <v>49.247999999999998</v>
      </c>
      <c r="R406" s="68" t="s">
        <v>1107</v>
      </c>
      <c r="S406" s="86">
        <v>47</v>
      </c>
      <c r="T406" s="68">
        <v>12</v>
      </c>
      <c r="U406" s="68">
        <v>0</v>
      </c>
      <c r="V406" s="68">
        <v>0</v>
      </c>
      <c r="W406" s="68">
        <v>3</v>
      </c>
      <c r="X406" s="68">
        <v>7</v>
      </c>
      <c r="Y406" s="68">
        <v>23</v>
      </c>
      <c r="Z406" s="68">
        <v>0</v>
      </c>
      <c r="AA406" s="68">
        <v>0</v>
      </c>
      <c r="AB406" s="69">
        <v>0</v>
      </c>
      <c r="AC406" s="69">
        <v>0</v>
      </c>
      <c r="AD406" s="70">
        <f>IFERROR(tblTarget[[#This Row],[Cluster Target]]/tblTarget[[#This Row],[Cluster PiN]],0)</f>
        <v>0.12352144469525959</v>
      </c>
      <c r="AE406" s="79">
        <f>_xlfn.XLOOKUP(tblTarget[[#This Row],[ID]],tblResponse[ID],tblResponse[2024 Projected reached (Dec 2024)])</f>
        <v>0</v>
      </c>
      <c r="AF406" s="79">
        <f>_xlfn.XLOOKUP(tblTarget[[#This Row],[ID]],tblResponse[ID],tblResponse[2024 Intercluster reached -August RPM])</f>
        <v>26.868796723694452</v>
      </c>
      <c r="AG406" s="79">
        <v>3</v>
      </c>
      <c r="AH406" s="79"/>
      <c r="AI406" s="79"/>
      <c r="AJ406" s="70" t="str">
        <f>IF(tblTarget[[#This Row],[Target to PiN (%)]]&gt;Targ_vs_PiN,"Flagged","")</f>
        <v/>
      </c>
      <c r="AK406" s="69" t="str">
        <f>IF(AND(tblTarget[[#This Row],[Qualifies for exception]]="Flagged",tblTarget[[#This Row],[Target to PiN (%)]]&gt;Targ_severity5),"Flagged","")</f>
        <v/>
      </c>
      <c r="AL406" s="68" t="str">
        <f>IFERROR(IF(AND(tblTarget[[#This Row],[Intercluser Severity]]=4,tblTarget[[#This Row],[Qualifies for exception]]="Flagged",(tblTarget[[#This Row],[Cluster Target]]-tblTarget[[#This Row],[2024 Response capacity up to December]])/tblTarget[[#This Row],[Cluster Target]]&gt;Diff_severity4),"Flagged",""),"No target")</f>
        <v>Flagged</v>
      </c>
      <c r="AM406" s="68" t="str">
        <f>IFERROR(IF(AND(tblTarget[[#This Row],[Intercluser Severity]]=3,tblTarget[[#This Row],[Qualifies for exception]]="Flagged",(tblTarget[[#This Row],[Cluster Target]]-tblTarget[[#This Row],[2024 Response capacity up to December]])/tblTarget[[#This Row],[Cluster Target]]&gt;Diff_severity3),"Flagged",""),"No target")</f>
        <v/>
      </c>
      <c r="AN406" s="81" t="s">
        <v>1099</v>
      </c>
      <c r="AO406" s="81"/>
      <c r="AP406" s="81" t="s">
        <v>1099</v>
      </c>
      <c r="AQ406" s="81" t="s">
        <v>1107</v>
      </c>
    </row>
    <row r="407" spans="1:43" ht="15.95" hidden="1" customHeight="1" x14ac:dyDescent="0.2">
      <c r="A407" s="62" t="s">
        <v>844</v>
      </c>
      <c r="B407" s="63" t="s">
        <v>78</v>
      </c>
      <c r="C407" s="64" t="s">
        <v>79</v>
      </c>
      <c r="D407" s="63" t="s">
        <v>80</v>
      </c>
      <c r="E407" s="64" t="s">
        <v>81</v>
      </c>
      <c r="F407" s="65">
        <v>35088</v>
      </c>
      <c r="G407" s="66" t="s">
        <v>437</v>
      </c>
      <c r="H407" s="67">
        <v>1775</v>
      </c>
      <c r="I407" s="68">
        <v>3</v>
      </c>
      <c r="J407" s="68">
        <v>3</v>
      </c>
      <c r="K407" s="91">
        <v>0</v>
      </c>
      <c r="L407" s="91">
        <v>0</v>
      </c>
      <c r="M407" s="91">
        <v>0</v>
      </c>
      <c r="N407" s="91">
        <v>0</v>
      </c>
      <c r="O407" s="91">
        <v>0</v>
      </c>
      <c r="P407" s="91">
        <v>0</v>
      </c>
      <c r="Q407" s="85">
        <v>0</v>
      </c>
      <c r="R407" s="68" t="s">
        <v>1107</v>
      </c>
      <c r="S407" s="86">
        <v>0</v>
      </c>
      <c r="T407" s="68">
        <v>0</v>
      </c>
      <c r="U407" s="68">
        <v>0</v>
      </c>
      <c r="V407" s="68">
        <v>0</v>
      </c>
      <c r="W407" s="68">
        <v>0</v>
      </c>
      <c r="X407" s="68">
        <v>0</v>
      </c>
      <c r="Y407" s="68">
        <v>0</v>
      </c>
      <c r="Z407" s="68">
        <v>0</v>
      </c>
      <c r="AA407" s="68">
        <v>0</v>
      </c>
      <c r="AB407" s="69">
        <v>0</v>
      </c>
      <c r="AC407" s="69">
        <v>0</v>
      </c>
      <c r="AD407" s="70">
        <f>IFERROR(tblTarget[[#This Row],[Cluster Target]]/tblTarget[[#This Row],[Cluster PiN]],0)</f>
        <v>0</v>
      </c>
      <c r="AE407" s="79">
        <f>_xlfn.XLOOKUP(tblTarget[[#This Row],[ID]],tblResponse[ID],tblResponse[2024 Projected reached (Dec 2024)])</f>
        <v>0</v>
      </c>
      <c r="AF407" s="79">
        <f>_xlfn.XLOOKUP(tblTarget[[#This Row],[ID]],tblResponse[ID],tblResponse[2024 Intercluster reached -August RPM])</f>
        <v>0.44657279873176375</v>
      </c>
      <c r="AG407" s="79">
        <v>1</v>
      </c>
      <c r="AH407" s="79"/>
      <c r="AI407" s="79"/>
      <c r="AJ407" s="70" t="str">
        <f>IF(tblTarget[[#This Row],[Target to PiN (%)]]&gt;Targ_vs_PiN,"Flagged","")</f>
        <v/>
      </c>
      <c r="AK407" s="69" t="str">
        <f>IF(AND(tblTarget[[#This Row],[Qualifies for exception]]="Flagged",tblTarget[[#This Row],[Target to PiN (%)]]&gt;Targ_severity5),"Flagged","")</f>
        <v/>
      </c>
      <c r="AL407" s="68" t="str">
        <f>IFERROR(IF(AND(tblTarget[[#This Row],[Intercluser Severity]]=4,tblTarget[[#This Row],[Qualifies for exception]]="Flagged",(tblTarget[[#This Row],[Cluster Target]]-tblTarget[[#This Row],[2024 Response capacity up to December]])/tblTarget[[#This Row],[Cluster Target]]&gt;Diff_severity4),"Flagged",""),"No target")</f>
        <v>No target</v>
      </c>
      <c r="AM407" s="68" t="str">
        <f>IFERROR(IF(AND(tblTarget[[#This Row],[Intercluser Severity]]=3,tblTarget[[#This Row],[Qualifies for exception]]="Flagged",(tblTarget[[#This Row],[Cluster Target]]-tblTarget[[#This Row],[2024 Response capacity up to December]])/tblTarget[[#This Row],[Cluster Target]]&gt;Diff_severity3),"Flagged",""),"No target")</f>
        <v>No target</v>
      </c>
      <c r="AN407" s="81" t="s">
        <v>1099</v>
      </c>
      <c r="AO407" s="81"/>
      <c r="AP407" s="81" t="s">
        <v>1099</v>
      </c>
      <c r="AQ407" s="81" t="s">
        <v>1107</v>
      </c>
    </row>
    <row r="408" spans="1:43" ht="15.95" hidden="1" customHeight="1" x14ac:dyDescent="0.2">
      <c r="A408" s="62" t="s">
        <v>845</v>
      </c>
      <c r="B408" s="63" t="s">
        <v>78</v>
      </c>
      <c r="C408" s="64" t="s">
        <v>79</v>
      </c>
      <c r="D408" s="63" t="s">
        <v>82</v>
      </c>
      <c r="E408" s="64" t="s">
        <v>83</v>
      </c>
      <c r="F408" s="65">
        <v>145454</v>
      </c>
      <c r="G408" s="66" t="s">
        <v>437</v>
      </c>
      <c r="H408" s="67">
        <v>2086</v>
      </c>
      <c r="I408" s="68">
        <v>3</v>
      </c>
      <c r="J408" s="68">
        <v>4</v>
      </c>
      <c r="K408" s="91">
        <v>52</v>
      </c>
      <c r="L408" s="91">
        <v>25.799619829111304</v>
      </c>
      <c r="M408" s="91">
        <v>26.2003801708887</v>
      </c>
      <c r="N408" s="91">
        <v>26</v>
      </c>
      <c r="O408" s="91">
        <v>22.88</v>
      </c>
      <c r="P408" s="91">
        <v>3.12</v>
      </c>
      <c r="Q408" s="85">
        <v>7.8</v>
      </c>
      <c r="R408" s="68" t="s">
        <v>1107</v>
      </c>
      <c r="S408" s="86">
        <v>7</v>
      </c>
      <c r="T408" s="68">
        <v>2</v>
      </c>
      <c r="U408" s="68">
        <v>0</v>
      </c>
      <c r="V408" s="68">
        <v>0</v>
      </c>
      <c r="W408" s="68">
        <v>1</v>
      </c>
      <c r="X408" s="68">
        <v>1</v>
      </c>
      <c r="Y408" s="68">
        <v>4</v>
      </c>
      <c r="Z408" s="68">
        <v>0</v>
      </c>
      <c r="AA408" s="68">
        <v>0</v>
      </c>
      <c r="AB408" s="69">
        <v>0</v>
      </c>
      <c r="AC408" s="69">
        <v>0</v>
      </c>
      <c r="AD408" s="70">
        <f>IFERROR(tblTarget[[#This Row],[Cluster Target]]/tblTarget[[#This Row],[Cluster PiN]],0)</f>
        <v>2.4928092042186004E-2</v>
      </c>
      <c r="AE408" s="79">
        <f>_xlfn.XLOOKUP(tblTarget[[#This Row],[ID]],tblResponse[ID],tblResponse[2024 Projected reached (Dec 2024)])</f>
        <v>0</v>
      </c>
      <c r="AF408" s="79">
        <f>_xlfn.XLOOKUP(tblTarget[[#This Row],[ID]],tblResponse[ID],tblResponse[2024 Intercluster reached -August RPM])</f>
        <v>0</v>
      </c>
      <c r="AG408" s="79">
        <v>1</v>
      </c>
      <c r="AH408" s="79"/>
      <c r="AI408" s="79"/>
      <c r="AJ408" s="70" t="str">
        <f>IF(tblTarget[[#This Row],[Target to PiN (%)]]&gt;Targ_vs_PiN,"Flagged","")</f>
        <v/>
      </c>
      <c r="AK408" s="69" t="str">
        <f>IF(AND(tblTarget[[#This Row],[Qualifies for exception]]="Flagged",tblTarget[[#This Row],[Target to PiN (%)]]&gt;Targ_severity5),"Flagged","")</f>
        <v/>
      </c>
      <c r="AL408" s="68" t="str">
        <f>IFERROR(IF(AND(tblTarget[[#This Row],[Intercluser Severity]]=4,tblTarget[[#This Row],[Qualifies for exception]]="Flagged",(tblTarget[[#This Row],[Cluster Target]]-tblTarget[[#This Row],[2024 Response capacity up to December]])/tblTarget[[#This Row],[Cluster Target]]&gt;Diff_severity4),"Flagged",""),"No target")</f>
        <v>Flagged</v>
      </c>
      <c r="AM408" s="68" t="str">
        <f>IFERROR(IF(AND(tblTarget[[#This Row],[Intercluser Severity]]=3,tblTarget[[#This Row],[Qualifies for exception]]="Flagged",(tblTarget[[#This Row],[Cluster Target]]-tblTarget[[#This Row],[2024 Response capacity up to December]])/tblTarget[[#This Row],[Cluster Target]]&gt;Diff_severity3),"Flagged",""),"No target")</f>
        <v/>
      </c>
      <c r="AN408" s="81" t="s">
        <v>1099</v>
      </c>
      <c r="AO408" s="81"/>
      <c r="AP408" s="81" t="s">
        <v>1099</v>
      </c>
      <c r="AQ408" s="81" t="s">
        <v>1107</v>
      </c>
    </row>
    <row r="409" spans="1:43" ht="15.95" hidden="1" customHeight="1" x14ac:dyDescent="0.2">
      <c r="A409" s="62" t="s">
        <v>846</v>
      </c>
      <c r="B409" s="63" t="s">
        <v>78</v>
      </c>
      <c r="C409" s="64" t="s">
        <v>79</v>
      </c>
      <c r="D409" s="63" t="s">
        <v>84</v>
      </c>
      <c r="E409" s="64" t="s">
        <v>85</v>
      </c>
      <c r="F409" s="65">
        <v>17373</v>
      </c>
      <c r="G409" s="66" t="s">
        <v>437</v>
      </c>
      <c r="H409" s="67">
        <v>6302</v>
      </c>
      <c r="I409" s="68">
        <v>4</v>
      </c>
      <c r="J409" s="68">
        <v>4</v>
      </c>
      <c r="K409" s="91">
        <v>1260.5</v>
      </c>
      <c r="L409" s="91">
        <v>629.45368426230209</v>
      </c>
      <c r="M409" s="91">
        <v>631.04631573769791</v>
      </c>
      <c r="N409" s="91">
        <v>630.25</v>
      </c>
      <c r="O409" s="91">
        <v>554.62</v>
      </c>
      <c r="P409" s="91">
        <v>75.63</v>
      </c>
      <c r="Q409" s="85">
        <v>189.07499999999999</v>
      </c>
      <c r="R409" s="68" t="s">
        <v>1107</v>
      </c>
      <c r="S409" s="86">
        <v>182</v>
      </c>
      <c r="T409" s="68">
        <v>45</v>
      </c>
      <c r="U409" s="68">
        <v>0</v>
      </c>
      <c r="V409" s="68">
        <v>0</v>
      </c>
      <c r="W409" s="68">
        <v>13</v>
      </c>
      <c r="X409" s="68">
        <v>25</v>
      </c>
      <c r="Y409" s="68">
        <v>88</v>
      </c>
      <c r="Z409" s="68">
        <v>0</v>
      </c>
      <c r="AA409" s="68">
        <v>0</v>
      </c>
      <c r="AB409" s="69">
        <v>0</v>
      </c>
      <c r="AC409" s="69">
        <v>0</v>
      </c>
      <c r="AD409" s="70">
        <f>IFERROR(tblTarget[[#This Row],[Cluster Target]]/tblTarget[[#This Row],[Cluster PiN]],0)</f>
        <v>0.20001586797841955</v>
      </c>
      <c r="AE409" s="79">
        <f>_xlfn.XLOOKUP(tblTarget[[#This Row],[ID]],tblResponse[ID],tblResponse[2024 Projected reached (Dec 2024)])</f>
        <v>0</v>
      </c>
      <c r="AF409" s="79">
        <f>_xlfn.XLOOKUP(tblTarget[[#This Row],[ID]],tblResponse[ID],tblResponse[2024 Intercluster reached -August RPM])</f>
        <v>852.46281549906382</v>
      </c>
      <c r="AG409" s="79">
        <v>3</v>
      </c>
      <c r="AH409" s="79"/>
      <c r="AI409" s="79"/>
      <c r="AJ409" s="70" t="str">
        <f>IF(tblTarget[[#This Row],[Target to PiN (%)]]&gt;Targ_vs_PiN,"Flagged","")</f>
        <v/>
      </c>
      <c r="AK409" s="69" t="str">
        <f>IF(AND(tblTarget[[#This Row],[Qualifies for exception]]="Flagged",tblTarget[[#This Row],[Target to PiN (%)]]&gt;Targ_severity5),"Flagged","")</f>
        <v/>
      </c>
      <c r="AL409" s="68" t="str">
        <f>IFERROR(IF(AND(tblTarget[[#This Row],[Intercluser Severity]]=4,tblTarget[[#This Row],[Qualifies for exception]]="Flagged",(tblTarget[[#This Row],[Cluster Target]]-tblTarget[[#This Row],[2024 Response capacity up to December]])/tblTarget[[#This Row],[Cluster Target]]&gt;Diff_severity4),"Flagged",""),"No target")</f>
        <v/>
      </c>
      <c r="AM409" s="68" t="str">
        <f>IFERROR(IF(AND(tblTarget[[#This Row],[Intercluser Severity]]=3,tblTarget[[#This Row],[Qualifies for exception]]="Flagged",(tblTarget[[#This Row],[Cluster Target]]-tblTarget[[#This Row],[2024 Response capacity up to December]])/tblTarget[[#This Row],[Cluster Target]]&gt;Diff_severity3),"Flagged",""),"No target")</f>
        <v/>
      </c>
      <c r="AN409" s="81" t="s">
        <v>1099</v>
      </c>
      <c r="AO409" s="81"/>
      <c r="AP409" s="81" t="s">
        <v>15</v>
      </c>
      <c r="AQ409" s="81" t="s">
        <v>1098</v>
      </c>
    </row>
    <row r="410" spans="1:43" ht="15.95" customHeight="1" x14ac:dyDescent="0.2">
      <c r="A410" s="62" t="s">
        <v>847</v>
      </c>
      <c r="B410" s="63" t="s">
        <v>78</v>
      </c>
      <c r="C410" s="64" t="s">
        <v>79</v>
      </c>
      <c r="D410" s="63" t="s">
        <v>86</v>
      </c>
      <c r="E410" s="64" t="s">
        <v>87</v>
      </c>
      <c r="F410" s="65">
        <v>0</v>
      </c>
      <c r="G410" s="66" t="s">
        <v>437</v>
      </c>
      <c r="H410" s="67">
        <v>0</v>
      </c>
      <c r="I410" s="68">
        <v>4</v>
      </c>
      <c r="J410" s="68">
        <v>4</v>
      </c>
      <c r="K410" s="91">
        <v>0</v>
      </c>
      <c r="L410" s="91">
        <v>0</v>
      </c>
      <c r="M410" s="91">
        <v>0</v>
      </c>
      <c r="N410" s="91">
        <v>0</v>
      </c>
      <c r="O410" s="91">
        <v>0</v>
      </c>
      <c r="P410" s="91">
        <v>0</v>
      </c>
      <c r="Q410" s="85">
        <v>0</v>
      </c>
      <c r="R410" s="68" t="s">
        <v>15</v>
      </c>
      <c r="S410" s="86">
        <v>0</v>
      </c>
      <c r="T410" s="68">
        <v>0</v>
      </c>
      <c r="U410" s="68">
        <v>0</v>
      </c>
      <c r="V410" s="68">
        <v>0</v>
      </c>
      <c r="W410" s="68">
        <v>0</v>
      </c>
      <c r="X410" s="68">
        <v>0</v>
      </c>
      <c r="Y410" s="68">
        <v>0</v>
      </c>
      <c r="Z410" s="68">
        <v>0</v>
      </c>
      <c r="AA410" s="68">
        <v>0</v>
      </c>
      <c r="AB410" s="69">
        <v>0</v>
      </c>
      <c r="AC410" s="69">
        <v>0</v>
      </c>
      <c r="AD410" s="70">
        <f>IFERROR(tblTarget[[#This Row],[Cluster Target]]/tblTarget[[#This Row],[Cluster PiN]],0)</f>
        <v>0</v>
      </c>
      <c r="AE410" s="79">
        <f>_xlfn.XLOOKUP(tblTarget[[#This Row],[ID]],tblResponse[ID],tblResponse[2024 Projected reached (Dec 2024)])</f>
        <v>0</v>
      </c>
      <c r="AF410" s="79">
        <f>_xlfn.XLOOKUP(tblTarget[[#This Row],[ID]],tblResponse[ID],tblResponse[2024 Intercluster reached -August RPM])</f>
        <v>12.057465565757621</v>
      </c>
      <c r="AG410" s="79">
        <v>1</v>
      </c>
      <c r="AH410" s="79"/>
      <c r="AI410" s="79"/>
      <c r="AJ410" s="70" t="str">
        <f>IF(tblTarget[[#This Row],[Target to PiN (%)]]&gt;Targ_vs_PiN,"Flagged","")</f>
        <v/>
      </c>
      <c r="AK410" s="69" t="str">
        <f>IF(AND(tblTarget[[#This Row],[Qualifies for exception]]="Flagged",tblTarget[[#This Row],[Target to PiN (%)]]&gt;Targ_severity5),"Flagged","")</f>
        <v/>
      </c>
      <c r="AL410" s="68" t="str">
        <f>IFERROR(IF(AND(tblTarget[[#This Row],[Intercluser Severity]]=4,tblTarget[[#This Row],[Qualifies for exception]]="Flagged",(tblTarget[[#This Row],[Cluster Target]]-tblTarget[[#This Row],[2024 Response capacity up to December]])/tblTarget[[#This Row],[Cluster Target]]&gt;Diff_severity4),"Flagged",""),"No target")</f>
        <v>No target</v>
      </c>
      <c r="AM410" s="68" t="str">
        <f>IFERROR(IF(AND(tblTarget[[#This Row],[Intercluser Severity]]=3,tblTarget[[#This Row],[Qualifies for exception]]="Flagged",(tblTarget[[#This Row],[Cluster Target]]-tblTarget[[#This Row],[2024 Response capacity up to December]])/tblTarget[[#This Row],[Cluster Target]]&gt;Diff_severity3),"Flagged",""),"No target")</f>
        <v>No target</v>
      </c>
      <c r="AN410" s="81" t="s">
        <v>1099</v>
      </c>
      <c r="AO410" s="81"/>
      <c r="AP410" s="81" t="s">
        <v>15</v>
      </c>
      <c r="AQ410" s="81" t="s">
        <v>1098</v>
      </c>
    </row>
    <row r="411" spans="1:43" ht="15.95" hidden="1" customHeight="1" x14ac:dyDescent="0.2">
      <c r="A411" s="62" t="s">
        <v>848</v>
      </c>
      <c r="B411" s="63" t="s">
        <v>78</v>
      </c>
      <c r="C411" s="64" t="s">
        <v>79</v>
      </c>
      <c r="D411" s="63" t="s">
        <v>88</v>
      </c>
      <c r="E411" s="64" t="s">
        <v>89</v>
      </c>
      <c r="F411" s="65">
        <v>57590</v>
      </c>
      <c r="G411" s="66" t="s">
        <v>437</v>
      </c>
      <c r="H411" s="67">
        <v>448</v>
      </c>
      <c r="I411" s="68">
        <v>3</v>
      </c>
      <c r="J411" s="68">
        <v>3</v>
      </c>
      <c r="K411" s="91">
        <v>0</v>
      </c>
      <c r="L411" s="91">
        <v>0</v>
      </c>
      <c r="M411" s="91">
        <v>0</v>
      </c>
      <c r="N411" s="91">
        <v>0</v>
      </c>
      <c r="O411" s="91">
        <v>0</v>
      </c>
      <c r="P411" s="91">
        <v>0</v>
      </c>
      <c r="Q411" s="85">
        <v>0</v>
      </c>
      <c r="R411" s="68" t="s">
        <v>1107</v>
      </c>
      <c r="S411" s="86">
        <v>0</v>
      </c>
      <c r="T411" s="68">
        <v>0</v>
      </c>
      <c r="U411" s="68">
        <v>0</v>
      </c>
      <c r="V411" s="68">
        <v>0</v>
      </c>
      <c r="W411" s="68">
        <v>0</v>
      </c>
      <c r="X411" s="68">
        <v>0</v>
      </c>
      <c r="Y411" s="68">
        <v>0</v>
      </c>
      <c r="Z411" s="68">
        <v>0</v>
      </c>
      <c r="AA411" s="68">
        <v>0</v>
      </c>
      <c r="AB411" s="69">
        <v>0</v>
      </c>
      <c r="AC411" s="69">
        <v>0</v>
      </c>
      <c r="AD411" s="70">
        <f>IFERROR(tblTarget[[#This Row],[Cluster Target]]/tblTarget[[#This Row],[Cluster PiN]],0)</f>
        <v>0</v>
      </c>
      <c r="AE411" s="79">
        <f>_xlfn.XLOOKUP(tblTarget[[#This Row],[ID]],tblResponse[ID],tblResponse[2024 Projected reached (Dec 2024)])</f>
        <v>0</v>
      </c>
      <c r="AF411" s="79">
        <f>_xlfn.XLOOKUP(tblTarget[[#This Row],[ID]],tblResponse[ID],tblResponse[2024 Intercluster reached -August RPM])</f>
        <v>0</v>
      </c>
      <c r="AG411" s="79">
        <v>1</v>
      </c>
      <c r="AH411" s="79"/>
      <c r="AI411" s="79"/>
      <c r="AJ411" s="70" t="str">
        <f>IF(tblTarget[[#This Row],[Target to PiN (%)]]&gt;Targ_vs_PiN,"Flagged","")</f>
        <v/>
      </c>
      <c r="AK411" s="69" t="str">
        <f>IF(AND(tblTarget[[#This Row],[Qualifies for exception]]="Flagged",tblTarget[[#This Row],[Target to PiN (%)]]&gt;Targ_severity5),"Flagged","")</f>
        <v/>
      </c>
      <c r="AL411" s="68" t="str">
        <f>IFERROR(IF(AND(tblTarget[[#This Row],[Intercluser Severity]]=4,tblTarget[[#This Row],[Qualifies for exception]]="Flagged",(tblTarget[[#This Row],[Cluster Target]]-tblTarget[[#This Row],[2024 Response capacity up to December]])/tblTarget[[#This Row],[Cluster Target]]&gt;Diff_severity4),"Flagged",""),"No target")</f>
        <v>No target</v>
      </c>
      <c r="AM411" s="68" t="str">
        <f>IFERROR(IF(AND(tblTarget[[#This Row],[Intercluser Severity]]=3,tblTarget[[#This Row],[Qualifies for exception]]="Flagged",(tblTarget[[#This Row],[Cluster Target]]-tblTarget[[#This Row],[2024 Response capacity up to December]])/tblTarget[[#This Row],[Cluster Target]]&gt;Diff_severity3),"Flagged",""),"No target")</f>
        <v>No target</v>
      </c>
      <c r="AN411" s="81" t="s">
        <v>1099</v>
      </c>
      <c r="AO411" s="81"/>
      <c r="AP411" s="81" t="s">
        <v>1099</v>
      </c>
      <c r="AQ411" s="81" t="s">
        <v>1107</v>
      </c>
    </row>
    <row r="412" spans="1:43" ht="15.95" customHeight="1" x14ac:dyDescent="0.2">
      <c r="A412" s="62" t="s">
        <v>849</v>
      </c>
      <c r="B412" s="63" t="s">
        <v>78</v>
      </c>
      <c r="C412" s="64" t="s">
        <v>79</v>
      </c>
      <c r="D412" s="63" t="s">
        <v>90</v>
      </c>
      <c r="E412" s="64" t="s">
        <v>91</v>
      </c>
      <c r="F412" s="65">
        <v>0</v>
      </c>
      <c r="G412" s="66" t="s">
        <v>437</v>
      </c>
      <c r="H412" s="67">
        <v>0</v>
      </c>
      <c r="I412" s="68">
        <v>3</v>
      </c>
      <c r="J412" s="68">
        <v>4</v>
      </c>
      <c r="K412" s="91">
        <v>0</v>
      </c>
      <c r="L412" s="91">
        <v>0</v>
      </c>
      <c r="M412" s="91">
        <v>0</v>
      </c>
      <c r="N412" s="91">
        <v>0</v>
      </c>
      <c r="O412" s="91">
        <v>0</v>
      </c>
      <c r="P412" s="91">
        <v>0</v>
      </c>
      <c r="Q412" s="85">
        <v>0</v>
      </c>
      <c r="R412" s="68" t="s">
        <v>15</v>
      </c>
      <c r="S412" s="86">
        <v>0</v>
      </c>
      <c r="T412" s="68">
        <v>0</v>
      </c>
      <c r="U412" s="68">
        <v>0</v>
      </c>
      <c r="V412" s="68">
        <v>0</v>
      </c>
      <c r="W412" s="68">
        <v>0</v>
      </c>
      <c r="X412" s="68">
        <v>0</v>
      </c>
      <c r="Y412" s="68">
        <v>0</v>
      </c>
      <c r="Z412" s="68">
        <v>0</v>
      </c>
      <c r="AA412" s="68">
        <v>0</v>
      </c>
      <c r="AB412" s="69">
        <v>0</v>
      </c>
      <c r="AC412" s="69">
        <v>0</v>
      </c>
      <c r="AD412" s="70">
        <f>IFERROR(tblTarget[[#This Row],[Cluster Target]]/tblTarget[[#This Row],[Cluster PiN]],0)</f>
        <v>0</v>
      </c>
      <c r="AE412" s="79">
        <f>_xlfn.XLOOKUP(tblTarget[[#This Row],[ID]],tblResponse[ID],tblResponse[2024 Projected reached (Dec 2024)])</f>
        <v>0</v>
      </c>
      <c r="AF412" s="79">
        <f>_xlfn.XLOOKUP(tblTarget[[#This Row],[ID]],tblResponse[ID],tblResponse[2024 Intercluster reached -August RPM])</f>
        <v>679.90708606911028</v>
      </c>
      <c r="AG412" s="79">
        <v>1</v>
      </c>
      <c r="AH412" s="79"/>
      <c r="AI412" s="79"/>
      <c r="AJ412" s="70" t="str">
        <f>IF(tblTarget[[#This Row],[Target to PiN (%)]]&gt;Targ_vs_PiN,"Flagged","")</f>
        <v/>
      </c>
      <c r="AK412" s="69" t="str">
        <f>IF(AND(tblTarget[[#This Row],[Qualifies for exception]]="Flagged",tblTarget[[#This Row],[Target to PiN (%)]]&gt;Targ_severity5),"Flagged","")</f>
        <v/>
      </c>
      <c r="AL412" s="68" t="str">
        <f>IFERROR(IF(AND(tblTarget[[#This Row],[Intercluser Severity]]=4,tblTarget[[#This Row],[Qualifies for exception]]="Flagged",(tblTarget[[#This Row],[Cluster Target]]-tblTarget[[#This Row],[2024 Response capacity up to December]])/tblTarget[[#This Row],[Cluster Target]]&gt;Diff_severity4),"Flagged",""),"No target")</f>
        <v>No target</v>
      </c>
      <c r="AM412" s="68" t="str">
        <f>IFERROR(IF(AND(tblTarget[[#This Row],[Intercluser Severity]]=3,tblTarget[[#This Row],[Qualifies for exception]]="Flagged",(tblTarget[[#This Row],[Cluster Target]]-tblTarget[[#This Row],[2024 Response capacity up to December]])/tblTarget[[#This Row],[Cluster Target]]&gt;Diff_severity3),"Flagged",""),"No target")</f>
        <v>No target</v>
      </c>
      <c r="AN412" s="81" t="s">
        <v>1099</v>
      </c>
      <c r="AO412" s="81"/>
      <c r="AP412" s="81" t="s">
        <v>15</v>
      </c>
      <c r="AQ412" s="81" t="s">
        <v>1098</v>
      </c>
    </row>
    <row r="413" spans="1:43" ht="15.95" hidden="1" customHeight="1" x14ac:dyDescent="0.2">
      <c r="A413" s="62" t="s">
        <v>850</v>
      </c>
      <c r="B413" s="63" t="s">
        <v>78</v>
      </c>
      <c r="C413" s="64" t="s">
        <v>79</v>
      </c>
      <c r="D413" s="63" t="s">
        <v>92</v>
      </c>
      <c r="E413" s="64" t="s">
        <v>93</v>
      </c>
      <c r="F413" s="65">
        <v>330303</v>
      </c>
      <c r="G413" s="66" t="s">
        <v>437</v>
      </c>
      <c r="H413" s="67">
        <v>0</v>
      </c>
      <c r="I413" s="68">
        <v>3</v>
      </c>
      <c r="J413" s="68">
        <v>4</v>
      </c>
      <c r="K413" s="91">
        <v>0</v>
      </c>
      <c r="L413" s="91">
        <v>0</v>
      </c>
      <c r="M413" s="91">
        <v>0</v>
      </c>
      <c r="N413" s="91">
        <v>0</v>
      </c>
      <c r="O413" s="91">
        <v>0</v>
      </c>
      <c r="P413" s="91">
        <v>0</v>
      </c>
      <c r="Q413" s="85">
        <v>0</v>
      </c>
      <c r="R413" s="68" t="s">
        <v>1107</v>
      </c>
      <c r="S413" s="86">
        <v>0</v>
      </c>
      <c r="T413" s="68">
        <v>0</v>
      </c>
      <c r="U413" s="68">
        <v>0</v>
      </c>
      <c r="V413" s="68">
        <v>0</v>
      </c>
      <c r="W413" s="68">
        <v>0</v>
      </c>
      <c r="X413" s="68">
        <v>0</v>
      </c>
      <c r="Y413" s="68">
        <v>0</v>
      </c>
      <c r="Z413" s="68">
        <v>0</v>
      </c>
      <c r="AA413" s="68">
        <v>0</v>
      </c>
      <c r="AB413" s="69">
        <v>0</v>
      </c>
      <c r="AC413" s="69">
        <v>0</v>
      </c>
      <c r="AD413" s="70">
        <f>IFERROR(tblTarget[[#This Row],[Cluster Target]]/tblTarget[[#This Row],[Cluster PiN]],0)</f>
        <v>0</v>
      </c>
      <c r="AE413" s="79">
        <f>_xlfn.XLOOKUP(tblTarget[[#This Row],[ID]],tblResponse[ID],tblResponse[2024 Projected reached (Dec 2024)])</f>
        <v>0</v>
      </c>
      <c r="AF413" s="79">
        <f>_xlfn.XLOOKUP(tblTarget[[#This Row],[ID]],tblResponse[ID],tblResponse[2024 Intercluster reached -August RPM])</f>
        <v>0</v>
      </c>
      <c r="AG413" s="79">
        <v>1</v>
      </c>
      <c r="AH413" s="79"/>
      <c r="AI413" s="79"/>
      <c r="AJ413" s="70" t="str">
        <f>IF(tblTarget[[#This Row],[Target to PiN (%)]]&gt;Targ_vs_PiN,"Flagged","")</f>
        <v/>
      </c>
      <c r="AK413" s="69" t="str">
        <f>IF(AND(tblTarget[[#This Row],[Qualifies for exception]]="Flagged",tblTarget[[#This Row],[Target to PiN (%)]]&gt;Targ_severity5),"Flagged","")</f>
        <v/>
      </c>
      <c r="AL413" s="68" t="str">
        <f>IFERROR(IF(AND(tblTarget[[#This Row],[Intercluser Severity]]=4,tblTarget[[#This Row],[Qualifies for exception]]="Flagged",(tblTarget[[#This Row],[Cluster Target]]-tblTarget[[#This Row],[2024 Response capacity up to December]])/tblTarget[[#This Row],[Cluster Target]]&gt;Diff_severity4),"Flagged",""),"No target")</f>
        <v>No target</v>
      </c>
      <c r="AM413" s="68" t="str">
        <f>IFERROR(IF(AND(tblTarget[[#This Row],[Intercluser Severity]]=3,tblTarget[[#This Row],[Qualifies for exception]]="Flagged",(tblTarget[[#This Row],[Cluster Target]]-tblTarget[[#This Row],[2024 Response capacity up to December]])/tblTarget[[#This Row],[Cluster Target]]&gt;Diff_severity3),"Flagged",""),"No target")</f>
        <v>No target</v>
      </c>
      <c r="AN413" s="81" t="s">
        <v>1099</v>
      </c>
      <c r="AO413" s="81"/>
      <c r="AP413" s="81" t="s">
        <v>1099</v>
      </c>
      <c r="AQ413" s="81" t="s">
        <v>1107</v>
      </c>
    </row>
    <row r="414" spans="1:43" ht="15.95" hidden="1" customHeight="1" x14ac:dyDescent="0.2">
      <c r="A414" s="62" t="s">
        <v>851</v>
      </c>
      <c r="B414" s="63" t="s">
        <v>78</v>
      </c>
      <c r="C414" s="64" t="s">
        <v>79</v>
      </c>
      <c r="D414" s="63" t="s">
        <v>94</v>
      </c>
      <c r="E414" s="64" t="s">
        <v>95</v>
      </c>
      <c r="F414" s="65">
        <v>40368</v>
      </c>
      <c r="G414" s="66" t="s">
        <v>437</v>
      </c>
      <c r="H414" s="67">
        <v>3770</v>
      </c>
      <c r="I414" s="68">
        <v>3</v>
      </c>
      <c r="J414" s="68">
        <v>4</v>
      </c>
      <c r="K414" s="91">
        <v>19.079999999999998</v>
      </c>
      <c r="L414" s="91">
        <v>9.1197165236851916</v>
      </c>
      <c r="M414" s="91">
        <v>9.9602834763148067</v>
      </c>
      <c r="N414" s="91">
        <v>9.5399999999999991</v>
      </c>
      <c r="O414" s="91">
        <v>8.3951999999999991</v>
      </c>
      <c r="P414" s="91">
        <v>1.1447999999999998</v>
      </c>
      <c r="Q414" s="85">
        <v>2.8619999999999997</v>
      </c>
      <c r="R414" s="68" t="s">
        <v>1107</v>
      </c>
      <c r="S414" s="86">
        <v>3</v>
      </c>
      <c r="T414" s="68">
        <v>1</v>
      </c>
      <c r="U414" s="68">
        <v>0</v>
      </c>
      <c r="V414" s="68">
        <v>0</v>
      </c>
      <c r="W414" s="68">
        <v>0</v>
      </c>
      <c r="X414" s="68">
        <v>0</v>
      </c>
      <c r="Y414" s="68">
        <v>1</v>
      </c>
      <c r="Z414" s="68">
        <v>0</v>
      </c>
      <c r="AA414" s="68">
        <v>0</v>
      </c>
      <c r="AB414" s="69">
        <v>0</v>
      </c>
      <c r="AC414" s="69">
        <v>0</v>
      </c>
      <c r="AD414" s="70">
        <f>IFERROR(tblTarget[[#This Row],[Cluster Target]]/tblTarget[[#This Row],[Cluster PiN]],0)</f>
        <v>5.061007957559681E-3</v>
      </c>
      <c r="AE414" s="79">
        <f>_xlfn.XLOOKUP(tblTarget[[#This Row],[ID]],tblResponse[ID],tblResponse[2024 Projected reached (Dec 2024)])</f>
        <v>0</v>
      </c>
      <c r="AF414" s="79">
        <f>_xlfn.XLOOKUP(tblTarget[[#This Row],[ID]],tblResponse[ID],tblResponse[2024 Intercluster reached -August RPM])</f>
        <v>70.528730679703216</v>
      </c>
      <c r="AG414" s="79">
        <v>1</v>
      </c>
      <c r="AH414" s="79"/>
      <c r="AI414" s="79"/>
      <c r="AJ414" s="70" t="str">
        <f>IF(tblTarget[[#This Row],[Target to PiN (%)]]&gt;Targ_vs_PiN,"Flagged","")</f>
        <v/>
      </c>
      <c r="AK414" s="69" t="str">
        <f>IF(AND(tblTarget[[#This Row],[Qualifies for exception]]="Flagged",tblTarget[[#This Row],[Target to PiN (%)]]&gt;Targ_severity5),"Flagged","")</f>
        <v/>
      </c>
      <c r="AL414" s="68" t="str">
        <f>IFERROR(IF(AND(tblTarget[[#This Row],[Intercluser Severity]]=4,tblTarget[[#This Row],[Qualifies for exception]]="Flagged",(tblTarget[[#This Row],[Cluster Target]]-tblTarget[[#This Row],[2024 Response capacity up to December]])/tblTarget[[#This Row],[Cluster Target]]&gt;Diff_severity4),"Flagged",""),"No target")</f>
        <v>Flagged</v>
      </c>
      <c r="AM414" s="68" t="str">
        <f>IFERROR(IF(AND(tblTarget[[#This Row],[Intercluser Severity]]=3,tblTarget[[#This Row],[Qualifies for exception]]="Flagged",(tblTarget[[#This Row],[Cluster Target]]-tblTarget[[#This Row],[2024 Response capacity up to December]])/tblTarget[[#This Row],[Cluster Target]]&gt;Diff_severity3),"Flagged",""),"No target")</f>
        <v/>
      </c>
      <c r="AN414" s="81" t="s">
        <v>1099</v>
      </c>
      <c r="AO414" s="81"/>
      <c r="AP414" s="81" t="s">
        <v>1099</v>
      </c>
      <c r="AQ414" s="81" t="s">
        <v>1107</v>
      </c>
    </row>
    <row r="415" spans="1:43" ht="15.95" customHeight="1" x14ac:dyDescent="0.2">
      <c r="A415" s="62" t="s">
        <v>852</v>
      </c>
      <c r="B415" s="63" t="s">
        <v>78</v>
      </c>
      <c r="C415" s="64" t="s">
        <v>79</v>
      </c>
      <c r="D415" s="63" t="s">
        <v>96</v>
      </c>
      <c r="E415" s="64" t="s">
        <v>97</v>
      </c>
      <c r="F415" s="65">
        <v>0</v>
      </c>
      <c r="G415" s="66" t="s">
        <v>437</v>
      </c>
      <c r="H415" s="67">
        <v>0</v>
      </c>
      <c r="I415" s="68">
        <v>3</v>
      </c>
      <c r="J415" s="68">
        <v>4</v>
      </c>
      <c r="K415" s="91">
        <v>0</v>
      </c>
      <c r="L415" s="91">
        <v>0</v>
      </c>
      <c r="M415" s="91">
        <v>0</v>
      </c>
      <c r="N415" s="91">
        <v>0</v>
      </c>
      <c r="O415" s="91">
        <v>0</v>
      </c>
      <c r="P415" s="91">
        <v>0</v>
      </c>
      <c r="Q415" s="85">
        <v>0</v>
      </c>
      <c r="R415" s="68" t="s">
        <v>15</v>
      </c>
      <c r="S415" s="86">
        <v>0</v>
      </c>
      <c r="T415" s="68">
        <v>0</v>
      </c>
      <c r="U415" s="68">
        <v>0</v>
      </c>
      <c r="V415" s="68">
        <v>0</v>
      </c>
      <c r="W415" s="68">
        <v>0</v>
      </c>
      <c r="X415" s="68">
        <v>0</v>
      </c>
      <c r="Y415" s="68">
        <v>0</v>
      </c>
      <c r="Z415" s="68">
        <v>0</v>
      </c>
      <c r="AA415" s="68">
        <v>0</v>
      </c>
      <c r="AB415" s="69">
        <v>0</v>
      </c>
      <c r="AC415" s="69">
        <v>0</v>
      </c>
      <c r="AD415" s="70">
        <f>IFERROR(tblTarget[[#This Row],[Cluster Target]]/tblTarget[[#This Row],[Cluster PiN]],0)</f>
        <v>0</v>
      </c>
      <c r="AE415" s="79">
        <f>_xlfn.XLOOKUP(tblTarget[[#This Row],[ID]],tblResponse[ID],tblResponse[2024 Projected reached (Dec 2024)])</f>
        <v>0</v>
      </c>
      <c r="AF415" s="79">
        <f>_xlfn.XLOOKUP(tblTarget[[#This Row],[ID]],tblResponse[ID],tblResponse[2024 Intercluster reached -August RPM])</f>
        <v>68.414952765706204</v>
      </c>
      <c r="AG415" s="79">
        <v>1</v>
      </c>
      <c r="AH415" s="79"/>
      <c r="AI415" s="79"/>
      <c r="AJ415" s="70" t="str">
        <f>IF(tblTarget[[#This Row],[Target to PiN (%)]]&gt;Targ_vs_PiN,"Flagged","")</f>
        <v/>
      </c>
      <c r="AK415" s="69" t="str">
        <f>IF(AND(tblTarget[[#This Row],[Qualifies for exception]]="Flagged",tblTarget[[#This Row],[Target to PiN (%)]]&gt;Targ_severity5),"Flagged","")</f>
        <v/>
      </c>
      <c r="AL415" s="68" t="str">
        <f>IFERROR(IF(AND(tblTarget[[#This Row],[Intercluser Severity]]=4,tblTarget[[#This Row],[Qualifies for exception]]="Flagged",(tblTarget[[#This Row],[Cluster Target]]-tblTarget[[#This Row],[2024 Response capacity up to December]])/tblTarget[[#This Row],[Cluster Target]]&gt;Diff_severity4),"Flagged",""),"No target")</f>
        <v>No target</v>
      </c>
      <c r="AM415" s="68" t="str">
        <f>IFERROR(IF(AND(tblTarget[[#This Row],[Intercluser Severity]]=3,tblTarget[[#This Row],[Qualifies for exception]]="Flagged",(tblTarget[[#This Row],[Cluster Target]]-tblTarget[[#This Row],[2024 Response capacity up to December]])/tblTarget[[#This Row],[Cluster Target]]&gt;Diff_severity3),"Flagged",""),"No target")</f>
        <v>No target</v>
      </c>
      <c r="AN415" s="81" t="s">
        <v>1099</v>
      </c>
      <c r="AO415" s="81"/>
      <c r="AP415" s="81" t="s">
        <v>15</v>
      </c>
      <c r="AQ415" s="81" t="s">
        <v>1098</v>
      </c>
    </row>
    <row r="416" spans="1:43" ht="15.95" hidden="1" customHeight="1" x14ac:dyDescent="0.2">
      <c r="A416" s="62" t="s">
        <v>853</v>
      </c>
      <c r="B416" s="63" t="s">
        <v>78</v>
      </c>
      <c r="C416" s="64" t="s">
        <v>79</v>
      </c>
      <c r="D416" s="63" t="s">
        <v>98</v>
      </c>
      <c r="E416" s="64" t="s">
        <v>99</v>
      </c>
      <c r="F416" s="65">
        <v>0</v>
      </c>
      <c r="G416" s="66" t="s">
        <v>437</v>
      </c>
      <c r="H416" s="67">
        <v>0</v>
      </c>
      <c r="I416" s="68">
        <v>3</v>
      </c>
      <c r="J416" s="68">
        <v>4</v>
      </c>
      <c r="K416" s="91">
        <v>0</v>
      </c>
      <c r="L416" s="91">
        <v>0</v>
      </c>
      <c r="M416" s="91">
        <v>0</v>
      </c>
      <c r="N416" s="91">
        <v>0</v>
      </c>
      <c r="O416" s="91">
        <v>0</v>
      </c>
      <c r="P416" s="91">
        <v>0</v>
      </c>
      <c r="Q416" s="85">
        <v>0</v>
      </c>
      <c r="R416" s="68" t="s">
        <v>1107</v>
      </c>
      <c r="S416" s="86">
        <v>0</v>
      </c>
      <c r="T416" s="68">
        <v>0</v>
      </c>
      <c r="U416" s="68">
        <v>0</v>
      </c>
      <c r="V416" s="68">
        <v>0</v>
      </c>
      <c r="W416" s="68">
        <v>0</v>
      </c>
      <c r="X416" s="68">
        <v>0</v>
      </c>
      <c r="Y416" s="68">
        <v>0</v>
      </c>
      <c r="Z416" s="68">
        <v>0</v>
      </c>
      <c r="AA416" s="68">
        <v>0</v>
      </c>
      <c r="AB416" s="69">
        <v>0</v>
      </c>
      <c r="AC416" s="69">
        <v>0</v>
      </c>
      <c r="AD416" s="70">
        <f>IFERROR(tblTarget[[#This Row],[Cluster Target]]/tblTarget[[#This Row],[Cluster PiN]],0)</f>
        <v>0</v>
      </c>
      <c r="AE416" s="79">
        <f>_xlfn.XLOOKUP(tblTarget[[#This Row],[ID]],tblResponse[ID],tblResponse[2024 Projected reached (Dec 2024)])</f>
        <v>0</v>
      </c>
      <c r="AF416" s="79">
        <f>_xlfn.XLOOKUP(tblTarget[[#This Row],[ID]],tblResponse[ID],tblResponse[2024 Intercluster reached -August RPM])</f>
        <v>1329.4621075844184</v>
      </c>
      <c r="AG416" s="79">
        <v>2</v>
      </c>
      <c r="AH416" s="79"/>
      <c r="AI416" s="79"/>
      <c r="AJ416" s="70" t="str">
        <f>IF(tblTarget[[#This Row],[Target to PiN (%)]]&gt;Targ_vs_PiN,"Flagged","")</f>
        <v/>
      </c>
      <c r="AK416" s="69" t="str">
        <f>IF(AND(tblTarget[[#This Row],[Qualifies for exception]]="Flagged",tblTarget[[#This Row],[Target to PiN (%)]]&gt;Targ_severity5),"Flagged","")</f>
        <v/>
      </c>
      <c r="AL416" s="68" t="str">
        <f>IFERROR(IF(AND(tblTarget[[#This Row],[Intercluser Severity]]=4,tblTarget[[#This Row],[Qualifies for exception]]="Flagged",(tblTarget[[#This Row],[Cluster Target]]-tblTarget[[#This Row],[2024 Response capacity up to December]])/tblTarget[[#This Row],[Cluster Target]]&gt;Diff_severity4),"Flagged",""),"No target")</f>
        <v>No target</v>
      </c>
      <c r="AM416" s="68" t="str">
        <f>IFERROR(IF(AND(tblTarget[[#This Row],[Intercluser Severity]]=3,tblTarget[[#This Row],[Qualifies for exception]]="Flagged",(tblTarget[[#This Row],[Cluster Target]]-tblTarget[[#This Row],[2024 Response capacity up to December]])/tblTarget[[#This Row],[Cluster Target]]&gt;Diff_severity3),"Flagged",""),"No target")</f>
        <v>No target</v>
      </c>
      <c r="AN416" s="81" t="s">
        <v>1099</v>
      </c>
      <c r="AO416" s="81"/>
      <c r="AP416" s="81" t="s">
        <v>1099</v>
      </c>
      <c r="AQ416" s="81" t="s">
        <v>1107</v>
      </c>
    </row>
    <row r="417" spans="1:43" ht="15.95" customHeight="1" x14ac:dyDescent="0.2">
      <c r="A417" s="62" t="s">
        <v>854</v>
      </c>
      <c r="B417" s="63" t="s">
        <v>78</v>
      </c>
      <c r="C417" s="64" t="s">
        <v>79</v>
      </c>
      <c r="D417" s="63" t="s">
        <v>100</v>
      </c>
      <c r="E417" s="64" t="s">
        <v>101</v>
      </c>
      <c r="F417" s="65">
        <v>6230</v>
      </c>
      <c r="G417" s="66" t="s">
        <v>437</v>
      </c>
      <c r="H417" s="67">
        <v>396</v>
      </c>
      <c r="I417" s="68">
        <v>3</v>
      </c>
      <c r="J417" s="68">
        <v>5</v>
      </c>
      <c r="K417" s="91">
        <v>0</v>
      </c>
      <c r="L417" s="91">
        <v>0</v>
      </c>
      <c r="M417" s="91">
        <v>0</v>
      </c>
      <c r="N417" s="91">
        <v>0</v>
      </c>
      <c r="O417" s="91">
        <v>0</v>
      </c>
      <c r="P417" s="91">
        <v>0</v>
      </c>
      <c r="Q417" s="85">
        <v>0</v>
      </c>
      <c r="R417" s="68" t="s">
        <v>15</v>
      </c>
      <c r="S417" s="86">
        <v>0</v>
      </c>
      <c r="T417" s="68">
        <v>0</v>
      </c>
      <c r="U417" s="68">
        <v>0</v>
      </c>
      <c r="V417" s="68">
        <v>0</v>
      </c>
      <c r="W417" s="68">
        <v>0</v>
      </c>
      <c r="X417" s="68">
        <v>0</v>
      </c>
      <c r="Y417" s="68">
        <v>0</v>
      </c>
      <c r="Z417" s="68">
        <v>0</v>
      </c>
      <c r="AA417" s="68">
        <v>0</v>
      </c>
      <c r="AB417" s="69">
        <v>0</v>
      </c>
      <c r="AC417" s="69">
        <v>0</v>
      </c>
      <c r="AD417" s="70">
        <f>IFERROR(tblTarget[[#This Row],[Cluster Target]]/tblTarget[[#This Row],[Cluster PiN]],0)</f>
        <v>0</v>
      </c>
      <c r="AE417" s="79">
        <f>_xlfn.XLOOKUP(tblTarget[[#This Row],[ID]],tblResponse[ID],tblResponse[2024 Projected reached (Dec 2024)])</f>
        <v>0</v>
      </c>
      <c r="AF417" s="79">
        <f>_xlfn.XLOOKUP(tblTarget[[#This Row],[ID]],tblResponse[ID],tblResponse[2024 Intercluster reached -August RPM])</f>
        <v>83.55377064271299</v>
      </c>
      <c r="AG417" s="79">
        <v>1</v>
      </c>
      <c r="AH417" s="79"/>
      <c r="AI417" s="79"/>
      <c r="AJ417" s="70" t="str">
        <f>IF(tblTarget[[#This Row],[Target to PiN (%)]]&gt;Targ_vs_PiN,"Flagged","")</f>
        <v/>
      </c>
      <c r="AK417" s="69" t="str">
        <f>IF(AND(tblTarget[[#This Row],[Qualifies for exception]]="Flagged",tblTarget[[#This Row],[Target to PiN (%)]]&gt;Targ_severity5),"Flagged","")</f>
        <v/>
      </c>
      <c r="AL417" s="68" t="str">
        <f>IFERROR(IF(AND(tblTarget[[#This Row],[Intercluser Severity]]=4,tblTarget[[#This Row],[Qualifies for exception]]="Flagged",(tblTarget[[#This Row],[Cluster Target]]-tblTarget[[#This Row],[2024 Response capacity up to December]])/tblTarget[[#This Row],[Cluster Target]]&gt;Diff_severity4),"Flagged",""),"No target")</f>
        <v>No target</v>
      </c>
      <c r="AM417" s="68" t="str">
        <f>IFERROR(IF(AND(tblTarget[[#This Row],[Intercluser Severity]]=3,tblTarget[[#This Row],[Qualifies for exception]]="Flagged",(tblTarget[[#This Row],[Cluster Target]]-tblTarget[[#This Row],[2024 Response capacity up to December]])/tblTarget[[#This Row],[Cluster Target]]&gt;Diff_severity3),"Flagged",""),"No target")</f>
        <v>No target</v>
      </c>
      <c r="AN417" s="81" t="s">
        <v>1099</v>
      </c>
      <c r="AO417" s="81"/>
      <c r="AP417" s="81" t="s">
        <v>1099</v>
      </c>
      <c r="AQ417" s="81" t="s">
        <v>1098</v>
      </c>
    </row>
    <row r="418" spans="1:43" ht="15.95" customHeight="1" x14ac:dyDescent="0.2">
      <c r="A418" s="62" t="s">
        <v>855</v>
      </c>
      <c r="B418" s="63" t="s">
        <v>78</v>
      </c>
      <c r="C418" s="64" t="s">
        <v>79</v>
      </c>
      <c r="D418" s="63" t="s">
        <v>102</v>
      </c>
      <c r="E418" s="64" t="s">
        <v>103</v>
      </c>
      <c r="F418" s="65">
        <v>0</v>
      </c>
      <c r="G418" s="66" t="s">
        <v>437</v>
      </c>
      <c r="H418" s="67">
        <v>0</v>
      </c>
      <c r="I418" s="68">
        <v>3</v>
      </c>
      <c r="J418" s="68">
        <v>4</v>
      </c>
      <c r="K418" s="91">
        <v>0</v>
      </c>
      <c r="L418" s="91">
        <v>0</v>
      </c>
      <c r="M418" s="91">
        <v>0</v>
      </c>
      <c r="N418" s="91">
        <v>0</v>
      </c>
      <c r="O418" s="91">
        <v>0</v>
      </c>
      <c r="P418" s="91">
        <v>0</v>
      </c>
      <c r="Q418" s="85">
        <v>0</v>
      </c>
      <c r="R418" s="68" t="s">
        <v>15</v>
      </c>
      <c r="S418" s="86">
        <v>0</v>
      </c>
      <c r="T418" s="68">
        <v>0</v>
      </c>
      <c r="U418" s="68">
        <v>0</v>
      </c>
      <c r="V418" s="68">
        <v>0</v>
      </c>
      <c r="W418" s="68">
        <v>0</v>
      </c>
      <c r="X418" s="68">
        <v>0</v>
      </c>
      <c r="Y418" s="68">
        <v>0</v>
      </c>
      <c r="Z418" s="68">
        <v>0</v>
      </c>
      <c r="AA418" s="68">
        <v>0</v>
      </c>
      <c r="AB418" s="69">
        <v>0</v>
      </c>
      <c r="AC418" s="69">
        <v>0</v>
      </c>
      <c r="AD418" s="70">
        <f>IFERROR(tblTarget[[#This Row],[Cluster Target]]/tblTarget[[#This Row],[Cluster PiN]],0)</f>
        <v>0</v>
      </c>
      <c r="AE418" s="79">
        <f>_xlfn.XLOOKUP(tblTarget[[#This Row],[ID]],tblResponse[ID],tblResponse[2024 Projected reached (Dec 2024)])</f>
        <v>0</v>
      </c>
      <c r="AF418" s="79">
        <f>_xlfn.XLOOKUP(tblTarget[[#This Row],[ID]],tblResponse[ID],tblResponse[2024 Intercluster reached -August RPM])</f>
        <v>0</v>
      </c>
      <c r="AG418" s="79">
        <v>1</v>
      </c>
      <c r="AH418" s="79"/>
      <c r="AI418" s="79"/>
      <c r="AJ418" s="70" t="str">
        <f>IF(tblTarget[[#This Row],[Target to PiN (%)]]&gt;Targ_vs_PiN,"Flagged","")</f>
        <v/>
      </c>
      <c r="AK418" s="69" t="str">
        <f>IF(AND(tblTarget[[#This Row],[Qualifies for exception]]="Flagged",tblTarget[[#This Row],[Target to PiN (%)]]&gt;Targ_severity5),"Flagged","")</f>
        <v/>
      </c>
      <c r="AL418" s="68" t="str">
        <f>IFERROR(IF(AND(tblTarget[[#This Row],[Intercluser Severity]]=4,tblTarget[[#This Row],[Qualifies for exception]]="Flagged",(tblTarget[[#This Row],[Cluster Target]]-tblTarget[[#This Row],[2024 Response capacity up to December]])/tblTarget[[#This Row],[Cluster Target]]&gt;Diff_severity4),"Flagged",""),"No target")</f>
        <v>No target</v>
      </c>
      <c r="AM418" s="68" t="str">
        <f>IFERROR(IF(AND(tblTarget[[#This Row],[Intercluser Severity]]=3,tblTarget[[#This Row],[Qualifies for exception]]="Flagged",(tblTarget[[#This Row],[Cluster Target]]-tblTarget[[#This Row],[2024 Response capacity up to December]])/tblTarget[[#This Row],[Cluster Target]]&gt;Diff_severity3),"Flagged",""),"No target")</f>
        <v>No target</v>
      </c>
      <c r="AN418" s="81" t="s">
        <v>1099</v>
      </c>
      <c r="AO418" s="81"/>
      <c r="AP418" s="81" t="s">
        <v>15</v>
      </c>
      <c r="AQ418" s="81" t="s">
        <v>1098</v>
      </c>
    </row>
    <row r="419" spans="1:43" ht="15.95" hidden="1" customHeight="1" x14ac:dyDescent="0.2">
      <c r="A419" s="62" t="s">
        <v>856</v>
      </c>
      <c r="B419" s="63" t="s">
        <v>78</v>
      </c>
      <c r="C419" s="64" t="s">
        <v>79</v>
      </c>
      <c r="D419" s="63" t="s">
        <v>104</v>
      </c>
      <c r="E419" s="64" t="s">
        <v>105</v>
      </c>
      <c r="F419" s="65">
        <v>214438</v>
      </c>
      <c r="G419" s="66" t="s">
        <v>437</v>
      </c>
      <c r="H419" s="67">
        <v>1627</v>
      </c>
      <c r="I419" s="68">
        <v>3</v>
      </c>
      <c r="J419" s="68">
        <v>4</v>
      </c>
      <c r="K419" s="91">
        <v>40.5</v>
      </c>
      <c r="L419" s="91">
        <v>20.602563000283727</v>
      </c>
      <c r="M419" s="91">
        <v>19.897436999716273</v>
      </c>
      <c r="N419" s="91">
        <v>20.25</v>
      </c>
      <c r="O419" s="91">
        <v>17.82</v>
      </c>
      <c r="P419" s="91">
        <v>2.4299999999999997</v>
      </c>
      <c r="Q419" s="85">
        <v>6.0750000000000002</v>
      </c>
      <c r="R419" s="68" t="s">
        <v>1107</v>
      </c>
      <c r="S419" s="86">
        <v>6</v>
      </c>
      <c r="T419" s="68">
        <v>1</v>
      </c>
      <c r="U419" s="68">
        <v>0</v>
      </c>
      <c r="V419" s="68">
        <v>0</v>
      </c>
      <c r="W419" s="68">
        <v>0</v>
      </c>
      <c r="X419" s="68">
        <v>1</v>
      </c>
      <c r="Y419" s="68">
        <v>3</v>
      </c>
      <c r="Z419" s="68">
        <v>0</v>
      </c>
      <c r="AA419" s="68">
        <v>0</v>
      </c>
      <c r="AB419" s="69">
        <v>0</v>
      </c>
      <c r="AC419" s="69">
        <v>0</v>
      </c>
      <c r="AD419" s="70">
        <f>IFERROR(tblTarget[[#This Row],[Cluster Target]]/tblTarget[[#This Row],[Cluster PiN]],0)</f>
        <v>2.4892440073755379E-2</v>
      </c>
      <c r="AE419" s="79">
        <f>_xlfn.XLOOKUP(tblTarget[[#This Row],[ID]],tblResponse[ID],tblResponse[2024 Projected reached (Dec 2024)])</f>
        <v>0</v>
      </c>
      <c r="AF419" s="79">
        <f>_xlfn.XLOOKUP(tblTarget[[#This Row],[ID]],tblResponse[ID],tblResponse[2024 Intercluster reached -August RPM])</f>
        <v>11.744864606645386</v>
      </c>
      <c r="AG419" s="79">
        <v>1</v>
      </c>
      <c r="AH419" s="79"/>
      <c r="AI419" s="79"/>
      <c r="AJ419" s="70" t="str">
        <f>IF(tblTarget[[#This Row],[Target to PiN (%)]]&gt;Targ_vs_PiN,"Flagged","")</f>
        <v/>
      </c>
      <c r="AK419" s="69" t="str">
        <f>IF(AND(tblTarget[[#This Row],[Qualifies for exception]]="Flagged",tblTarget[[#This Row],[Target to PiN (%)]]&gt;Targ_severity5),"Flagged","")</f>
        <v/>
      </c>
      <c r="AL419" s="68" t="str">
        <f>IFERROR(IF(AND(tblTarget[[#This Row],[Intercluser Severity]]=4,tblTarget[[#This Row],[Qualifies for exception]]="Flagged",(tblTarget[[#This Row],[Cluster Target]]-tblTarget[[#This Row],[2024 Response capacity up to December]])/tblTarget[[#This Row],[Cluster Target]]&gt;Diff_severity4),"Flagged",""),"No target")</f>
        <v>Flagged</v>
      </c>
      <c r="AM419" s="68" t="str">
        <f>IFERROR(IF(AND(tblTarget[[#This Row],[Intercluser Severity]]=3,tblTarget[[#This Row],[Qualifies for exception]]="Flagged",(tblTarget[[#This Row],[Cluster Target]]-tblTarget[[#This Row],[2024 Response capacity up to December]])/tblTarget[[#This Row],[Cluster Target]]&gt;Diff_severity3),"Flagged",""),"No target")</f>
        <v/>
      </c>
      <c r="AN419" s="81" t="s">
        <v>1099</v>
      </c>
      <c r="AO419" s="81"/>
      <c r="AP419" s="81" t="s">
        <v>1099</v>
      </c>
      <c r="AQ419" s="81" t="s">
        <v>1107</v>
      </c>
    </row>
    <row r="420" spans="1:43" ht="15.95" customHeight="1" x14ac:dyDescent="0.2">
      <c r="A420" s="62" t="s">
        <v>857</v>
      </c>
      <c r="B420" s="63" t="s">
        <v>78</v>
      </c>
      <c r="C420" s="64" t="s">
        <v>79</v>
      </c>
      <c r="D420" s="63" t="s">
        <v>106</v>
      </c>
      <c r="E420" s="64" t="s">
        <v>107</v>
      </c>
      <c r="F420" s="65">
        <v>195095</v>
      </c>
      <c r="G420" s="66" t="s">
        <v>437</v>
      </c>
      <c r="H420" s="67">
        <v>46809</v>
      </c>
      <c r="I420" s="68">
        <v>4</v>
      </c>
      <c r="J420" s="68">
        <v>4</v>
      </c>
      <c r="K420" s="91">
        <v>2001.6</v>
      </c>
      <c r="L420" s="91">
        <v>1014.1641979113432</v>
      </c>
      <c r="M420" s="91">
        <v>987.43580208865671</v>
      </c>
      <c r="N420" s="91">
        <v>1000.8</v>
      </c>
      <c r="O420" s="91">
        <v>880.70399999999995</v>
      </c>
      <c r="P420" s="91">
        <v>120.09599999999999</v>
      </c>
      <c r="Q420" s="85">
        <v>300.23999999999995</v>
      </c>
      <c r="R420" s="68" t="s">
        <v>15</v>
      </c>
      <c r="S420" s="86">
        <v>288</v>
      </c>
      <c r="T420" s="68">
        <v>72</v>
      </c>
      <c r="U420" s="68">
        <v>0</v>
      </c>
      <c r="V420" s="68">
        <v>0</v>
      </c>
      <c r="W420" s="68">
        <v>20</v>
      </c>
      <c r="X420" s="68">
        <v>40</v>
      </c>
      <c r="Y420" s="68">
        <v>140</v>
      </c>
      <c r="Z420" s="68">
        <v>0</v>
      </c>
      <c r="AA420" s="68">
        <v>10.014157074397469</v>
      </c>
      <c r="AB420" s="69">
        <v>0</v>
      </c>
      <c r="AC420" s="69">
        <v>0</v>
      </c>
      <c r="AD420" s="70">
        <f>IFERROR(tblTarget[[#This Row],[Cluster Target]]/tblTarget[[#This Row],[Cluster PiN]],0)</f>
        <v>4.2761007498557969E-2</v>
      </c>
      <c r="AE420" s="79">
        <f>_xlfn.XLOOKUP(tblTarget[[#This Row],[ID]],tblResponse[ID],tblResponse[2024 Projected reached (Dec 2024)])</f>
        <v>0</v>
      </c>
      <c r="AF420" s="79">
        <f>_xlfn.XLOOKUP(tblTarget[[#This Row],[ID]],tblResponse[ID],tblResponse[2024 Intercluster reached -August RPM])</f>
        <v>0</v>
      </c>
      <c r="AG420" s="79">
        <v>1</v>
      </c>
      <c r="AH420" s="79"/>
      <c r="AI420" s="79"/>
      <c r="AJ420" s="70" t="str">
        <f>IF(tblTarget[[#This Row],[Target to PiN (%)]]&gt;Targ_vs_PiN,"Flagged","")</f>
        <v/>
      </c>
      <c r="AK420" s="69" t="str">
        <f>IF(AND(tblTarget[[#This Row],[Qualifies for exception]]="Flagged",tblTarget[[#This Row],[Target to PiN (%)]]&gt;Targ_severity5),"Flagged","")</f>
        <v/>
      </c>
      <c r="AL420" s="68" t="str">
        <f>IFERROR(IF(AND(tblTarget[[#This Row],[Intercluser Severity]]=4,tblTarget[[#This Row],[Qualifies for exception]]="Flagged",(tblTarget[[#This Row],[Cluster Target]]-tblTarget[[#This Row],[2024 Response capacity up to December]])/tblTarget[[#This Row],[Cluster Target]]&gt;Diff_severity4),"Flagged",""),"No target")</f>
        <v/>
      </c>
      <c r="AM420" s="68" t="str">
        <f>IFERROR(IF(AND(tblTarget[[#This Row],[Intercluser Severity]]=3,tblTarget[[#This Row],[Qualifies for exception]]="Flagged",(tblTarget[[#This Row],[Cluster Target]]-tblTarget[[#This Row],[2024 Response capacity up to December]])/tblTarget[[#This Row],[Cluster Target]]&gt;Diff_severity3),"Flagged",""),"No target")</f>
        <v/>
      </c>
      <c r="AN420" s="81" t="s">
        <v>1099</v>
      </c>
      <c r="AO420" s="81"/>
      <c r="AP420" s="81" t="s">
        <v>15</v>
      </c>
      <c r="AQ420" s="81" t="s">
        <v>1098</v>
      </c>
    </row>
    <row r="421" spans="1:43" ht="15.95" hidden="1" customHeight="1" x14ac:dyDescent="0.2">
      <c r="A421" s="62" t="s">
        <v>858</v>
      </c>
      <c r="B421" s="63" t="s">
        <v>78</v>
      </c>
      <c r="C421" s="64" t="s">
        <v>79</v>
      </c>
      <c r="D421" s="63" t="s">
        <v>108</v>
      </c>
      <c r="E421" s="64" t="s">
        <v>109</v>
      </c>
      <c r="F421" s="65">
        <v>85750</v>
      </c>
      <c r="G421" s="66" t="s">
        <v>437</v>
      </c>
      <c r="H421" s="67">
        <v>10134</v>
      </c>
      <c r="I421" s="68">
        <v>3</v>
      </c>
      <c r="J421" s="68">
        <v>3</v>
      </c>
      <c r="K421" s="91">
        <v>0</v>
      </c>
      <c r="L421" s="91">
        <v>0</v>
      </c>
      <c r="M421" s="91">
        <v>0</v>
      </c>
      <c r="N421" s="91">
        <v>0</v>
      </c>
      <c r="O421" s="91">
        <v>0</v>
      </c>
      <c r="P421" s="91">
        <v>0</v>
      </c>
      <c r="Q421" s="85">
        <v>0</v>
      </c>
      <c r="R421" s="68" t="s">
        <v>1107</v>
      </c>
      <c r="S421" s="86">
        <v>0</v>
      </c>
      <c r="T421" s="68">
        <v>0</v>
      </c>
      <c r="U421" s="68">
        <v>0</v>
      </c>
      <c r="V421" s="68">
        <v>0</v>
      </c>
      <c r="W421" s="68">
        <v>0</v>
      </c>
      <c r="X421" s="68">
        <v>0</v>
      </c>
      <c r="Y421" s="68">
        <v>0</v>
      </c>
      <c r="Z421" s="68">
        <v>0</v>
      </c>
      <c r="AA421" s="68">
        <v>0</v>
      </c>
      <c r="AB421" s="69">
        <v>0</v>
      </c>
      <c r="AC421" s="69">
        <v>0</v>
      </c>
      <c r="AD421" s="70">
        <f>IFERROR(tblTarget[[#This Row],[Cluster Target]]/tblTarget[[#This Row],[Cluster PiN]],0)</f>
        <v>0</v>
      </c>
      <c r="AE421" s="79">
        <f>_xlfn.XLOOKUP(tblTarget[[#This Row],[ID]],tblResponse[ID],tblResponse[2024 Projected reached (Dec 2024)])</f>
        <v>0</v>
      </c>
      <c r="AF421" s="79">
        <f>_xlfn.XLOOKUP(tblTarget[[#This Row],[ID]],tblResponse[ID],tblResponse[2024 Intercluster reached -August RPM])</f>
        <v>74.428799788627288</v>
      </c>
      <c r="AG421" s="79">
        <v>1</v>
      </c>
      <c r="AH421" s="79"/>
      <c r="AI421" s="79"/>
      <c r="AJ421" s="70" t="str">
        <f>IF(tblTarget[[#This Row],[Target to PiN (%)]]&gt;Targ_vs_PiN,"Flagged","")</f>
        <v/>
      </c>
      <c r="AK421" s="69" t="str">
        <f>IF(AND(tblTarget[[#This Row],[Qualifies for exception]]="Flagged",tblTarget[[#This Row],[Target to PiN (%)]]&gt;Targ_severity5),"Flagged","")</f>
        <v/>
      </c>
      <c r="AL421" s="68" t="str">
        <f>IFERROR(IF(AND(tblTarget[[#This Row],[Intercluser Severity]]=4,tblTarget[[#This Row],[Qualifies for exception]]="Flagged",(tblTarget[[#This Row],[Cluster Target]]-tblTarget[[#This Row],[2024 Response capacity up to December]])/tblTarget[[#This Row],[Cluster Target]]&gt;Diff_severity4),"Flagged",""),"No target")</f>
        <v>No target</v>
      </c>
      <c r="AM421" s="68" t="str">
        <f>IFERROR(IF(AND(tblTarget[[#This Row],[Intercluser Severity]]=3,tblTarget[[#This Row],[Qualifies for exception]]="Flagged",(tblTarget[[#This Row],[Cluster Target]]-tblTarget[[#This Row],[2024 Response capacity up to December]])/tblTarget[[#This Row],[Cluster Target]]&gt;Diff_severity3),"Flagged",""),"No target")</f>
        <v>No target</v>
      </c>
      <c r="AN421" s="81" t="s">
        <v>1099</v>
      </c>
      <c r="AO421" s="81"/>
      <c r="AP421" s="81" t="s">
        <v>1099</v>
      </c>
      <c r="AQ421" s="81" t="s">
        <v>1107</v>
      </c>
    </row>
    <row r="422" spans="1:43" ht="15.95" hidden="1" customHeight="1" x14ac:dyDescent="0.2">
      <c r="A422" s="62" t="s">
        <v>859</v>
      </c>
      <c r="B422" s="63" t="s">
        <v>78</v>
      </c>
      <c r="C422" s="64" t="s">
        <v>79</v>
      </c>
      <c r="D422" s="63" t="s">
        <v>110</v>
      </c>
      <c r="E422" s="64" t="s">
        <v>111</v>
      </c>
      <c r="F422" s="65">
        <v>0</v>
      </c>
      <c r="G422" s="66" t="s">
        <v>437</v>
      </c>
      <c r="H422" s="67">
        <v>0</v>
      </c>
      <c r="I422" s="68">
        <v>3</v>
      </c>
      <c r="J422" s="68">
        <v>4</v>
      </c>
      <c r="K422" s="91">
        <v>0</v>
      </c>
      <c r="L422" s="91">
        <v>0</v>
      </c>
      <c r="M422" s="91">
        <v>0</v>
      </c>
      <c r="N422" s="91">
        <v>0</v>
      </c>
      <c r="O422" s="91">
        <v>0</v>
      </c>
      <c r="P422" s="91">
        <v>0</v>
      </c>
      <c r="Q422" s="85">
        <v>0</v>
      </c>
      <c r="R422" s="68" t="s">
        <v>1107</v>
      </c>
      <c r="S422" s="86">
        <v>0</v>
      </c>
      <c r="T422" s="68">
        <v>0</v>
      </c>
      <c r="U422" s="68">
        <v>0</v>
      </c>
      <c r="V422" s="68">
        <v>0</v>
      </c>
      <c r="W422" s="68">
        <v>0</v>
      </c>
      <c r="X422" s="68">
        <v>0</v>
      </c>
      <c r="Y422" s="68">
        <v>0</v>
      </c>
      <c r="Z422" s="68">
        <v>0</v>
      </c>
      <c r="AA422" s="68">
        <v>0</v>
      </c>
      <c r="AB422" s="69">
        <v>0</v>
      </c>
      <c r="AC422" s="69">
        <v>0</v>
      </c>
      <c r="AD422" s="70">
        <f>IFERROR(tblTarget[[#This Row],[Cluster Target]]/tblTarget[[#This Row],[Cluster PiN]],0)</f>
        <v>0</v>
      </c>
      <c r="AE422" s="79">
        <f>_xlfn.XLOOKUP(tblTarget[[#This Row],[ID]],tblResponse[ID],tblResponse[2024 Projected reached (Dec 2024)])</f>
        <v>0</v>
      </c>
      <c r="AF422" s="79">
        <f>_xlfn.XLOOKUP(tblTarget[[#This Row],[ID]],tblResponse[ID],tblResponse[2024 Intercluster reached -August RPM])</f>
        <v>126.54384540062412</v>
      </c>
      <c r="AG422" s="79">
        <v>1</v>
      </c>
      <c r="AH422" s="79"/>
      <c r="AI422" s="79"/>
      <c r="AJ422" s="70" t="str">
        <f>IF(tblTarget[[#This Row],[Target to PiN (%)]]&gt;Targ_vs_PiN,"Flagged","")</f>
        <v/>
      </c>
      <c r="AK422" s="69" t="str">
        <f>IF(AND(tblTarget[[#This Row],[Qualifies for exception]]="Flagged",tblTarget[[#This Row],[Target to PiN (%)]]&gt;Targ_severity5),"Flagged","")</f>
        <v/>
      </c>
      <c r="AL422" s="68" t="str">
        <f>IFERROR(IF(AND(tblTarget[[#This Row],[Intercluser Severity]]=4,tblTarget[[#This Row],[Qualifies for exception]]="Flagged",(tblTarget[[#This Row],[Cluster Target]]-tblTarget[[#This Row],[2024 Response capacity up to December]])/tblTarget[[#This Row],[Cluster Target]]&gt;Diff_severity4),"Flagged",""),"No target")</f>
        <v>No target</v>
      </c>
      <c r="AM422" s="68" t="str">
        <f>IFERROR(IF(AND(tblTarget[[#This Row],[Intercluser Severity]]=3,tblTarget[[#This Row],[Qualifies for exception]]="Flagged",(tblTarget[[#This Row],[Cluster Target]]-tblTarget[[#This Row],[2024 Response capacity up to December]])/tblTarget[[#This Row],[Cluster Target]]&gt;Diff_severity3),"Flagged",""),"No target")</f>
        <v>No target</v>
      </c>
      <c r="AN422" s="81" t="s">
        <v>1099</v>
      </c>
      <c r="AO422" s="81"/>
      <c r="AP422" s="81" t="s">
        <v>1099</v>
      </c>
      <c r="AQ422" s="81" t="s">
        <v>1107</v>
      </c>
    </row>
    <row r="423" spans="1:43" ht="15.95" customHeight="1" x14ac:dyDescent="0.2">
      <c r="A423" s="62" t="s">
        <v>860</v>
      </c>
      <c r="B423" s="63" t="s">
        <v>78</v>
      </c>
      <c r="C423" s="64" t="s">
        <v>79</v>
      </c>
      <c r="D423" s="63" t="s">
        <v>112</v>
      </c>
      <c r="E423" s="64" t="s">
        <v>113</v>
      </c>
      <c r="F423" s="65">
        <v>0</v>
      </c>
      <c r="G423" s="66" t="s">
        <v>437</v>
      </c>
      <c r="H423" s="67">
        <v>0</v>
      </c>
      <c r="I423" s="68">
        <v>4</v>
      </c>
      <c r="J423" s="68">
        <v>4</v>
      </c>
      <c r="K423" s="91">
        <v>0</v>
      </c>
      <c r="L423" s="91">
        <v>0</v>
      </c>
      <c r="M423" s="91">
        <v>0</v>
      </c>
      <c r="N423" s="91">
        <v>0</v>
      </c>
      <c r="O423" s="91">
        <v>0</v>
      </c>
      <c r="P423" s="91">
        <v>0</v>
      </c>
      <c r="Q423" s="85">
        <v>0</v>
      </c>
      <c r="R423" s="68" t="s">
        <v>15</v>
      </c>
      <c r="S423" s="86">
        <v>0</v>
      </c>
      <c r="T423" s="68">
        <v>0</v>
      </c>
      <c r="U423" s="68">
        <v>0</v>
      </c>
      <c r="V423" s="68">
        <v>0</v>
      </c>
      <c r="W423" s="68">
        <v>0</v>
      </c>
      <c r="X423" s="68">
        <v>0</v>
      </c>
      <c r="Y423" s="68">
        <v>0</v>
      </c>
      <c r="Z423" s="68">
        <v>0</v>
      </c>
      <c r="AA423" s="68">
        <v>0</v>
      </c>
      <c r="AB423" s="69">
        <v>0</v>
      </c>
      <c r="AC423" s="69">
        <v>0</v>
      </c>
      <c r="AD423" s="70">
        <f>IFERROR(tblTarget[[#This Row],[Cluster Target]]/tblTarget[[#This Row],[Cluster PiN]],0)</f>
        <v>0</v>
      </c>
      <c r="AE423" s="79">
        <f>_xlfn.XLOOKUP(tblTarget[[#This Row],[ID]],tblResponse[ID],tblResponse[2024 Projected reached (Dec 2024)])</f>
        <v>0</v>
      </c>
      <c r="AF423" s="79">
        <f>_xlfn.XLOOKUP(tblTarget[[#This Row],[ID]],tblResponse[ID],tblResponse[2024 Intercluster reached -August RPM])</f>
        <v>1872.1224868433001</v>
      </c>
      <c r="AG423" s="79">
        <v>2</v>
      </c>
      <c r="AH423" s="79"/>
      <c r="AI423" s="79"/>
      <c r="AJ423" s="70" t="str">
        <f>IF(tblTarget[[#This Row],[Target to PiN (%)]]&gt;Targ_vs_PiN,"Flagged","")</f>
        <v/>
      </c>
      <c r="AK423" s="69" t="str">
        <f>IF(AND(tblTarget[[#This Row],[Qualifies for exception]]="Flagged",tblTarget[[#This Row],[Target to PiN (%)]]&gt;Targ_severity5),"Flagged","")</f>
        <v/>
      </c>
      <c r="AL423" s="68" t="str">
        <f>IFERROR(IF(AND(tblTarget[[#This Row],[Intercluser Severity]]=4,tblTarget[[#This Row],[Qualifies for exception]]="Flagged",(tblTarget[[#This Row],[Cluster Target]]-tblTarget[[#This Row],[2024 Response capacity up to December]])/tblTarget[[#This Row],[Cluster Target]]&gt;Diff_severity4),"Flagged",""),"No target")</f>
        <v>No target</v>
      </c>
      <c r="AM423" s="68" t="str">
        <f>IFERROR(IF(AND(tblTarget[[#This Row],[Intercluser Severity]]=3,tblTarget[[#This Row],[Qualifies for exception]]="Flagged",(tblTarget[[#This Row],[Cluster Target]]-tblTarget[[#This Row],[2024 Response capacity up to December]])/tblTarget[[#This Row],[Cluster Target]]&gt;Diff_severity3),"Flagged",""),"No target")</f>
        <v>No target</v>
      </c>
      <c r="AN423" s="81" t="s">
        <v>15</v>
      </c>
      <c r="AO423" s="81"/>
      <c r="AP423" s="81" t="s">
        <v>1099</v>
      </c>
      <c r="AQ423" s="81" t="s">
        <v>1098</v>
      </c>
    </row>
    <row r="424" spans="1:43" ht="15.95" customHeight="1" x14ac:dyDescent="0.2">
      <c r="A424" s="62" t="s">
        <v>861</v>
      </c>
      <c r="B424" s="63" t="s">
        <v>78</v>
      </c>
      <c r="C424" s="64" t="s">
        <v>79</v>
      </c>
      <c r="D424" s="63" t="s">
        <v>114</v>
      </c>
      <c r="E424" s="64" t="s">
        <v>115</v>
      </c>
      <c r="F424" s="65">
        <v>0</v>
      </c>
      <c r="G424" s="66" t="s">
        <v>437</v>
      </c>
      <c r="H424" s="67">
        <v>0</v>
      </c>
      <c r="I424" s="68">
        <v>4</v>
      </c>
      <c r="J424" s="68">
        <v>5</v>
      </c>
      <c r="K424" s="91">
        <v>0</v>
      </c>
      <c r="L424" s="91">
        <v>0</v>
      </c>
      <c r="M424" s="91">
        <v>0</v>
      </c>
      <c r="N424" s="91">
        <v>0</v>
      </c>
      <c r="O424" s="91">
        <v>0</v>
      </c>
      <c r="P424" s="91">
        <v>0</v>
      </c>
      <c r="Q424" s="85">
        <v>0</v>
      </c>
      <c r="R424" s="68" t="s">
        <v>15</v>
      </c>
      <c r="S424" s="86">
        <v>0</v>
      </c>
      <c r="T424" s="68">
        <v>0</v>
      </c>
      <c r="U424" s="68">
        <v>0</v>
      </c>
      <c r="V424" s="68">
        <v>0</v>
      </c>
      <c r="W424" s="68">
        <v>0</v>
      </c>
      <c r="X424" s="68">
        <v>0</v>
      </c>
      <c r="Y424" s="68">
        <v>0</v>
      </c>
      <c r="Z424" s="68">
        <v>0</v>
      </c>
      <c r="AA424" s="68">
        <v>0</v>
      </c>
      <c r="AB424" s="69">
        <v>0</v>
      </c>
      <c r="AC424" s="69">
        <v>0</v>
      </c>
      <c r="AD424" s="70">
        <f>IFERROR(tblTarget[[#This Row],[Cluster Target]]/tblTarget[[#This Row],[Cluster PiN]],0)</f>
        <v>0</v>
      </c>
      <c r="AE424" s="79">
        <f>_xlfn.XLOOKUP(tblTarget[[#This Row],[ID]],tblResponse[ID],tblResponse[2024 Projected reached (Dec 2024)])</f>
        <v>0</v>
      </c>
      <c r="AF424" s="79">
        <f>_xlfn.XLOOKUP(tblTarget[[#This Row],[ID]],tblResponse[ID],tblResponse[2024 Intercluster reached -August RPM])</f>
        <v>352.62876763855837</v>
      </c>
      <c r="AG424" s="79">
        <v>3</v>
      </c>
      <c r="AH424" s="79"/>
      <c r="AI424" s="79"/>
      <c r="AJ424" s="70" t="str">
        <f>IF(tblTarget[[#This Row],[Target to PiN (%)]]&gt;Targ_vs_PiN,"Flagged","")</f>
        <v/>
      </c>
      <c r="AK424" s="69" t="str">
        <f>IF(AND(tblTarget[[#This Row],[Qualifies for exception]]="Flagged",tblTarget[[#This Row],[Target to PiN (%)]]&gt;Targ_severity5),"Flagged","")</f>
        <v/>
      </c>
      <c r="AL424" s="68" t="str">
        <f>IFERROR(IF(AND(tblTarget[[#This Row],[Intercluser Severity]]=4,tblTarget[[#This Row],[Qualifies for exception]]="Flagged",(tblTarget[[#This Row],[Cluster Target]]-tblTarget[[#This Row],[2024 Response capacity up to December]])/tblTarget[[#This Row],[Cluster Target]]&gt;Diff_severity4),"Flagged",""),"No target")</f>
        <v>No target</v>
      </c>
      <c r="AM424" s="68" t="str">
        <f>IFERROR(IF(AND(tblTarget[[#This Row],[Intercluser Severity]]=3,tblTarget[[#This Row],[Qualifies for exception]]="Flagged",(tblTarget[[#This Row],[Cluster Target]]-tblTarget[[#This Row],[2024 Response capacity up to December]])/tblTarget[[#This Row],[Cluster Target]]&gt;Diff_severity3),"Flagged",""),"No target")</f>
        <v>No target</v>
      </c>
      <c r="AN424" s="81" t="s">
        <v>15</v>
      </c>
      <c r="AO424" s="81"/>
      <c r="AP424" s="81" t="s">
        <v>1099</v>
      </c>
      <c r="AQ424" s="81" t="s">
        <v>1098</v>
      </c>
    </row>
    <row r="425" spans="1:43" ht="15.95" hidden="1" customHeight="1" x14ac:dyDescent="0.2">
      <c r="A425" s="62" t="s">
        <v>862</v>
      </c>
      <c r="B425" s="63" t="s">
        <v>78</v>
      </c>
      <c r="C425" s="64" t="s">
        <v>79</v>
      </c>
      <c r="D425" s="63" t="s">
        <v>116</v>
      </c>
      <c r="E425" s="64" t="s">
        <v>117</v>
      </c>
      <c r="F425" s="65">
        <v>74097</v>
      </c>
      <c r="G425" s="66" t="s">
        <v>437</v>
      </c>
      <c r="H425" s="67">
        <v>4037</v>
      </c>
      <c r="I425" s="68">
        <v>3</v>
      </c>
      <c r="J425" s="68">
        <v>4</v>
      </c>
      <c r="K425" s="91">
        <v>355.14</v>
      </c>
      <c r="L425" s="91">
        <v>179.15418220024955</v>
      </c>
      <c r="M425" s="91">
        <v>175.98581779975046</v>
      </c>
      <c r="N425" s="91">
        <v>177.57</v>
      </c>
      <c r="O425" s="91">
        <v>156.26159999999999</v>
      </c>
      <c r="P425" s="91">
        <v>21.308399999999999</v>
      </c>
      <c r="Q425" s="85">
        <v>53.270999999999994</v>
      </c>
      <c r="R425" s="68" t="s">
        <v>1107</v>
      </c>
      <c r="S425" s="86">
        <v>51</v>
      </c>
      <c r="T425" s="68">
        <v>13</v>
      </c>
      <c r="U425" s="68">
        <v>0</v>
      </c>
      <c r="V425" s="68">
        <v>0</v>
      </c>
      <c r="W425" s="68">
        <v>4</v>
      </c>
      <c r="X425" s="68">
        <v>7</v>
      </c>
      <c r="Y425" s="68">
        <v>25</v>
      </c>
      <c r="Z425" s="68">
        <v>0</v>
      </c>
      <c r="AA425" s="68">
        <v>0</v>
      </c>
      <c r="AB425" s="69">
        <v>0</v>
      </c>
      <c r="AC425" s="69">
        <v>0</v>
      </c>
      <c r="AD425" s="70">
        <f>IFERROR(tblTarget[[#This Row],[Cluster Target]]/tblTarget[[#This Row],[Cluster PiN]],0)</f>
        <v>8.7971265791429276E-2</v>
      </c>
      <c r="AE425" s="79">
        <f>_xlfn.XLOOKUP(tblTarget[[#This Row],[ID]],tblResponse[ID],tblResponse[2024 Projected reached (Dec 2024)])</f>
        <v>0</v>
      </c>
      <c r="AF425" s="79">
        <f>_xlfn.XLOOKUP(tblTarget[[#This Row],[ID]],tblResponse[ID],tblResponse[2024 Intercluster reached -August RPM])</f>
        <v>507.12807023979093</v>
      </c>
      <c r="AG425" s="79">
        <v>3</v>
      </c>
      <c r="AH425" s="79"/>
      <c r="AI425" s="79"/>
      <c r="AJ425" s="70" t="str">
        <f>IF(tblTarget[[#This Row],[Target to PiN (%)]]&gt;Targ_vs_PiN,"Flagged","")</f>
        <v/>
      </c>
      <c r="AK425" s="69" t="str">
        <f>IF(AND(tblTarget[[#This Row],[Qualifies for exception]]="Flagged",tblTarget[[#This Row],[Target to PiN (%)]]&gt;Targ_severity5),"Flagged","")</f>
        <v/>
      </c>
      <c r="AL425" s="68" t="str">
        <f>IFERROR(IF(AND(tblTarget[[#This Row],[Intercluser Severity]]=4,tblTarget[[#This Row],[Qualifies for exception]]="Flagged",(tblTarget[[#This Row],[Cluster Target]]-tblTarget[[#This Row],[2024 Response capacity up to December]])/tblTarget[[#This Row],[Cluster Target]]&gt;Diff_severity4),"Flagged",""),"No target")</f>
        <v>Flagged</v>
      </c>
      <c r="AM425" s="68" t="str">
        <f>IFERROR(IF(AND(tblTarget[[#This Row],[Intercluser Severity]]=3,tblTarget[[#This Row],[Qualifies for exception]]="Flagged",(tblTarget[[#This Row],[Cluster Target]]-tblTarget[[#This Row],[2024 Response capacity up to December]])/tblTarget[[#This Row],[Cluster Target]]&gt;Diff_severity3),"Flagged",""),"No target")</f>
        <v/>
      </c>
      <c r="AN425" s="81" t="s">
        <v>1099</v>
      </c>
      <c r="AO425" s="81"/>
      <c r="AP425" s="81" t="s">
        <v>1099</v>
      </c>
      <c r="AQ425" s="81" t="s">
        <v>1107</v>
      </c>
    </row>
    <row r="426" spans="1:43" ht="15.95" customHeight="1" x14ac:dyDescent="0.2">
      <c r="A426" s="62" t="s">
        <v>863</v>
      </c>
      <c r="B426" s="63" t="s">
        <v>78</v>
      </c>
      <c r="C426" s="64" t="s">
        <v>79</v>
      </c>
      <c r="D426" s="63" t="s">
        <v>118</v>
      </c>
      <c r="E426" s="64" t="s">
        <v>119</v>
      </c>
      <c r="F426" s="65">
        <v>0</v>
      </c>
      <c r="G426" s="66" t="s">
        <v>437</v>
      </c>
      <c r="H426" s="67">
        <v>0</v>
      </c>
      <c r="I426" s="68">
        <v>3</v>
      </c>
      <c r="J426" s="68">
        <v>4</v>
      </c>
      <c r="K426" s="91">
        <v>0</v>
      </c>
      <c r="L426" s="91">
        <v>0</v>
      </c>
      <c r="M426" s="91">
        <v>0</v>
      </c>
      <c r="N426" s="91">
        <v>0</v>
      </c>
      <c r="O426" s="91">
        <v>0</v>
      </c>
      <c r="P426" s="91">
        <v>0</v>
      </c>
      <c r="Q426" s="85">
        <v>0</v>
      </c>
      <c r="R426" s="68" t="s">
        <v>15</v>
      </c>
      <c r="S426" s="86">
        <v>0</v>
      </c>
      <c r="T426" s="68">
        <v>0</v>
      </c>
      <c r="U426" s="68">
        <v>0</v>
      </c>
      <c r="V426" s="68">
        <v>0</v>
      </c>
      <c r="W426" s="68">
        <v>0</v>
      </c>
      <c r="X426" s="68">
        <v>0</v>
      </c>
      <c r="Y426" s="68">
        <v>0</v>
      </c>
      <c r="Z426" s="68">
        <v>0</v>
      </c>
      <c r="AA426" s="68">
        <v>0</v>
      </c>
      <c r="AB426" s="69">
        <v>0</v>
      </c>
      <c r="AC426" s="69">
        <v>0</v>
      </c>
      <c r="AD426" s="70">
        <f>IFERROR(tblTarget[[#This Row],[Cluster Target]]/tblTarget[[#This Row],[Cluster PiN]],0)</f>
        <v>0</v>
      </c>
      <c r="AE426" s="79">
        <f>_xlfn.XLOOKUP(tblTarget[[#This Row],[ID]],tblResponse[ID],tblResponse[2024 Projected reached (Dec 2024)])</f>
        <v>0</v>
      </c>
      <c r="AF426" s="79">
        <f>_xlfn.XLOOKUP(tblTarget[[#This Row],[ID]],tblResponse[ID],tblResponse[2024 Intercluster reached -August RPM])</f>
        <v>220.83024897285716</v>
      </c>
      <c r="AG426" s="79">
        <v>4</v>
      </c>
      <c r="AH426" s="79"/>
      <c r="AI426" s="79"/>
      <c r="AJ426" s="70" t="str">
        <f>IF(tblTarget[[#This Row],[Target to PiN (%)]]&gt;Targ_vs_PiN,"Flagged","")</f>
        <v/>
      </c>
      <c r="AK426" s="69" t="str">
        <f>IF(AND(tblTarget[[#This Row],[Qualifies for exception]]="Flagged",tblTarget[[#This Row],[Target to PiN (%)]]&gt;Targ_severity5),"Flagged","")</f>
        <v/>
      </c>
      <c r="AL426" s="68" t="str">
        <f>IFERROR(IF(AND(tblTarget[[#This Row],[Intercluser Severity]]=4,tblTarget[[#This Row],[Qualifies for exception]]="Flagged",(tblTarget[[#This Row],[Cluster Target]]-tblTarget[[#This Row],[2024 Response capacity up to December]])/tblTarget[[#This Row],[Cluster Target]]&gt;Diff_severity4),"Flagged",""),"No target")</f>
        <v>No target</v>
      </c>
      <c r="AM426" s="68" t="str">
        <f>IFERROR(IF(AND(tblTarget[[#This Row],[Intercluser Severity]]=3,tblTarget[[#This Row],[Qualifies for exception]]="Flagged",(tblTarget[[#This Row],[Cluster Target]]-tblTarget[[#This Row],[2024 Response capacity up to December]])/tblTarget[[#This Row],[Cluster Target]]&gt;Diff_severity3),"Flagged",""),"No target")</f>
        <v>No target</v>
      </c>
      <c r="AN426" s="81" t="s">
        <v>15</v>
      </c>
      <c r="AO426" s="81"/>
      <c r="AP426" s="81" t="s">
        <v>1099</v>
      </c>
      <c r="AQ426" s="81" t="s">
        <v>1098</v>
      </c>
    </row>
    <row r="427" spans="1:43" ht="15.95" hidden="1" customHeight="1" x14ac:dyDescent="0.2">
      <c r="A427" s="62" t="s">
        <v>864</v>
      </c>
      <c r="B427" s="63" t="s">
        <v>78</v>
      </c>
      <c r="C427" s="64" t="s">
        <v>79</v>
      </c>
      <c r="D427" s="63" t="s">
        <v>120</v>
      </c>
      <c r="E427" s="64" t="s">
        <v>121</v>
      </c>
      <c r="F427" s="65">
        <v>162828</v>
      </c>
      <c r="G427" s="66" t="s">
        <v>437</v>
      </c>
      <c r="H427" s="67">
        <v>4862</v>
      </c>
      <c r="I427" s="68">
        <v>3</v>
      </c>
      <c r="J427" s="68">
        <v>3</v>
      </c>
      <c r="K427" s="91">
        <v>0</v>
      </c>
      <c r="L427" s="91">
        <v>0</v>
      </c>
      <c r="M427" s="91">
        <v>0</v>
      </c>
      <c r="N427" s="91">
        <v>0</v>
      </c>
      <c r="O427" s="91">
        <v>0</v>
      </c>
      <c r="P427" s="91">
        <v>0</v>
      </c>
      <c r="Q427" s="85">
        <v>0</v>
      </c>
      <c r="R427" s="68" t="s">
        <v>1107</v>
      </c>
      <c r="S427" s="86">
        <v>0</v>
      </c>
      <c r="T427" s="68">
        <v>0</v>
      </c>
      <c r="U427" s="68">
        <v>0</v>
      </c>
      <c r="V427" s="68">
        <v>0</v>
      </c>
      <c r="W427" s="68">
        <v>0</v>
      </c>
      <c r="X427" s="68">
        <v>0</v>
      </c>
      <c r="Y427" s="68">
        <v>0</v>
      </c>
      <c r="Z427" s="68">
        <v>0</v>
      </c>
      <c r="AA427" s="68">
        <v>0</v>
      </c>
      <c r="AB427" s="69">
        <v>0</v>
      </c>
      <c r="AC427" s="69">
        <v>0</v>
      </c>
      <c r="AD427" s="70">
        <f>IFERROR(tblTarget[[#This Row],[Cluster Target]]/tblTarget[[#This Row],[Cluster PiN]],0)</f>
        <v>0</v>
      </c>
      <c r="AE427" s="79">
        <f>_xlfn.XLOOKUP(tblTarget[[#This Row],[ID]],tblResponse[ID],tblResponse[2024 Projected reached (Dec 2024)])</f>
        <v>0</v>
      </c>
      <c r="AF427" s="79">
        <f>_xlfn.XLOOKUP(tblTarget[[#This Row],[ID]],tblResponse[ID],tblResponse[2024 Intercluster reached -August RPM])</f>
        <v>10.286060130788291</v>
      </c>
      <c r="AG427" s="79">
        <v>1</v>
      </c>
      <c r="AH427" s="79"/>
      <c r="AI427" s="79"/>
      <c r="AJ427" s="70" t="str">
        <f>IF(tblTarget[[#This Row],[Target to PiN (%)]]&gt;Targ_vs_PiN,"Flagged","")</f>
        <v/>
      </c>
      <c r="AK427" s="69" t="str">
        <f>IF(AND(tblTarget[[#This Row],[Qualifies for exception]]="Flagged",tblTarget[[#This Row],[Target to PiN (%)]]&gt;Targ_severity5),"Flagged","")</f>
        <v/>
      </c>
      <c r="AL427" s="68" t="str">
        <f>IFERROR(IF(AND(tblTarget[[#This Row],[Intercluser Severity]]=4,tblTarget[[#This Row],[Qualifies for exception]]="Flagged",(tblTarget[[#This Row],[Cluster Target]]-tblTarget[[#This Row],[2024 Response capacity up to December]])/tblTarget[[#This Row],[Cluster Target]]&gt;Diff_severity4),"Flagged",""),"No target")</f>
        <v>No target</v>
      </c>
      <c r="AM427" s="68" t="str">
        <f>IFERROR(IF(AND(tblTarget[[#This Row],[Intercluser Severity]]=3,tblTarget[[#This Row],[Qualifies for exception]]="Flagged",(tblTarget[[#This Row],[Cluster Target]]-tblTarget[[#This Row],[2024 Response capacity up to December]])/tblTarget[[#This Row],[Cluster Target]]&gt;Diff_severity3),"Flagged",""),"No target")</f>
        <v>No target</v>
      </c>
      <c r="AN427" s="81" t="s">
        <v>1099</v>
      </c>
      <c r="AO427" s="81"/>
      <c r="AP427" s="81" t="s">
        <v>1099</v>
      </c>
      <c r="AQ427" s="81" t="s">
        <v>1107</v>
      </c>
    </row>
    <row r="428" spans="1:43" ht="15.95" hidden="1" customHeight="1" x14ac:dyDescent="0.2">
      <c r="A428" s="62" t="s">
        <v>865</v>
      </c>
      <c r="B428" s="63" t="s">
        <v>122</v>
      </c>
      <c r="C428" s="64" t="s">
        <v>123</v>
      </c>
      <c r="D428" s="63" t="s">
        <v>124</v>
      </c>
      <c r="E428" s="64" t="s">
        <v>125</v>
      </c>
      <c r="F428" s="65">
        <v>58928</v>
      </c>
      <c r="G428" s="66" t="s">
        <v>437</v>
      </c>
      <c r="H428" s="67">
        <v>4059</v>
      </c>
      <c r="I428" s="68">
        <v>3</v>
      </c>
      <c r="J428" s="68">
        <v>4</v>
      </c>
      <c r="K428" s="91">
        <v>87.3</v>
      </c>
      <c r="L428" s="91">
        <v>44.455479136602285</v>
      </c>
      <c r="M428" s="91">
        <v>42.844520863397712</v>
      </c>
      <c r="N428" s="91">
        <v>43.65</v>
      </c>
      <c r="O428" s="91">
        <v>38.411999999999999</v>
      </c>
      <c r="P428" s="91">
        <v>5.2379999999999995</v>
      </c>
      <c r="Q428" s="85">
        <v>13.094999999999999</v>
      </c>
      <c r="R428" s="68" t="s">
        <v>1107</v>
      </c>
      <c r="S428" s="86">
        <v>13</v>
      </c>
      <c r="T428" s="68">
        <v>3</v>
      </c>
      <c r="U428" s="68">
        <v>0</v>
      </c>
      <c r="V428" s="68">
        <v>0</v>
      </c>
      <c r="W428" s="68">
        <v>1</v>
      </c>
      <c r="X428" s="68">
        <v>2</v>
      </c>
      <c r="Y428" s="68">
        <v>6</v>
      </c>
      <c r="Z428" s="68">
        <v>0</v>
      </c>
      <c r="AA428" s="68">
        <v>0</v>
      </c>
      <c r="AB428" s="69">
        <v>0</v>
      </c>
      <c r="AC428" s="69">
        <v>0</v>
      </c>
      <c r="AD428" s="70">
        <f>IFERROR(tblTarget[[#This Row],[Cluster Target]]/tblTarget[[#This Row],[Cluster PiN]],0)</f>
        <v>2.1507760532150776E-2</v>
      </c>
      <c r="AE428" s="79">
        <f>_xlfn.XLOOKUP(tblTarget[[#This Row],[ID]],tblResponse[ID],tblResponse[2024 Projected reached (Dec 2024)])</f>
        <v>0</v>
      </c>
      <c r="AF428" s="79">
        <f>_xlfn.XLOOKUP(tblTarget[[#This Row],[ID]],tblResponse[ID],tblResponse[2024 Intercluster reached -August RPM])</f>
        <v>36.261711257019215</v>
      </c>
      <c r="AG428" s="79">
        <v>1</v>
      </c>
      <c r="AH428" s="79"/>
      <c r="AI428" s="79"/>
      <c r="AJ428" s="70" t="str">
        <f>IF(tblTarget[[#This Row],[Target to PiN (%)]]&gt;Targ_vs_PiN,"Flagged","")</f>
        <v/>
      </c>
      <c r="AK428" s="69" t="str">
        <f>IF(AND(tblTarget[[#This Row],[Qualifies for exception]]="Flagged",tblTarget[[#This Row],[Target to PiN (%)]]&gt;Targ_severity5),"Flagged","")</f>
        <v/>
      </c>
      <c r="AL428" s="68" t="str">
        <f>IFERROR(IF(AND(tblTarget[[#This Row],[Intercluser Severity]]=4,tblTarget[[#This Row],[Qualifies for exception]]="Flagged",(tblTarget[[#This Row],[Cluster Target]]-tblTarget[[#This Row],[2024 Response capacity up to December]])/tblTarget[[#This Row],[Cluster Target]]&gt;Diff_severity4),"Flagged",""),"No target")</f>
        <v>Flagged</v>
      </c>
      <c r="AM428" s="68" t="str">
        <f>IFERROR(IF(AND(tblTarget[[#This Row],[Intercluser Severity]]=3,tblTarget[[#This Row],[Qualifies for exception]]="Flagged",(tblTarget[[#This Row],[Cluster Target]]-tblTarget[[#This Row],[2024 Response capacity up to December]])/tblTarget[[#This Row],[Cluster Target]]&gt;Diff_severity3),"Flagged",""),"No target")</f>
        <v/>
      </c>
      <c r="AN428" s="81" t="s">
        <v>1099</v>
      </c>
      <c r="AO428" s="81"/>
      <c r="AP428" s="81" t="s">
        <v>1099</v>
      </c>
      <c r="AQ428" s="81" t="s">
        <v>1107</v>
      </c>
    </row>
    <row r="429" spans="1:43" ht="15.95" hidden="1" customHeight="1" x14ac:dyDescent="0.2">
      <c r="A429" s="62" t="s">
        <v>866</v>
      </c>
      <c r="B429" s="63" t="s">
        <v>122</v>
      </c>
      <c r="C429" s="64" t="s">
        <v>123</v>
      </c>
      <c r="D429" s="63" t="s">
        <v>126</v>
      </c>
      <c r="E429" s="64" t="s">
        <v>127</v>
      </c>
      <c r="F429" s="65">
        <v>54780</v>
      </c>
      <c r="G429" s="66" t="s">
        <v>437</v>
      </c>
      <c r="H429" s="67">
        <v>2721</v>
      </c>
      <c r="I429" s="68">
        <v>3</v>
      </c>
      <c r="J429" s="68">
        <v>4</v>
      </c>
      <c r="K429" s="91">
        <v>544</v>
      </c>
      <c r="L429" s="91">
        <v>269.0943917487798</v>
      </c>
      <c r="M429" s="91">
        <v>274.9056082512202</v>
      </c>
      <c r="N429" s="91">
        <v>272</v>
      </c>
      <c r="O429" s="91">
        <v>239.36</v>
      </c>
      <c r="P429" s="91">
        <v>32.64</v>
      </c>
      <c r="Q429" s="85">
        <v>81.599999999999994</v>
      </c>
      <c r="R429" s="68" t="s">
        <v>1107</v>
      </c>
      <c r="S429" s="86">
        <v>78</v>
      </c>
      <c r="T429" s="68">
        <v>20</v>
      </c>
      <c r="U429" s="68">
        <v>0</v>
      </c>
      <c r="V429" s="68">
        <v>0</v>
      </c>
      <c r="W429" s="68">
        <v>5</v>
      </c>
      <c r="X429" s="68">
        <v>11</v>
      </c>
      <c r="Y429" s="68">
        <v>38</v>
      </c>
      <c r="Z429" s="68">
        <v>0</v>
      </c>
      <c r="AA429" s="68">
        <v>0</v>
      </c>
      <c r="AB429" s="69">
        <v>0</v>
      </c>
      <c r="AC429" s="69">
        <v>0</v>
      </c>
      <c r="AD429" s="70">
        <f>IFERROR(tblTarget[[#This Row],[Cluster Target]]/tblTarget[[#This Row],[Cluster PiN]],0)</f>
        <v>0.19992649761117237</v>
      </c>
      <c r="AE429" s="79">
        <f>_xlfn.XLOOKUP(tblTarget[[#This Row],[ID]],tblResponse[ID],tblResponse[2024 Projected reached (Dec 2024)])</f>
        <v>0</v>
      </c>
      <c r="AF429" s="79">
        <f>_xlfn.XLOOKUP(tblTarget[[#This Row],[ID]],tblResponse[ID],tblResponse[2024 Intercluster reached -August RPM])</f>
        <v>3832.4728729560388</v>
      </c>
      <c r="AG429" s="79">
        <v>5</v>
      </c>
      <c r="AH429" s="79"/>
      <c r="AI429" s="79"/>
      <c r="AJ429" s="70" t="str">
        <f>IF(tblTarget[[#This Row],[Target to PiN (%)]]&gt;Targ_vs_PiN,"Flagged","")</f>
        <v/>
      </c>
      <c r="AK429" s="69" t="str">
        <f>IF(AND(tblTarget[[#This Row],[Qualifies for exception]]="Flagged",tblTarget[[#This Row],[Target to PiN (%)]]&gt;Targ_severity5),"Flagged","")</f>
        <v/>
      </c>
      <c r="AL429" s="68" t="str">
        <f>IFERROR(IF(AND(tblTarget[[#This Row],[Intercluser Severity]]=4,tblTarget[[#This Row],[Qualifies for exception]]="Flagged",(tblTarget[[#This Row],[Cluster Target]]-tblTarget[[#This Row],[2024 Response capacity up to December]])/tblTarget[[#This Row],[Cluster Target]]&gt;Diff_severity4),"Flagged",""),"No target")</f>
        <v>Flagged</v>
      </c>
      <c r="AM429" s="68" t="str">
        <f>IFERROR(IF(AND(tblTarget[[#This Row],[Intercluser Severity]]=3,tblTarget[[#This Row],[Qualifies for exception]]="Flagged",(tblTarget[[#This Row],[Cluster Target]]-tblTarget[[#This Row],[2024 Response capacity up to December]])/tblTarget[[#This Row],[Cluster Target]]&gt;Diff_severity3),"Flagged",""),"No target")</f>
        <v/>
      </c>
      <c r="AN429" s="81" t="s">
        <v>1099</v>
      </c>
      <c r="AO429" s="81"/>
      <c r="AP429" s="81" t="s">
        <v>1099</v>
      </c>
      <c r="AQ429" s="81" t="s">
        <v>1107</v>
      </c>
    </row>
    <row r="430" spans="1:43" ht="15.95" customHeight="1" x14ac:dyDescent="0.2">
      <c r="A430" s="62" t="s">
        <v>867</v>
      </c>
      <c r="B430" s="63" t="s">
        <v>122</v>
      </c>
      <c r="C430" s="64" t="s">
        <v>123</v>
      </c>
      <c r="D430" s="63" t="s">
        <v>128</v>
      </c>
      <c r="E430" s="64" t="s">
        <v>129</v>
      </c>
      <c r="F430" s="65">
        <v>13732</v>
      </c>
      <c r="G430" s="66" t="s">
        <v>437</v>
      </c>
      <c r="H430" s="67">
        <v>3240</v>
      </c>
      <c r="I430" s="68">
        <v>3</v>
      </c>
      <c r="J430" s="68">
        <v>5</v>
      </c>
      <c r="K430" s="91">
        <v>648</v>
      </c>
      <c r="L430" s="91">
        <v>325.03595559845564</v>
      </c>
      <c r="M430" s="91">
        <v>322.96404440154441</v>
      </c>
      <c r="N430" s="91">
        <v>324</v>
      </c>
      <c r="O430" s="91">
        <v>285.12</v>
      </c>
      <c r="P430" s="91">
        <v>38.879999999999995</v>
      </c>
      <c r="Q430" s="85">
        <v>97.2</v>
      </c>
      <c r="R430" s="68" t="s">
        <v>15</v>
      </c>
      <c r="S430" s="86">
        <v>93</v>
      </c>
      <c r="T430" s="68">
        <v>23</v>
      </c>
      <c r="U430" s="68">
        <v>0</v>
      </c>
      <c r="V430" s="68">
        <v>0</v>
      </c>
      <c r="W430" s="68">
        <v>6</v>
      </c>
      <c r="X430" s="68">
        <v>13</v>
      </c>
      <c r="Y430" s="68">
        <v>45</v>
      </c>
      <c r="Z430" s="68">
        <v>0</v>
      </c>
      <c r="AA430" s="68">
        <v>0</v>
      </c>
      <c r="AB430" s="69">
        <v>0</v>
      </c>
      <c r="AC430" s="69">
        <v>0</v>
      </c>
      <c r="AD430" s="70">
        <f>IFERROR(tblTarget[[#This Row],[Cluster Target]]/tblTarget[[#This Row],[Cluster PiN]],0)</f>
        <v>0.2</v>
      </c>
      <c r="AE430" s="79">
        <f>_xlfn.XLOOKUP(tblTarget[[#This Row],[ID]],tblResponse[ID],tblResponse[2024 Projected reached (Dec 2024)])</f>
        <v>0</v>
      </c>
      <c r="AF430" s="79">
        <f>_xlfn.XLOOKUP(tblTarget[[#This Row],[ID]],tblResponse[ID],tblResponse[2024 Intercluster reached -August RPM])</f>
        <v>832.44146835592312</v>
      </c>
      <c r="AG430" s="79">
        <v>3</v>
      </c>
      <c r="AH430" s="79"/>
      <c r="AI430" s="79"/>
      <c r="AJ430" s="70" t="str">
        <f>IF(tblTarget[[#This Row],[Target to PiN (%)]]&gt;Targ_vs_PiN,"Flagged","")</f>
        <v/>
      </c>
      <c r="AK430" s="69" t="str">
        <f>IF(AND(tblTarget[[#This Row],[Qualifies for exception]]="Flagged",tblTarget[[#This Row],[Target to PiN (%)]]&gt;Targ_severity5),"Flagged","")</f>
        <v/>
      </c>
      <c r="AL430" s="68" t="str">
        <f>IFERROR(IF(AND(tblTarget[[#This Row],[Intercluser Severity]]=4,tblTarget[[#This Row],[Qualifies for exception]]="Flagged",(tblTarget[[#This Row],[Cluster Target]]-tblTarget[[#This Row],[2024 Response capacity up to December]])/tblTarget[[#This Row],[Cluster Target]]&gt;Diff_severity4),"Flagged",""),"No target")</f>
        <v/>
      </c>
      <c r="AM430" s="68" t="str">
        <f>IFERROR(IF(AND(tblTarget[[#This Row],[Intercluser Severity]]=3,tblTarget[[#This Row],[Qualifies for exception]]="Flagged",(tblTarget[[#This Row],[Cluster Target]]-tblTarget[[#This Row],[2024 Response capacity up to December]])/tblTarget[[#This Row],[Cluster Target]]&gt;Diff_severity3),"Flagged",""),"No target")</f>
        <v/>
      </c>
      <c r="AN430" s="81" t="s">
        <v>1099</v>
      </c>
      <c r="AO430" s="81"/>
      <c r="AP430" s="81" t="s">
        <v>1099</v>
      </c>
      <c r="AQ430" s="81" t="s">
        <v>1098</v>
      </c>
    </row>
    <row r="431" spans="1:43" ht="15.95" customHeight="1" x14ac:dyDescent="0.2">
      <c r="A431" s="62" t="s">
        <v>868</v>
      </c>
      <c r="B431" s="63" t="s">
        <v>122</v>
      </c>
      <c r="C431" s="64" t="s">
        <v>123</v>
      </c>
      <c r="D431" s="63" t="s">
        <v>130</v>
      </c>
      <c r="E431" s="64" t="s">
        <v>131</v>
      </c>
      <c r="F431" s="65">
        <v>0</v>
      </c>
      <c r="G431" s="66" t="s">
        <v>437</v>
      </c>
      <c r="H431" s="67">
        <v>0</v>
      </c>
      <c r="I431" s="68">
        <v>3</v>
      </c>
      <c r="J431" s="68">
        <v>4</v>
      </c>
      <c r="K431" s="91">
        <v>0</v>
      </c>
      <c r="L431" s="91">
        <v>0</v>
      </c>
      <c r="M431" s="91">
        <v>0</v>
      </c>
      <c r="N431" s="91">
        <v>0</v>
      </c>
      <c r="O431" s="91">
        <v>0</v>
      </c>
      <c r="P431" s="91">
        <v>0</v>
      </c>
      <c r="Q431" s="85">
        <v>0</v>
      </c>
      <c r="R431" s="68" t="s">
        <v>15</v>
      </c>
      <c r="S431" s="86">
        <v>0</v>
      </c>
      <c r="T431" s="68">
        <v>0</v>
      </c>
      <c r="U431" s="68">
        <v>0</v>
      </c>
      <c r="V431" s="68">
        <v>0</v>
      </c>
      <c r="W431" s="68">
        <v>0</v>
      </c>
      <c r="X431" s="68">
        <v>0</v>
      </c>
      <c r="Y431" s="68">
        <v>0</v>
      </c>
      <c r="Z431" s="68">
        <v>0</v>
      </c>
      <c r="AA431" s="68">
        <v>0</v>
      </c>
      <c r="AB431" s="69">
        <v>0</v>
      </c>
      <c r="AC431" s="69">
        <v>0</v>
      </c>
      <c r="AD431" s="70">
        <f>IFERROR(tblTarget[[#This Row],[Cluster Target]]/tblTarget[[#This Row],[Cluster PiN]],0)</f>
        <v>0</v>
      </c>
      <c r="AE431" s="79">
        <f>_xlfn.XLOOKUP(tblTarget[[#This Row],[ID]],tblResponse[ID],tblResponse[2024 Projected reached (Dec 2024)])</f>
        <v>0</v>
      </c>
      <c r="AF431" s="79">
        <f>_xlfn.XLOOKUP(tblTarget[[#This Row],[ID]],tblResponse[ID],tblResponse[2024 Intercluster reached -August RPM])</f>
        <v>434.51533316600614</v>
      </c>
      <c r="AG431" s="79">
        <v>2</v>
      </c>
      <c r="AH431" s="79"/>
      <c r="AI431" s="79"/>
      <c r="AJ431" s="70" t="str">
        <f>IF(tblTarget[[#This Row],[Target to PiN (%)]]&gt;Targ_vs_PiN,"Flagged","")</f>
        <v/>
      </c>
      <c r="AK431" s="69" t="str">
        <f>IF(AND(tblTarget[[#This Row],[Qualifies for exception]]="Flagged",tblTarget[[#This Row],[Target to PiN (%)]]&gt;Targ_severity5),"Flagged","")</f>
        <v/>
      </c>
      <c r="AL431" s="68" t="str">
        <f>IFERROR(IF(AND(tblTarget[[#This Row],[Intercluser Severity]]=4,tblTarget[[#This Row],[Qualifies for exception]]="Flagged",(tblTarget[[#This Row],[Cluster Target]]-tblTarget[[#This Row],[2024 Response capacity up to December]])/tblTarget[[#This Row],[Cluster Target]]&gt;Diff_severity4),"Flagged",""),"No target")</f>
        <v>No target</v>
      </c>
      <c r="AM431" s="68" t="str">
        <f>IFERROR(IF(AND(tblTarget[[#This Row],[Intercluser Severity]]=3,tblTarget[[#This Row],[Qualifies for exception]]="Flagged",(tblTarget[[#This Row],[Cluster Target]]-tblTarget[[#This Row],[2024 Response capacity up to December]])/tblTarget[[#This Row],[Cluster Target]]&gt;Diff_severity3),"Flagged",""),"No target")</f>
        <v>No target</v>
      </c>
      <c r="AN431" s="81" t="s">
        <v>1099</v>
      </c>
      <c r="AO431" s="81"/>
      <c r="AP431" s="81" t="s">
        <v>15</v>
      </c>
      <c r="AQ431" s="81" t="s">
        <v>1098</v>
      </c>
    </row>
    <row r="432" spans="1:43" ht="15.95" customHeight="1" x14ac:dyDescent="0.2">
      <c r="A432" s="62" t="s">
        <v>869</v>
      </c>
      <c r="B432" s="63" t="s">
        <v>122</v>
      </c>
      <c r="C432" s="64" t="s">
        <v>123</v>
      </c>
      <c r="D432" s="63" t="s">
        <v>132</v>
      </c>
      <c r="E432" s="64" t="s">
        <v>133</v>
      </c>
      <c r="F432" s="65">
        <v>0</v>
      </c>
      <c r="G432" s="66" t="s">
        <v>437</v>
      </c>
      <c r="H432" s="67">
        <v>0</v>
      </c>
      <c r="I432" s="68">
        <v>3</v>
      </c>
      <c r="J432" s="68">
        <v>5</v>
      </c>
      <c r="K432" s="91">
        <v>0</v>
      </c>
      <c r="L432" s="91">
        <v>0</v>
      </c>
      <c r="M432" s="91">
        <v>0</v>
      </c>
      <c r="N432" s="91">
        <v>0</v>
      </c>
      <c r="O432" s="91">
        <v>0</v>
      </c>
      <c r="P432" s="91">
        <v>0</v>
      </c>
      <c r="Q432" s="85">
        <v>0</v>
      </c>
      <c r="R432" s="68" t="s">
        <v>15</v>
      </c>
      <c r="S432" s="86">
        <v>0</v>
      </c>
      <c r="T432" s="68">
        <v>0</v>
      </c>
      <c r="U432" s="68">
        <v>0</v>
      </c>
      <c r="V432" s="68">
        <v>0</v>
      </c>
      <c r="W432" s="68">
        <v>0</v>
      </c>
      <c r="X432" s="68">
        <v>0</v>
      </c>
      <c r="Y432" s="68">
        <v>0</v>
      </c>
      <c r="Z432" s="68">
        <v>0</v>
      </c>
      <c r="AA432" s="68">
        <v>0</v>
      </c>
      <c r="AB432" s="69">
        <v>0</v>
      </c>
      <c r="AC432" s="69">
        <v>0</v>
      </c>
      <c r="AD432" s="70">
        <f>IFERROR(tblTarget[[#This Row],[Cluster Target]]/tblTarget[[#This Row],[Cluster PiN]],0)</f>
        <v>0</v>
      </c>
      <c r="AE432" s="79">
        <f>_xlfn.XLOOKUP(tblTarget[[#This Row],[ID]],tblResponse[ID],tblResponse[2024 Projected reached (Dec 2024)])</f>
        <v>0</v>
      </c>
      <c r="AF432" s="79">
        <f>_xlfn.XLOOKUP(tblTarget[[#This Row],[ID]],tblResponse[ID],tblResponse[2024 Intercluster reached -August RPM])</f>
        <v>1001.0078141172062</v>
      </c>
      <c r="AG432" s="79">
        <v>2</v>
      </c>
      <c r="AH432" s="79"/>
      <c r="AI432" s="79"/>
      <c r="AJ432" s="70" t="str">
        <f>IF(tblTarget[[#This Row],[Target to PiN (%)]]&gt;Targ_vs_PiN,"Flagged","")</f>
        <v/>
      </c>
      <c r="AK432" s="69" t="str">
        <f>IF(AND(tblTarget[[#This Row],[Qualifies for exception]]="Flagged",tblTarget[[#This Row],[Target to PiN (%)]]&gt;Targ_severity5),"Flagged","")</f>
        <v/>
      </c>
      <c r="AL432" s="68" t="str">
        <f>IFERROR(IF(AND(tblTarget[[#This Row],[Intercluser Severity]]=4,tblTarget[[#This Row],[Qualifies for exception]]="Flagged",(tblTarget[[#This Row],[Cluster Target]]-tblTarget[[#This Row],[2024 Response capacity up to December]])/tblTarget[[#This Row],[Cluster Target]]&gt;Diff_severity4),"Flagged",""),"No target")</f>
        <v>No target</v>
      </c>
      <c r="AM432" s="68" t="str">
        <f>IFERROR(IF(AND(tblTarget[[#This Row],[Intercluser Severity]]=3,tblTarget[[#This Row],[Qualifies for exception]]="Flagged",(tblTarget[[#This Row],[Cluster Target]]-tblTarget[[#This Row],[2024 Response capacity up to December]])/tblTarget[[#This Row],[Cluster Target]]&gt;Diff_severity3),"Flagged",""),"No target")</f>
        <v>No target</v>
      </c>
      <c r="AN432" s="81" t="s">
        <v>1099</v>
      </c>
      <c r="AO432" s="81"/>
      <c r="AP432" s="81" t="s">
        <v>1099</v>
      </c>
      <c r="AQ432" s="81" t="s">
        <v>1098</v>
      </c>
    </row>
    <row r="433" spans="1:43" ht="15.95" customHeight="1" x14ac:dyDescent="0.2">
      <c r="A433" s="62" t="s">
        <v>870</v>
      </c>
      <c r="B433" s="63" t="s">
        <v>122</v>
      </c>
      <c r="C433" s="64" t="s">
        <v>123</v>
      </c>
      <c r="D433" s="63" t="s">
        <v>134</v>
      </c>
      <c r="E433" s="64" t="s">
        <v>135</v>
      </c>
      <c r="F433" s="65">
        <v>45483</v>
      </c>
      <c r="G433" s="66" t="s">
        <v>437</v>
      </c>
      <c r="H433" s="67">
        <v>4450</v>
      </c>
      <c r="I433" s="68">
        <v>3</v>
      </c>
      <c r="J433" s="68">
        <v>4</v>
      </c>
      <c r="K433" s="91">
        <v>111.5</v>
      </c>
      <c r="L433" s="91">
        <v>56.097727466431117</v>
      </c>
      <c r="M433" s="91">
        <v>55.402272533568876</v>
      </c>
      <c r="N433" s="91">
        <v>55.75</v>
      </c>
      <c r="O433" s="91">
        <v>49.06</v>
      </c>
      <c r="P433" s="91">
        <v>6.6899999999999995</v>
      </c>
      <c r="Q433" s="85">
        <v>16.724999999999998</v>
      </c>
      <c r="R433" s="68" t="s">
        <v>15</v>
      </c>
      <c r="S433" s="86">
        <v>16</v>
      </c>
      <c r="T433" s="68">
        <v>4</v>
      </c>
      <c r="U433" s="68">
        <v>0</v>
      </c>
      <c r="V433" s="68">
        <v>0</v>
      </c>
      <c r="W433" s="68">
        <v>1</v>
      </c>
      <c r="X433" s="68">
        <v>2</v>
      </c>
      <c r="Y433" s="68">
        <v>8</v>
      </c>
      <c r="Z433" s="68">
        <v>0</v>
      </c>
      <c r="AA433" s="68">
        <v>0</v>
      </c>
      <c r="AB433" s="69">
        <v>0</v>
      </c>
      <c r="AC433" s="69">
        <v>0</v>
      </c>
      <c r="AD433" s="70">
        <f>IFERROR(tblTarget[[#This Row],[Cluster Target]]/tblTarget[[#This Row],[Cluster PiN]],0)</f>
        <v>2.50561797752809E-2</v>
      </c>
      <c r="AE433" s="79">
        <f>_xlfn.XLOOKUP(tblTarget[[#This Row],[ID]],tblResponse[ID],tblResponse[2024 Projected reached (Dec 2024)])</f>
        <v>0</v>
      </c>
      <c r="AF433" s="79">
        <f>_xlfn.XLOOKUP(tblTarget[[#This Row],[ID]],tblResponse[ID],tblResponse[2024 Intercluster reached -August RPM])</f>
        <v>1346.4169881762678</v>
      </c>
      <c r="AG433" s="79">
        <v>3</v>
      </c>
      <c r="AH433" s="79"/>
      <c r="AI433" s="79"/>
      <c r="AJ433" s="70" t="str">
        <f>IF(tblTarget[[#This Row],[Target to PiN (%)]]&gt;Targ_vs_PiN,"Flagged","")</f>
        <v/>
      </c>
      <c r="AK433" s="69" t="str">
        <f>IF(AND(tblTarget[[#This Row],[Qualifies for exception]]="Flagged",tblTarget[[#This Row],[Target to PiN (%)]]&gt;Targ_severity5),"Flagged","")</f>
        <v/>
      </c>
      <c r="AL433" s="68" t="str">
        <f>IFERROR(IF(AND(tblTarget[[#This Row],[Intercluser Severity]]=4,tblTarget[[#This Row],[Qualifies for exception]]="Flagged",(tblTarget[[#This Row],[Cluster Target]]-tblTarget[[#This Row],[2024 Response capacity up to December]])/tblTarget[[#This Row],[Cluster Target]]&gt;Diff_severity4),"Flagged",""),"No target")</f>
        <v/>
      </c>
      <c r="AM433" s="68" t="str">
        <f>IFERROR(IF(AND(tblTarget[[#This Row],[Intercluser Severity]]=3,tblTarget[[#This Row],[Qualifies for exception]]="Flagged",(tblTarget[[#This Row],[Cluster Target]]-tblTarget[[#This Row],[2024 Response capacity up to December]])/tblTarget[[#This Row],[Cluster Target]]&gt;Diff_severity3),"Flagged",""),"No target")</f>
        <v/>
      </c>
      <c r="AN433" s="81" t="s">
        <v>15</v>
      </c>
      <c r="AO433" s="81"/>
      <c r="AP433" s="81" t="s">
        <v>1099</v>
      </c>
      <c r="AQ433" s="81" t="s">
        <v>1098</v>
      </c>
    </row>
    <row r="434" spans="1:43" ht="15.95" customHeight="1" x14ac:dyDescent="0.2">
      <c r="A434" s="62" t="s">
        <v>871</v>
      </c>
      <c r="B434" s="63" t="s">
        <v>122</v>
      </c>
      <c r="C434" s="64" t="s">
        <v>123</v>
      </c>
      <c r="D434" s="63" t="s">
        <v>136</v>
      </c>
      <c r="E434" s="64" t="s">
        <v>137</v>
      </c>
      <c r="F434" s="65">
        <v>0</v>
      </c>
      <c r="G434" s="66" t="s">
        <v>437</v>
      </c>
      <c r="H434" s="67">
        <v>0</v>
      </c>
      <c r="I434" s="68">
        <v>3</v>
      </c>
      <c r="J434" s="68">
        <v>4</v>
      </c>
      <c r="K434" s="91">
        <v>0</v>
      </c>
      <c r="L434" s="91">
        <v>0</v>
      </c>
      <c r="M434" s="91">
        <v>0</v>
      </c>
      <c r="N434" s="91">
        <v>0</v>
      </c>
      <c r="O434" s="91">
        <v>0</v>
      </c>
      <c r="P434" s="91">
        <v>0</v>
      </c>
      <c r="Q434" s="85">
        <v>0</v>
      </c>
      <c r="R434" s="68" t="s">
        <v>15</v>
      </c>
      <c r="S434" s="86">
        <v>0</v>
      </c>
      <c r="T434" s="68">
        <v>0</v>
      </c>
      <c r="U434" s="68">
        <v>0</v>
      </c>
      <c r="V434" s="68">
        <v>0</v>
      </c>
      <c r="W434" s="68">
        <v>0</v>
      </c>
      <c r="X434" s="68">
        <v>0</v>
      </c>
      <c r="Y434" s="68">
        <v>0</v>
      </c>
      <c r="Z434" s="68">
        <v>0</v>
      </c>
      <c r="AA434" s="68">
        <v>0</v>
      </c>
      <c r="AB434" s="69">
        <v>0</v>
      </c>
      <c r="AC434" s="69">
        <v>0</v>
      </c>
      <c r="AD434" s="70">
        <f>IFERROR(tblTarget[[#This Row],[Cluster Target]]/tblTarget[[#This Row],[Cluster PiN]],0)</f>
        <v>0</v>
      </c>
      <c r="AE434" s="79">
        <f>_xlfn.XLOOKUP(tblTarget[[#This Row],[ID]],tblResponse[ID],tblResponse[2024 Projected reached (Dec 2024)])</f>
        <v>0</v>
      </c>
      <c r="AF434" s="79">
        <f>_xlfn.XLOOKUP(tblTarget[[#This Row],[ID]],tblResponse[ID],tblResponse[2024 Intercluster reached -August RPM])</f>
        <v>3690.5371517591266</v>
      </c>
      <c r="AG434" s="79">
        <v>2</v>
      </c>
      <c r="AH434" s="79"/>
      <c r="AI434" s="79"/>
      <c r="AJ434" s="70" t="str">
        <f>IF(tblTarget[[#This Row],[Target to PiN (%)]]&gt;Targ_vs_PiN,"Flagged","")</f>
        <v/>
      </c>
      <c r="AK434" s="69" t="str">
        <f>IF(AND(tblTarget[[#This Row],[Qualifies for exception]]="Flagged",tblTarget[[#This Row],[Target to PiN (%)]]&gt;Targ_severity5),"Flagged","")</f>
        <v/>
      </c>
      <c r="AL434" s="68" t="str">
        <f>IFERROR(IF(AND(tblTarget[[#This Row],[Intercluser Severity]]=4,tblTarget[[#This Row],[Qualifies for exception]]="Flagged",(tblTarget[[#This Row],[Cluster Target]]-tblTarget[[#This Row],[2024 Response capacity up to December]])/tblTarget[[#This Row],[Cluster Target]]&gt;Diff_severity4),"Flagged",""),"No target")</f>
        <v>No target</v>
      </c>
      <c r="AM434" s="68" t="str">
        <f>IFERROR(IF(AND(tblTarget[[#This Row],[Intercluser Severity]]=3,tblTarget[[#This Row],[Qualifies for exception]]="Flagged",(tblTarget[[#This Row],[Cluster Target]]-tblTarget[[#This Row],[2024 Response capacity up to December]])/tblTarget[[#This Row],[Cluster Target]]&gt;Diff_severity3),"Flagged",""),"No target")</f>
        <v>No target</v>
      </c>
      <c r="AN434" s="81" t="s">
        <v>1099</v>
      </c>
      <c r="AO434" s="81"/>
      <c r="AP434" s="81" t="s">
        <v>15</v>
      </c>
      <c r="AQ434" s="81" t="s">
        <v>1098</v>
      </c>
    </row>
    <row r="435" spans="1:43" ht="15.95" customHeight="1" x14ac:dyDescent="0.2">
      <c r="A435" s="62" t="s">
        <v>872</v>
      </c>
      <c r="B435" s="63" t="s">
        <v>122</v>
      </c>
      <c r="C435" s="64" t="s">
        <v>123</v>
      </c>
      <c r="D435" s="63" t="s">
        <v>138</v>
      </c>
      <c r="E435" s="64" t="s">
        <v>139</v>
      </c>
      <c r="F435" s="65">
        <v>1123</v>
      </c>
      <c r="G435" s="66" t="s">
        <v>437</v>
      </c>
      <c r="H435" s="67">
        <v>0</v>
      </c>
      <c r="I435" s="68">
        <v>3</v>
      </c>
      <c r="J435" s="68">
        <v>4</v>
      </c>
      <c r="K435" s="91">
        <v>0</v>
      </c>
      <c r="L435" s="91">
        <v>0</v>
      </c>
      <c r="M435" s="91">
        <v>0</v>
      </c>
      <c r="N435" s="91">
        <v>0</v>
      </c>
      <c r="O435" s="91">
        <v>0</v>
      </c>
      <c r="P435" s="91">
        <v>0</v>
      </c>
      <c r="Q435" s="85">
        <v>0</v>
      </c>
      <c r="R435" s="68" t="s">
        <v>15</v>
      </c>
      <c r="S435" s="86">
        <v>0</v>
      </c>
      <c r="T435" s="68">
        <v>0</v>
      </c>
      <c r="U435" s="68">
        <v>0</v>
      </c>
      <c r="V435" s="68">
        <v>0</v>
      </c>
      <c r="W435" s="68">
        <v>0</v>
      </c>
      <c r="X435" s="68">
        <v>0</v>
      </c>
      <c r="Y435" s="68">
        <v>0</v>
      </c>
      <c r="Z435" s="68">
        <v>0</v>
      </c>
      <c r="AA435" s="68">
        <v>0</v>
      </c>
      <c r="AB435" s="69">
        <v>0</v>
      </c>
      <c r="AC435" s="69">
        <v>0</v>
      </c>
      <c r="AD435" s="70">
        <f>IFERROR(tblTarget[[#This Row],[Cluster Target]]/tblTarget[[#This Row],[Cluster PiN]],0)</f>
        <v>0</v>
      </c>
      <c r="AE435" s="79">
        <f>_xlfn.XLOOKUP(tblTarget[[#This Row],[ID]],tblResponse[ID],tblResponse[2024 Projected reached (Dec 2024)])</f>
        <v>0</v>
      </c>
      <c r="AF435" s="79">
        <f>_xlfn.XLOOKUP(tblTarget[[#This Row],[ID]],tblResponse[ID],tblResponse[2024 Intercluster reached -August RPM])</f>
        <v>474.70688505186484</v>
      </c>
      <c r="AG435" s="79">
        <v>5</v>
      </c>
      <c r="AH435" s="79"/>
      <c r="AI435" s="79"/>
      <c r="AJ435" s="70" t="str">
        <f>IF(tblTarget[[#This Row],[Target to PiN (%)]]&gt;Targ_vs_PiN,"Flagged","")</f>
        <v/>
      </c>
      <c r="AK435" s="69" t="str">
        <f>IF(AND(tblTarget[[#This Row],[Qualifies for exception]]="Flagged",tblTarget[[#This Row],[Target to PiN (%)]]&gt;Targ_severity5),"Flagged","")</f>
        <v/>
      </c>
      <c r="AL435" s="68" t="str">
        <f>IFERROR(IF(AND(tblTarget[[#This Row],[Intercluser Severity]]=4,tblTarget[[#This Row],[Qualifies for exception]]="Flagged",(tblTarget[[#This Row],[Cluster Target]]-tblTarget[[#This Row],[2024 Response capacity up to December]])/tblTarget[[#This Row],[Cluster Target]]&gt;Diff_severity4),"Flagged",""),"No target")</f>
        <v>No target</v>
      </c>
      <c r="AM435" s="68" t="str">
        <f>IFERROR(IF(AND(tblTarget[[#This Row],[Intercluser Severity]]=3,tblTarget[[#This Row],[Qualifies for exception]]="Flagged",(tblTarget[[#This Row],[Cluster Target]]-tblTarget[[#This Row],[2024 Response capacity up to December]])/tblTarget[[#This Row],[Cluster Target]]&gt;Diff_severity3),"Flagged",""),"No target")</f>
        <v>No target</v>
      </c>
      <c r="AN435" s="81" t="s">
        <v>15</v>
      </c>
      <c r="AO435" s="81"/>
      <c r="AP435" s="81" t="s">
        <v>1099</v>
      </c>
      <c r="AQ435" s="81" t="s">
        <v>1098</v>
      </c>
    </row>
    <row r="436" spans="1:43" ht="15.95" hidden="1" customHeight="1" x14ac:dyDescent="0.2">
      <c r="A436" s="62" t="s">
        <v>873</v>
      </c>
      <c r="B436" s="63" t="s">
        <v>140</v>
      </c>
      <c r="C436" s="64" t="s">
        <v>141</v>
      </c>
      <c r="D436" s="63" t="s">
        <v>142</v>
      </c>
      <c r="E436" s="64" t="s">
        <v>143</v>
      </c>
      <c r="F436" s="65">
        <v>152418</v>
      </c>
      <c r="G436" s="66" t="s">
        <v>437</v>
      </c>
      <c r="H436" s="67">
        <v>9759</v>
      </c>
      <c r="I436" s="68">
        <v>3</v>
      </c>
      <c r="J436" s="68">
        <v>3</v>
      </c>
      <c r="K436" s="91">
        <v>412.91999999999996</v>
      </c>
      <c r="L436" s="91">
        <v>201.52562435034119</v>
      </c>
      <c r="M436" s="91">
        <v>211.39437564965877</v>
      </c>
      <c r="N436" s="91">
        <v>206.45999999999998</v>
      </c>
      <c r="O436" s="91">
        <v>181.6848</v>
      </c>
      <c r="P436" s="91">
        <v>24.775199999999998</v>
      </c>
      <c r="Q436" s="85">
        <v>61.937999999999988</v>
      </c>
      <c r="R436" s="68" t="s">
        <v>1107</v>
      </c>
      <c r="S436" s="86">
        <v>59</v>
      </c>
      <c r="T436" s="68">
        <v>15</v>
      </c>
      <c r="U436" s="68">
        <v>0</v>
      </c>
      <c r="V436" s="68">
        <v>0</v>
      </c>
      <c r="W436" s="68">
        <v>4</v>
      </c>
      <c r="X436" s="68">
        <v>8</v>
      </c>
      <c r="Y436" s="68">
        <v>29</v>
      </c>
      <c r="Z436" s="68">
        <v>0</v>
      </c>
      <c r="AA436" s="68">
        <v>0</v>
      </c>
      <c r="AB436" s="69">
        <v>0</v>
      </c>
      <c r="AC436" s="69">
        <v>0</v>
      </c>
      <c r="AD436" s="70">
        <f>IFERROR(tblTarget[[#This Row],[Cluster Target]]/tblTarget[[#This Row],[Cluster PiN]],0)</f>
        <v>4.231171226560098E-2</v>
      </c>
      <c r="AE436" s="79">
        <f>_xlfn.XLOOKUP(tblTarget[[#This Row],[ID]],tblResponse[ID],tblResponse[2024 Projected reached (Dec 2024)])</f>
        <v>0</v>
      </c>
      <c r="AF436" s="79">
        <f>_xlfn.XLOOKUP(tblTarget[[#This Row],[ID]],tblResponse[ID],tblResponse[2024 Intercluster reached -August RPM])</f>
        <v>413.37755402603597</v>
      </c>
      <c r="AG436" s="79">
        <v>2</v>
      </c>
      <c r="AH436" s="79"/>
      <c r="AI436" s="79"/>
      <c r="AJ436" s="70" t="str">
        <f>IF(tblTarget[[#This Row],[Target to PiN (%)]]&gt;Targ_vs_PiN,"Flagged","")</f>
        <v/>
      </c>
      <c r="AK436" s="69" t="str">
        <f>IF(AND(tblTarget[[#This Row],[Qualifies for exception]]="Flagged",tblTarget[[#This Row],[Target to PiN (%)]]&gt;Targ_severity5),"Flagged","")</f>
        <v/>
      </c>
      <c r="AL436" s="68" t="str">
        <f>IFERROR(IF(AND(tblTarget[[#This Row],[Intercluser Severity]]=4,tblTarget[[#This Row],[Qualifies for exception]]="Flagged",(tblTarget[[#This Row],[Cluster Target]]-tblTarget[[#This Row],[2024 Response capacity up to December]])/tblTarget[[#This Row],[Cluster Target]]&gt;Diff_severity4),"Flagged",""),"No target")</f>
        <v/>
      </c>
      <c r="AM436" s="68" t="str">
        <f>IFERROR(IF(AND(tblTarget[[#This Row],[Intercluser Severity]]=3,tblTarget[[#This Row],[Qualifies for exception]]="Flagged",(tblTarget[[#This Row],[Cluster Target]]-tblTarget[[#This Row],[2024 Response capacity up to December]])/tblTarget[[#This Row],[Cluster Target]]&gt;Diff_severity3),"Flagged",""),"No target")</f>
        <v>Flagged</v>
      </c>
      <c r="AN436" s="81" t="s">
        <v>1099</v>
      </c>
      <c r="AO436" s="81"/>
      <c r="AP436" s="81" t="s">
        <v>1099</v>
      </c>
      <c r="AQ436" s="81" t="s">
        <v>1107</v>
      </c>
    </row>
    <row r="437" spans="1:43" ht="15.95" hidden="1" customHeight="1" x14ac:dyDescent="0.2">
      <c r="A437" s="62" t="s">
        <v>874</v>
      </c>
      <c r="B437" s="63" t="s">
        <v>140</v>
      </c>
      <c r="C437" s="64" t="s">
        <v>141</v>
      </c>
      <c r="D437" s="63" t="s">
        <v>144</v>
      </c>
      <c r="E437" s="64" t="s">
        <v>145</v>
      </c>
      <c r="F437" s="65">
        <v>91830</v>
      </c>
      <c r="G437" s="66" t="s">
        <v>437</v>
      </c>
      <c r="H437" s="67">
        <v>0</v>
      </c>
      <c r="I437" s="68">
        <v>3</v>
      </c>
      <c r="J437" s="68">
        <v>3</v>
      </c>
      <c r="K437" s="91">
        <v>0</v>
      </c>
      <c r="L437" s="91">
        <v>0</v>
      </c>
      <c r="M437" s="91">
        <v>0</v>
      </c>
      <c r="N437" s="91">
        <v>0</v>
      </c>
      <c r="O437" s="91">
        <v>0</v>
      </c>
      <c r="P437" s="91">
        <v>0</v>
      </c>
      <c r="Q437" s="85">
        <v>0</v>
      </c>
      <c r="R437" s="68" t="s">
        <v>1107</v>
      </c>
      <c r="S437" s="86">
        <v>0</v>
      </c>
      <c r="T437" s="68">
        <v>0</v>
      </c>
      <c r="U437" s="68">
        <v>0</v>
      </c>
      <c r="V437" s="68">
        <v>0</v>
      </c>
      <c r="W437" s="68">
        <v>0</v>
      </c>
      <c r="X437" s="68">
        <v>0</v>
      </c>
      <c r="Y437" s="68">
        <v>0</v>
      </c>
      <c r="Z437" s="68">
        <v>0</v>
      </c>
      <c r="AA437" s="68">
        <v>0</v>
      </c>
      <c r="AB437" s="69">
        <v>0</v>
      </c>
      <c r="AC437" s="69">
        <v>0</v>
      </c>
      <c r="AD437" s="70">
        <f>IFERROR(tblTarget[[#This Row],[Cluster Target]]/tblTarget[[#This Row],[Cluster PiN]],0)</f>
        <v>0</v>
      </c>
      <c r="AE437" s="79">
        <f>_xlfn.XLOOKUP(tblTarget[[#This Row],[ID]],tblResponse[ID],tblResponse[2024 Projected reached (Dec 2024)])</f>
        <v>0</v>
      </c>
      <c r="AF437" s="79">
        <f>_xlfn.XLOOKUP(tblTarget[[#This Row],[ID]],tblResponse[ID],tblResponse[2024 Intercluster reached -August RPM])</f>
        <v>80.293789211971117</v>
      </c>
      <c r="AG437" s="79">
        <v>1</v>
      </c>
      <c r="AH437" s="79"/>
      <c r="AI437" s="79"/>
      <c r="AJ437" s="70" t="str">
        <f>IF(tblTarget[[#This Row],[Target to PiN (%)]]&gt;Targ_vs_PiN,"Flagged","")</f>
        <v/>
      </c>
      <c r="AK437" s="69" t="str">
        <f>IF(AND(tblTarget[[#This Row],[Qualifies for exception]]="Flagged",tblTarget[[#This Row],[Target to PiN (%)]]&gt;Targ_severity5),"Flagged","")</f>
        <v/>
      </c>
      <c r="AL437" s="68" t="str">
        <f>IFERROR(IF(AND(tblTarget[[#This Row],[Intercluser Severity]]=4,tblTarget[[#This Row],[Qualifies for exception]]="Flagged",(tblTarget[[#This Row],[Cluster Target]]-tblTarget[[#This Row],[2024 Response capacity up to December]])/tblTarget[[#This Row],[Cluster Target]]&gt;Diff_severity4),"Flagged",""),"No target")</f>
        <v>No target</v>
      </c>
      <c r="AM437" s="68" t="str">
        <f>IFERROR(IF(AND(tblTarget[[#This Row],[Intercluser Severity]]=3,tblTarget[[#This Row],[Qualifies for exception]]="Flagged",(tblTarget[[#This Row],[Cluster Target]]-tblTarget[[#This Row],[2024 Response capacity up to December]])/tblTarget[[#This Row],[Cluster Target]]&gt;Diff_severity3),"Flagged",""),"No target")</f>
        <v>No target</v>
      </c>
      <c r="AN437" s="81" t="s">
        <v>1099</v>
      </c>
      <c r="AO437" s="81"/>
      <c r="AP437" s="81" t="s">
        <v>1099</v>
      </c>
      <c r="AQ437" s="81" t="s">
        <v>1107</v>
      </c>
    </row>
    <row r="438" spans="1:43" ht="15.95" hidden="1" customHeight="1" x14ac:dyDescent="0.2">
      <c r="A438" s="62" t="s">
        <v>875</v>
      </c>
      <c r="B438" s="63" t="s">
        <v>140</v>
      </c>
      <c r="C438" s="64" t="s">
        <v>141</v>
      </c>
      <c r="D438" s="63" t="s">
        <v>146</v>
      </c>
      <c r="E438" s="64" t="s">
        <v>147</v>
      </c>
      <c r="F438" s="65">
        <v>0</v>
      </c>
      <c r="G438" s="66" t="s">
        <v>437</v>
      </c>
      <c r="H438" s="67">
        <v>0</v>
      </c>
      <c r="I438" s="68">
        <v>3</v>
      </c>
      <c r="J438" s="68">
        <v>3</v>
      </c>
      <c r="K438" s="91">
        <v>0</v>
      </c>
      <c r="L438" s="91">
        <v>0</v>
      </c>
      <c r="M438" s="91">
        <v>0</v>
      </c>
      <c r="N438" s="91">
        <v>0</v>
      </c>
      <c r="O438" s="91">
        <v>0</v>
      </c>
      <c r="P438" s="91">
        <v>0</v>
      </c>
      <c r="Q438" s="85">
        <v>0</v>
      </c>
      <c r="R438" s="68" t="s">
        <v>1107</v>
      </c>
      <c r="S438" s="86">
        <v>0</v>
      </c>
      <c r="T438" s="68">
        <v>0</v>
      </c>
      <c r="U438" s="68">
        <v>0</v>
      </c>
      <c r="V438" s="68">
        <v>0</v>
      </c>
      <c r="W438" s="68">
        <v>0</v>
      </c>
      <c r="X438" s="68">
        <v>0</v>
      </c>
      <c r="Y438" s="68">
        <v>0</v>
      </c>
      <c r="Z438" s="68">
        <v>0</v>
      </c>
      <c r="AA438" s="68">
        <v>0</v>
      </c>
      <c r="AB438" s="69">
        <v>0</v>
      </c>
      <c r="AC438" s="69">
        <v>0</v>
      </c>
      <c r="AD438" s="70">
        <f>IFERROR(tblTarget[[#This Row],[Cluster Target]]/tblTarget[[#This Row],[Cluster PiN]],0)</f>
        <v>0</v>
      </c>
      <c r="AE438" s="79">
        <f>_xlfn.XLOOKUP(tblTarget[[#This Row],[ID]],tblResponse[ID],tblResponse[2024 Projected reached (Dec 2024)])</f>
        <v>0</v>
      </c>
      <c r="AF438" s="79">
        <f>_xlfn.XLOOKUP(tblTarget[[#This Row],[ID]],tblResponse[ID],tblResponse[2024 Intercluster reached -August RPM])</f>
        <v>1575.3004332862542</v>
      </c>
      <c r="AG438" s="79">
        <v>4</v>
      </c>
      <c r="AH438" s="79"/>
      <c r="AI438" s="79"/>
      <c r="AJ438" s="70" t="str">
        <f>IF(tblTarget[[#This Row],[Target to PiN (%)]]&gt;Targ_vs_PiN,"Flagged","")</f>
        <v/>
      </c>
      <c r="AK438" s="69" t="str">
        <f>IF(AND(tblTarget[[#This Row],[Qualifies for exception]]="Flagged",tblTarget[[#This Row],[Target to PiN (%)]]&gt;Targ_severity5),"Flagged","")</f>
        <v/>
      </c>
      <c r="AL438" s="68" t="str">
        <f>IFERROR(IF(AND(tblTarget[[#This Row],[Intercluser Severity]]=4,tblTarget[[#This Row],[Qualifies for exception]]="Flagged",(tblTarget[[#This Row],[Cluster Target]]-tblTarget[[#This Row],[2024 Response capacity up to December]])/tblTarget[[#This Row],[Cluster Target]]&gt;Diff_severity4),"Flagged",""),"No target")</f>
        <v>No target</v>
      </c>
      <c r="AM438" s="68" t="str">
        <f>IFERROR(IF(AND(tblTarget[[#This Row],[Intercluser Severity]]=3,tblTarget[[#This Row],[Qualifies for exception]]="Flagged",(tblTarget[[#This Row],[Cluster Target]]-tblTarget[[#This Row],[2024 Response capacity up to December]])/tblTarget[[#This Row],[Cluster Target]]&gt;Diff_severity3),"Flagged",""),"No target")</f>
        <v>No target</v>
      </c>
      <c r="AN438" s="81" t="s">
        <v>1099</v>
      </c>
      <c r="AO438" s="81"/>
      <c r="AP438" s="81" t="s">
        <v>1099</v>
      </c>
      <c r="AQ438" s="81" t="s">
        <v>1107</v>
      </c>
    </row>
    <row r="439" spans="1:43" ht="15.95" customHeight="1" x14ac:dyDescent="0.2">
      <c r="A439" s="62" t="s">
        <v>876</v>
      </c>
      <c r="B439" s="63" t="s">
        <v>140</v>
      </c>
      <c r="C439" s="64" t="s">
        <v>141</v>
      </c>
      <c r="D439" s="63" t="s">
        <v>148</v>
      </c>
      <c r="E439" s="64" t="s">
        <v>149</v>
      </c>
      <c r="F439" s="65">
        <v>0</v>
      </c>
      <c r="G439" s="66" t="s">
        <v>437</v>
      </c>
      <c r="H439" s="67">
        <v>0</v>
      </c>
      <c r="I439" s="68">
        <v>3</v>
      </c>
      <c r="J439" s="68">
        <v>5</v>
      </c>
      <c r="K439" s="91">
        <v>0</v>
      </c>
      <c r="L439" s="91">
        <v>0</v>
      </c>
      <c r="M439" s="91">
        <v>0</v>
      </c>
      <c r="N439" s="91">
        <v>0</v>
      </c>
      <c r="O439" s="91">
        <v>0</v>
      </c>
      <c r="P439" s="91">
        <v>0</v>
      </c>
      <c r="Q439" s="85">
        <v>0</v>
      </c>
      <c r="R439" s="68" t="s">
        <v>15</v>
      </c>
      <c r="S439" s="86">
        <v>0</v>
      </c>
      <c r="T439" s="68">
        <v>0</v>
      </c>
      <c r="U439" s="68">
        <v>0</v>
      </c>
      <c r="V439" s="68">
        <v>0</v>
      </c>
      <c r="W439" s="68">
        <v>0</v>
      </c>
      <c r="X439" s="68">
        <v>0</v>
      </c>
      <c r="Y439" s="68">
        <v>0</v>
      </c>
      <c r="Z439" s="68">
        <v>0</v>
      </c>
      <c r="AA439" s="68">
        <v>0</v>
      </c>
      <c r="AB439" s="69">
        <v>0</v>
      </c>
      <c r="AC439" s="69">
        <v>0</v>
      </c>
      <c r="AD439" s="70">
        <f>IFERROR(tblTarget[[#This Row],[Cluster Target]]/tblTarget[[#This Row],[Cluster PiN]],0)</f>
        <v>0</v>
      </c>
      <c r="AE439" s="79">
        <f>_xlfn.XLOOKUP(tblTarget[[#This Row],[ID]],tblResponse[ID],tblResponse[2024 Projected reached (Dec 2024)])</f>
        <v>0</v>
      </c>
      <c r="AF439" s="79">
        <f>_xlfn.XLOOKUP(tblTarget[[#This Row],[ID]],tblResponse[ID],tblResponse[2024 Intercluster reached -August RPM])</f>
        <v>433.20538628972628</v>
      </c>
      <c r="AG439" s="79">
        <v>1</v>
      </c>
      <c r="AH439" s="79"/>
      <c r="AI439" s="79"/>
      <c r="AJ439" s="70" t="str">
        <f>IF(tblTarget[[#This Row],[Target to PiN (%)]]&gt;Targ_vs_PiN,"Flagged","")</f>
        <v/>
      </c>
      <c r="AK439" s="69" t="str">
        <f>IF(AND(tblTarget[[#This Row],[Qualifies for exception]]="Flagged",tblTarget[[#This Row],[Target to PiN (%)]]&gt;Targ_severity5),"Flagged","")</f>
        <v/>
      </c>
      <c r="AL439" s="68" t="str">
        <f>IFERROR(IF(AND(tblTarget[[#This Row],[Intercluser Severity]]=4,tblTarget[[#This Row],[Qualifies for exception]]="Flagged",(tblTarget[[#This Row],[Cluster Target]]-tblTarget[[#This Row],[2024 Response capacity up to December]])/tblTarget[[#This Row],[Cluster Target]]&gt;Diff_severity4),"Flagged",""),"No target")</f>
        <v>No target</v>
      </c>
      <c r="AM439" s="68" t="str">
        <f>IFERROR(IF(AND(tblTarget[[#This Row],[Intercluser Severity]]=3,tblTarget[[#This Row],[Qualifies for exception]]="Flagged",(tblTarget[[#This Row],[Cluster Target]]-tblTarget[[#This Row],[2024 Response capacity up to December]])/tblTarget[[#This Row],[Cluster Target]]&gt;Diff_severity3),"Flagged",""),"No target")</f>
        <v>No target</v>
      </c>
      <c r="AN439" s="81" t="s">
        <v>1099</v>
      </c>
      <c r="AO439" s="81"/>
      <c r="AP439" s="81" t="s">
        <v>1099</v>
      </c>
      <c r="AQ439" s="81" t="s">
        <v>1098</v>
      </c>
    </row>
    <row r="440" spans="1:43" ht="15.95" customHeight="1" x14ac:dyDescent="0.2">
      <c r="A440" s="62" t="s">
        <v>877</v>
      </c>
      <c r="B440" s="63" t="s">
        <v>140</v>
      </c>
      <c r="C440" s="64" t="s">
        <v>141</v>
      </c>
      <c r="D440" s="63" t="s">
        <v>150</v>
      </c>
      <c r="E440" s="64" t="s">
        <v>151</v>
      </c>
      <c r="F440" s="65">
        <v>105960</v>
      </c>
      <c r="G440" s="66" t="s">
        <v>437</v>
      </c>
      <c r="H440" s="67">
        <v>2373</v>
      </c>
      <c r="I440" s="68">
        <v>3</v>
      </c>
      <c r="J440" s="68">
        <v>3</v>
      </c>
      <c r="K440" s="91">
        <v>118.5</v>
      </c>
      <c r="L440" s="91">
        <v>60.662738266038119</v>
      </c>
      <c r="M440" s="91">
        <v>57.837261733961881</v>
      </c>
      <c r="N440" s="91">
        <v>59.25</v>
      </c>
      <c r="O440" s="91">
        <v>52.14</v>
      </c>
      <c r="P440" s="91">
        <v>7.1099999999999994</v>
      </c>
      <c r="Q440" s="85">
        <v>17.774999999999999</v>
      </c>
      <c r="R440" s="68" t="s">
        <v>15</v>
      </c>
      <c r="S440" s="86">
        <v>17</v>
      </c>
      <c r="T440" s="68">
        <v>4</v>
      </c>
      <c r="U440" s="68">
        <v>0</v>
      </c>
      <c r="V440" s="68">
        <v>0</v>
      </c>
      <c r="W440" s="68">
        <v>1</v>
      </c>
      <c r="X440" s="68">
        <v>2</v>
      </c>
      <c r="Y440" s="68">
        <v>8</v>
      </c>
      <c r="Z440" s="68">
        <v>0</v>
      </c>
      <c r="AA440" s="68">
        <v>0</v>
      </c>
      <c r="AB440" s="69">
        <v>0</v>
      </c>
      <c r="AC440" s="69">
        <v>0</v>
      </c>
      <c r="AD440" s="70">
        <f>IFERROR(tblTarget[[#This Row],[Cluster Target]]/tblTarget[[#This Row],[Cluster PiN]],0)</f>
        <v>4.9936788874841972E-2</v>
      </c>
      <c r="AE440" s="79">
        <f>_xlfn.XLOOKUP(tblTarget[[#This Row],[ID]],tblResponse[ID],tblResponse[2024 Projected reached (Dec 2024)])</f>
        <v>0</v>
      </c>
      <c r="AF440" s="79">
        <f>_xlfn.XLOOKUP(tblTarget[[#This Row],[ID]],tblResponse[ID],tblResponse[2024 Intercluster reached -August RPM])</f>
        <v>215.6946617874419</v>
      </c>
      <c r="AG440" s="79">
        <v>2</v>
      </c>
      <c r="AH440" s="79"/>
      <c r="AI440" s="79"/>
      <c r="AJ440" s="70" t="str">
        <f>IF(tblTarget[[#This Row],[Target to PiN (%)]]&gt;Targ_vs_PiN,"Flagged","")</f>
        <v/>
      </c>
      <c r="AK440" s="69" t="str">
        <f>IF(AND(tblTarget[[#This Row],[Qualifies for exception]]="Flagged",tblTarget[[#This Row],[Target to PiN (%)]]&gt;Targ_severity5),"Flagged","")</f>
        <v/>
      </c>
      <c r="AL440" s="68" t="str">
        <f>IFERROR(IF(AND(tblTarget[[#This Row],[Intercluser Severity]]=4,tblTarget[[#This Row],[Qualifies for exception]]="Flagged",(tblTarget[[#This Row],[Cluster Target]]-tblTarget[[#This Row],[2024 Response capacity up to December]])/tblTarget[[#This Row],[Cluster Target]]&gt;Diff_severity4),"Flagged",""),"No target")</f>
        <v/>
      </c>
      <c r="AM440" s="68" t="str">
        <f>IFERROR(IF(AND(tblTarget[[#This Row],[Intercluser Severity]]=3,tblTarget[[#This Row],[Qualifies for exception]]="Flagged",(tblTarget[[#This Row],[Cluster Target]]-tblTarget[[#This Row],[2024 Response capacity up to December]])/tblTarget[[#This Row],[Cluster Target]]&gt;Diff_severity3),"Flagged",""),"No target")</f>
        <v/>
      </c>
      <c r="AN440" s="81" t="s">
        <v>15</v>
      </c>
      <c r="AO440" s="81"/>
      <c r="AP440" s="81" t="s">
        <v>1099</v>
      </c>
      <c r="AQ440" s="81" t="s">
        <v>1098</v>
      </c>
    </row>
    <row r="441" spans="1:43" ht="15.95" hidden="1" customHeight="1" x14ac:dyDescent="0.2">
      <c r="A441" s="62" t="s">
        <v>878</v>
      </c>
      <c r="B441" s="63" t="s">
        <v>140</v>
      </c>
      <c r="C441" s="64" t="s">
        <v>141</v>
      </c>
      <c r="D441" s="63" t="s">
        <v>152</v>
      </c>
      <c r="E441" s="64" t="s">
        <v>153</v>
      </c>
      <c r="F441" s="65">
        <v>225032</v>
      </c>
      <c r="G441" s="66" t="s">
        <v>437</v>
      </c>
      <c r="H441" s="67">
        <v>1614</v>
      </c>
      <c r="I441" s="68">
        <v>3</v>
      </c>
      <c r="J441" s="68">
        <v>3</v>
      </c>
      <c r="K441" s="91">
        <v>0</v>
      </c>
      <c r="L441" s="91">
        <v>0</v>
      </c>
      <c r="M441" s="91">
        <v>0</v>
      </c>
      <c r="N441" s="91">
        <v>0</v>
      </c>
      <c r="O441" s="91">
        <v>0</v>
      </c>
      <c r="P441" s="91">
        <v>0</v>
      </c>
      <c r="Q441" s="85">
        <v>0</v>
      </c>
      <c r="R441" s="68" t="s">
        <v>1107</v>
      </c>
      <c r="S441" s="86">
        <v>0</v>
      </c>
      <c r="T441" s="68">
        <v>0</v>
      </c>
      <c r="U441" s="68">
        <v>0</v>
      </c>
      <c r="V441" s="68">
        <v>0</v>
      </c>
      <c r="W441" s="68">
        <v>0</v>
      </c>
      <c r="X441" s="68">
        <v>0</v>
      </c>
      <c r="Y441" s="68">
        <v>0</v>
      </c>
      <c r="Z441" s="68">
        <v>0</v>
      </c>
      <c r="AA441" s="68">
        <v>0</v>
      </c>
      <c r="AB441" s="69">
        <v>0</v>
      </c>
      <c r="AC441" s="69">
        <v>0</v>
      </c>
      <c r="AD441" s="70">
        <f>IFERROR(tblTarget[[#This Row],[Cluster Target]]/tblTarget[[#This Row],[Cluster PiN]],0)</f>
        <v>0</v>
      </c>
      <c r="AE441" s="79">
        <f>_xlfn.XLOOKUP(tblTarget[[#This Row],[ID]],tblResponse[ID],tblResponse[2024 Projected reached (Dec 2024)])</f>
        <v>0</v>
      </c>
      <c r="AF441" s="79">
        <f>_xlfn.XLOOKUP(tblTarget[[#This Row],[ID]],tblResponse[ID],tblResponse[2024 Intercluster reached -August RPM])</f>
        <v>344.94771550037206</v>
      </c>
      <c r="AG441" s="79">
        <v>1</v>
      </c>
      <c r="AH441" s="79"/>
      <c r="AI441" s="79"/>
      <c r="AJ441" s="70" t="str">
        <f>IF(tblTarget[[#This Row],[Target to PiN (%)]]&gt;Targ_vs_PiN,"Flagged","")</f>
        <v/>
      </c>
      <c r="AK441" s="69" t="str">
        <f>IF(AND(tblTarget[[#This Row],[Qualifies for exception]]="Flagged",tblTarget[[#This Row],[Target to PiN (%)]]&gt;Targ_severity5),"Flagged","")</f>
        <v/>
      </c>
      <c r="AL441" s="68" t="str">
        <f>IFERROR(IF(AND(tblTarget[[#This Row],[Intercluser Severity]]=4,tblTarget[[#This Row],[Qualifies for exception]]="Flagged",(tblTarget[[#This Row],[Cluster Target]]-tblTarget[[#This Row],[2024 Response capacity up to December]])/tblTarget[[#This Row],[Cluster Target]]&gt;Diff_severity4),"Flagged",""),"No target")</f>
        <v>No target</v>
      </c>
      <c r="AM441" s="68" t="str">
        <f>IFERROR(IF(AND(tblTarget[[#This Row],[Intercluser Severity]]=3,tblTarget[[#This Row],[Qualifies for exception]]="Flagged",(tblTarget[[#This Row],[Cluster Target]]-tblTarget[[#This Row],[2024 Response capacity up to December]])/tblTarget[[#This Row],[Cluster Target]]&gt;Diff_severity3),"Flagged",""),"No target")</f>
        <v>No target</v>
      </c>
      <c r="AN441" s="81" t="s">
        <v>1099</v>
      </c>
      <c r="AO441" s="81"/>
      <c r="AP441" s="81" t="s">
        <v>1099</v>
      </c>
      <c r="AQ441" s="81" t="s">
        <v>1107</v>
      </c>
    </row>
    <row r="442" spans="1:43" ht="15.95" hidden="1" customHeight="1" x14ac:dyDescent="0.2">
      <c r="A442" s="62" t="s">
        <v>879</v>
      </c>
      <c r="B442" s="63" t="s">
        <v>140</v>
      </c>
      <c r="C442" s="64" t="s">
        <v>141</v>
      </c>
      <c r="D442" s="63" t="s">
        <v>154</v>
      </c>
      <c r="E442" s="64" t="s">
        <v>155</v>
      </c>
      <c r="F442" s="65">
        <v>217630</v>
      </c>
      <c r="G442" s="66" t="s">
        <v>437</v>
      </c>
      <c r="H442" s="67">
        <v>2431</v>
      </c>
      <c r="I442" s="68">
        <v>3</v>
      </c>
      <c r="J442" s="68">
        <v>3</v>
      </c>
      <c r="K442" s="91">
        <v>0</v>
      </c>
      <c r="L442" s="91">
        <v>0</v>
      </c>
      <c r="M442" s="91">
        <v>0</v>
      </c>
      <c r="N442" s="91">
        <v>0</v>
      </c>
      <c r="O442" s="91">
        <v>0</v>
      </c>
      <c r="P442" s="91">
        <v>0</v>
      </c>
      <c r="Q442" s="85">
        <v>0</v>
      </c>
      <c r="R442" s="68" t="s">
        <v>1107</v>
      </c>
      <c r="S442" s="86">
        <v>0</v>
      </c>
      <c r="T442" s="68">
        <v>0</v>
      </c>
      <c r="U442" s="68">
        <v>0</v>
      </c>
      <c r="V442" s="68">
        <v>0</v>
      </c>
      <c r="W442" s="68">
        <v>0</v>
      </c>
      <c r="X442" s="68">
        <v>0</v>
      </c>
      <c r="Y442" s="68">
        <v>0</v>
      </c>
      <c r="Z442" s="68">
        <v>0</v>
      </c>
      <c r="AA442" s="68">
        <v>0</v>
      </c>
      <c r="AB442" s="69">
        <v>0</v>
      </c>
      <c r="AC442" s="69">
        <v>0</v>
      </c>
      <c r="AD442" s="70">
        <f>IFERROR(tblTarget[[#This Row],[Cluster Target]]/tblTarget[[#This Row],[Cluster PiN]],0)</f>
        <v>0</v>
      </c>
      <c r="AE442" s="79">
        <f>_xlfn.XLOOKUP(tblTarget[[#This Row],[ID]],tblResponse[ID],tblResponse[2024 Projected reached (Dec 2024)])</f>
        <v>0</v>
      </c>
      <c r="AF442" s="79">
        <f>_xlfn.XLOOKUP(tblTarget[[#This Row],[ID]],tblResponse[ID],tblResponse[2024 Intercluster reached -August RPM])</f>
        <v>41.992728840743517</v>
      </c>
      <c r="AG442" s="79">
        <v>1</v>
      </c>
      <c r="AH442" s="79"/>
      <c r="AI442" s="79"/>
      <c r="AJ442" s="70" t="str">
        <f>IF(tblTarget[[#This Row],[Target to PiN (%)]]&gt;Targ_vs_PiN,"Flagged","")</f>
        <v/>
      </c>
      <c r="AK442" s="69" t="str">
        <f>IF(AND(tblTarget[[#This Row],[Qualifies for exception]]="Flagged",tblTarget[[#This Row],[Target to PiN (%)]]&gt;Targ_severity5),"Flagged","")</f>
        <v/>
      </c>
      <c r="AL442" s="68" t="str">
        <f>IFERROR(IF(AND(tblTarget[[#This Row],[Intercluser Severity]]=4,tblTarget[[#This Row],[Qualifies for exception]]="Flagged",(tblTarget[[#This Row],[Cluster Target]]-tblTarget[[#This Row],[2024 Response capacity up to December]])/tblTarget[[#This Row],[Cluster Target]]&gt;Diff_severity4),"Flagged",""),"No target")</f>
        <v>No target</v>
      </c>
      <c r="AM442" s="68" t="str">
        <f>IFERROR(IF(AND(tblTarget[[#This Row],[Intercluser Severity]]=3,tblTarget[[#This Row],[Qualifies for exception]]="Flagged",(tblTarget[[#This Row],[Cluster Target]]-tblTarget[[#This Row],[2024 Response capacity up to December]])/tblTarget[[#This Row],[Cluster Target]]&gt;Diff_severity3),"Flagged",""),"No target")</f>
        <v>No target</v>
      </c>
      <c r="AN442" s="81" t="s">
        <v>1099</v>
      </c>
      <c r="AO442" s="81"/>
      <c r="AP442" s="81" t="s">
        <v>1099</v>
      </c>
      <c r="AQ442" s="81" t="s">
        <v>1107</v>
      </c>
    </row>
    <row r="443" spans="1:43" ht="15.95" hidden="1" customHeight="1" x14ac:dyDescent="0.2">
      <c r="A443" s="62" t="s">
        <v>880</v>
      </c>
      <c r="B443" s="63" t="s">
        <v>140</v>
      </c>
      <c r="C443" s="64" t="s">
        <v>141</v>
      </c>
      <c r="D443" s="63" t="s">
        <v>156</v>
      </c>
      <c r="E443" s="64" t="s">
        <v>157</v>
      </c>
      <c r="F443" s="65">
        <v>206551</v>
      </c>
      <c r="G443" s="66" t="s">
        <v>437</v>
      </c>
      <c r="H443" s="67">
        <v>3225</v>
      </c>
      <c r="I443" s="68">
        <v>3</v>
      </c>
      <c r="J443" s="68">
        <v>3</v>
      </c>
      <c r="K443" s="91">
        <v>0</v>
      </c>
      <c r="L443" s="91">
        <v>0</v>
      </c>
      <c r="M443" s="91">
        <v>0</v>
      </c>
      <c r="N443" s="91">
        <v>0</v>
      </c>
      <c r="O443" s="91">
        <v>0</v>
      </c>
      <c r="P443" s="91">
        <v>0</v>
      </c>
      <c r="Q443" s="85">
        <v>0</v>
      </c>
      <c r="R443" s="68" t="s">
        <v>1107</v>
      </c>
      <c r="S443" s="86">
        <v>0</v>
      </c>
      <c r="T443" s="68">
        <v>0</v>
      </c>
      <c r="U443" s="68">
        <v>0</v>
      </c>
      <c r="V443" s="68">
        <v>0</v>
      </c>
      <c r="W443" s="68">
        <v>0</v>
      </c>
      <c r="X443" s="68">
        <v>0</v>
      </c>
      <c r="Y443" s="68">
        <v>0</v>
      </c>
      <c r="Z443" s="68">
        <v>0</v>
      </c>
      <c r="AA443" s="68">
        <v>0</v>
      </c>
      <c r="AB443" s="69">
        <v>0</v>
      </c>
      <c r="AC443" s="69">
        <v>0</v>
      </c>
      <c r="AD443" s="70">
        <f>IFERROR(tblTarget[[#This Row],[Cluster Target]]/tblTarget[[#This Row],[Cluster PiN]],0)</f>
        <v>0</v>
      </c>
      <c r="AE443" s="79">
        <f>_xlfn.XLOOKUP(tblTarget[[#This Row],[ID]],tblResponse[ID],tblResponse[2024 Projected reached (Dec 2024)])</f>
        <v>0</v>
      </c>
      <c r="AF443" s="79">
        <f>_xlfn.XLOOKUP(tblTarget[[#This Row],[ID]],tblResponse[ID],tblResponse[2024 Intercluster reached -August RPM])</f>
        <v>98.201358441114849</v>
      </c>
      <c r="AG443" s="79">
        <v>1</v>
      </c>
      <c r="AH443" s="79"/>
      <c r="AI443" s="79"/>
      <c r="AJ443" s="70" t="str">
        <f>IF(tblTarget[[#This Row],[Target to PiN (%)]]&gt;Targ_vs_PiN,"Flagged","")</f>
        <v/>
      </c>
      <c r="AK443" s="69" t="str">
        <f>IF(AND(tblTarget[[#This Row],[Qualifies for exception]]="Flagged",tblTarget[[#This Row],[Target to PiN (%)]]&gt;Targ_severity5),"Flagged","")</f>
        <v/>
      </c>
      <c r="AL443" s="68" t="str">
        <f>IFERROR(IF(AND(tblTarget[[#This Row],[Intercluser Severity]]=4,tblTarget[[#This Row],[Qualifies for exception]]="Flagged",(tblTarget[[#This Row],[Cluster Target]]-tblTarget[[#This Row],[2024 Response capacity up to December]])/tblTarget[[#This Row],[Cluster Target]]&gt;Diff_severity4),"Flagged",""),"No target")</f>
        <v>No target</v>
      </c>
      <c r="AM443" s="68" t="str">
        <f>IFERROR(IF(AND(tblTarget[[#This Row],[Intercluser Severity]]=3,tblTarget[[#This Row],[Qualifies for exception]]="Flagged",(tblTarget[[#This Row],[Cluster Target]]-tblTarget[[#This Row],[2024 Response capacity up to December]])/tblTarget[[#This Row],[Cluster Target]]&gt;Diff_severity3),"Flagged",""),"No target")</f>
        <v>No target</v>
      </c>
      <c r="AN443" s="81" t="s">
        <v>1099</v>
      </c>
      <c r="AO443" s="81"/>
      <c r="AP443" s="81" t="s">
        <v>1099</v>
      </c>
      <c r="AQ443" s="81" t="s">
        <v>1107</v>
      </c>
    </row>
    <row r="444" spans="1:43" ht="15.95" hidden="1" customHeight="1" x14ac:dyDescent="0.2">
      <c r="A444" s="62" t="s">
        <v>881</v>
      </c>
      <c r="B444" s="63" t="s">
        <v>140</v>
      </c>
      <c r="C444" s="64" t="s">
        <v>141</v>
      </c>
      <c r="D444" s="63" t="s">
        <v>158</v>
      </c>
      <c r="E444" s="64" t="s">
        <v>159</v>
      </c>
      <c r="F444" s="65">
        <v>0</v>
      </c>
      <c r="G444" s="66" t="s">
        <v>437</v>
      </c>
      <c r="H444" s="67">
        <v>0</v>
      </c>
      <c r="I444" s="68">
        <v>3</v>
      </c>
      <c r="J444" s="68">
        <v>4</v>
      </c>
      <c r="K444" s="91">
        <v>0</v>
      </c>
      <c r="L444" s="91">
        <v>0</v>
      </c>
      <c r="M444" s="91">
        <v>0</v>
      </c>
      <c r="N444" s="91">
        <v>0</v>
      </c>
      <c r="O444" s="91">
        <v>0</v>
      </c>
      <c r="P444" s="91">
        <v>0</v>
      </c>
      <c r="Q444" s="85">
        <v>0</v>
      </c>
      <c r="R444" s="68" t="s">
        <v>1107</v>
      </c>
      <c r="S444" s="86">
        <v>0</v>
      </c>
      <c r="T444" s="68">
        <v>0</v>
      </c>
      <c r="U444" s="68">
        <v>0</v>
      </c>
      <c r="V444" s="68">
        <v>0</v>
      </c>
      <c r="W444" s="68">
        <v>0</v>
      </c>
      <c r="X444" s="68">
        <v>0</v>
      </c>
      <c r="Y444" s="68">
        <v>0</v>
      </c>
      <c r="Z444" s="68">
        <v>0</v>
      </c>
      <c r="AA444" s="68">
        <v>0</v>
      </c>
      <c r="AB444" s="69">
        <v>0</v>
      </c>
      <c r="AC444" s="69">
        <v>0</v>
      </c>
      <c r="AD444" s="70">
        <f>IFERROR(tblTarget[[#This Row],[Cluster Target]]/tblTarget[[#This Row],[Cluster PiN]],0)</f>
        <v>0</v>
      </c>
      <c r="AE444" s="79">
        <f>_xlfn.XLOOKUP(tblTarget[[#This Row],[ID]],tblResponse[ID],tblResponse[2024 Projected reached (Dec 2024)])</f>
        <v>0</v>
      </c>
      <c r="AF444" s="79">
        <f>_xlfn.XLOOKUP(tblTarget[[#This Row],[ID]],tblResponse[ID],tblResponse[2024 Intercluster reached -August RPM])</f>
        <v>699.37766009381517</v>
      </c>
      <c r="AG444" s="79">
        <v>1</v>
      </c>
      <c r="AH444" s="79"/>
      <c r="AI444" s="79"/>
      <c r="AJ444" s="70" t="str">
        <f>IF(tblTarget[[#This Row],[Target to PiN (%)]]&gt;Targ_vs_PiN,"Flagged","")</f>
        <v/>
      </c>
      <c r="AK444" s="69" t="str">
        <f>IF(AND(tblTarget[[#This Row],[Qualifies for exception]]="Flagged",tblTarget[[#This Row],[Target to PiN (%)]]&gt;Targ_severity5),"Flagged","")</f>
        <v/>
      </c>
      <c r="AL444" s="68" t="str">
        <f>IFERROR(IF(AND(tblTarget[[#This Row],[Intercluser Severity]]=4,tblTarget[[#This Row],[Qualifies for exception]]="Flagged",(tblTarget[[#This Row],[Cluster Target]]-tblTarget[[#This Row],[2024 Response capacity up to December]])/tblTarget[[#This Row],[Cluster Target]]&gt;Diff_severity4),"Flagged",""),"No target")</f>
        <v>No target</v>
      </c>
      <c r="AM444" s="68" t="str">
        <f>IFERROR(IF(AND(tblTarget[[#This Row],[Intercluser Severity]]=3,tblTarget[[#This Row],[Qualifies for exception]]="Flagged",(tblTarget[[#This Row],[Cluster Target]]-tblTarget[[#This Row],[2024 Response capacity up to December]])/tblTarget[[#This Row],[Cluster Target]]&gt;Diff_severity3),"Flagged",""),"No target")</f>
        <v>No target</v>
      </c>
      <c r="AN444" s="81" t="s">
        <v>1099</v>
      </c>
      <c r="AO444" s="81"/>
      <c r="AP444" s="81" t="s">
        <v>1099</v>
      </c>
      <c r="AQ444" s="81" t="s">
        <v>1107</v>
      </c>
    </row>
    <row r="445" spans="1:43" ht="15.95" hidden="1" customHeight="1" x14ac:dyDescent="0.2">
      <c r="A445" s="62" t="s">
        <v>882</v>
      </c>
      <c r="B445" s="63" t="s">
        <v>160</v>
      </c>
      <c r="C445" s="64" t="s">
        <v>161</v>
      </c>
      <c r="D445" s="63" t="s">
        <v>162</v>
      </c>
      <c r="E445" s="64" t="s">
        <v>163</v>
      </c>
      <c r="F445" s="65">
        <v>0</v>
      </c>
      <c r="G445" s="66" t="s">
        <v>437</v>
      </c>
      <c r="H445" s="67">
        <v>0</v>
      </c>
      <c r="I445" s="68">
        <v>3</v>
      </c>
      <c r="J445" s="68">
        <v>4</v>
      </c>
      <c r="K445" s="91">
        <v>0</v>
      </c>
      <c r="L445" s="91">
        <v>0</v>
      </c>
      <c r="M445" s="91">
        <v>0</v>
      </c>
      <c r="N445" s="91">
        <v>0</v>
      </c>
      <c r="O445" s="91">
        <v>0</v>
      </c>
      <c r="P445" s="91">
        <v>0</v>
      </c>
      <c r="Q445" s="85">
        <v>0</v>
      </c>
      <c r="R445" s="68" t="s">
        <v>1107</v>
      </c>
      <c r="S445" s="86">
        <v>0</v>
      </c>
      <c r="T445" s="68">
        <v>0</v>
      </c>
      <c r="U445" s="68">
        <v>0</v>
      </c>
      <c r="V445" s="68">
        <v>0</v>
      </c>
      <c r="W445" s="68">
        <v>0</v>
      </c>
      <c r="X445" s="68">
        <v>0</v>
      </c>
      <c r="Y445" s="68">
        <v>0</v>
      </c>
      <c r="Z445" s="68">
        <v>0</v>
      </c>
      <c r="AA445" s="68">
        <v>0</v>
      </c>
      <c r="AB445" s="69">
        <v>0</v>
      </c>
      <c r="AC445" s="69">
        <v>0</v>
      </c>
      <c r="AD445" s="70">
        <f>IFERROR(tblTarget[[#This Row],[Cluster Target]]/tblTarget[[#This Row],[Cluster PiN]],0)</f>
        <v>0</v>
      </c>
      <c r="AE445" s="79">
        <f>_xlfn.XLOOKUP(tblTarget[[#This Row],[ID]],tblResponse[ID],tblResponse[2024 Projected reached (Dec 2024)])</f>
        <v>0</v>
      </c>
      <c r="AF445" s="79">
        <f>_xlfn.XLOOKUP(tblTarget[[#This Row],[ID]],tblResponse[ID],tblResponse[2024 Intercluster reached -August RPM])</f>
        <v>957.74979568005597</v>
      </c>
      <c r="AG445" s="79">
        <v>1</v>
      </c>
      <c r="AH445" s="79"/>
      <c r="AI445" s="79"/>
      <c r="AJ445" s="70" t="str">
        <f>IF(tblTarget[[#This Row],[Target to PiN (%)]]&gt;Targ_vs_PiN,"Flagged","")</f>
        <v/>
      </c>
      <c r="AK445" s="69" t="str">
        <f>IF(AND(tblTarget[[#This Row],[Qualifies for exception]]="Flagged",tblTarget[[#This Row],[Target to PiN (%)]]&gt;Targ_severity5),"Flagged","")</f>
        <v/>
      </c>
      <c r="AL445" s="68" t="str">
        <f>IFERROR(IF(AND(tblTarget[[#This Row],[Intercluser Severity]]=4,tblTarget[[#This Row],[Qualifies for exception]]="Flagged",(tblTarget[[#This Row],[Cluster Target]]-tblTarget[[#This Row],[2024 Response capacity up to December]])/tblTarget[[#This Row],[Cluster Target]]&gt;Diff_severity4),"Flagged",""),"No target")</f>
        <v>No target</v>
      </c>
      <c r="AM445" s="68" t="str">
        <f>IFERROR(IF(AND(tblTarget[[#This Row],[Intercluser Severity]]=3,tblTarget[[#This Row],[Qualifies for exception]]="Flagged",(tblTarget[[#This Row],[Cluster Target]]-tblTarget[[#This Row],[2024 Response capacity up to December]])/tblTarget[[#This Row],[Cluster Target]]&gt;Diff_severity3),"Flagged",""),"No target")</f>
        <v>No target</v>
      </c>
      <c r="AN445" s="81" t="s">
        <v>1099</v>
      </c>
      <c r="AO445" s="81"/>
      <c r="AP445" s="81" t="s">
        <v>1099</v>
      </c>
      <c r="AQ445" s="81" t="s">
        <v>1107</v>
      </c>
    </row>
    <row r="446" spans="1:43" ht="15.95" hidden="1" customHeight="1" x14ac:dyDescent="0.2">
      <c r="A446" s="62" t="s">
        <v>883</v>
      </c>
      <c r="B446" s="63" t="s">
        <v>160</v>
      </c>
      <c r="C446" s="64" t="s">
        <v>161</v>
      </c>
      <c r="D446" s="63" t="s">
        <v>164</v>
      </c>
      <c r="E446" s="64" t="s">
        <v>165</v>
      </c>
      <c r="F446" s="65">
        <v>13133</v>
      </c>
      <c r="G446" s="66" t="s">
        <v>437</v>
      </c>
      <c r="H446" s="67">
        <v>117</v>
      </c>
      <c r="I446" s="68">
        <v>3</v>
      </c>
      <c r="J446" s="68">
        <v>4</v>
      </c>
      <c r="K446" s="91">
        <v>3</v>
      </c>
      <c r="L446" s="91">
        <v>1.564139463972757</v>
      </c>
      <c r="M446" s="91">
        <v>1.435860536027243</v>
      </c>
      <c r="N446" s="91">
        <v>1.5</v>
      </c>
      <c r="O446" s="91">
        <v>1.32</v>
      </c>
      <c r="P446" s="91">
        <v>0.18</v>
      </c>
      <c r="Q446" s="85">
        <v>0.44999999999999996</v>
      </c>
      <c r="R446" s="68" t="s">
        <v>1107</v>
      </c>
      <c r="S446" s="86">
        <v>0</v>
      </c>
      <c r="T446" s="68">
        <v>0</v>
      </c>
      <c r="U446" s="68">
        <v>0</v>
      </c>
      <c r="V446" s="68">
        <v>0</v>
      </c>
      <c r="W446" s="68">
        <v>0</v>
      </c>
      <c r="X446" s="68">
        <v>0</v>
      </c>
      <c r="Y446" s="68">
        <v>0</v>
      </c>
      <c r="Z446" s="68">
        <v>0</v>
      </c>
      <c r="AA446" s="68">
        <v>0</v>
      </c>
      <c r="AB446" s="69">
        <v>0</v>
      </c>
      <c r="AC446" s="69">
        <v>0</v>
      </c>
      <c r="AD446" s="70">
        <f>IFERROR(tblTarget[[#This Row],[Cluster Target]]/tblTarget[[#This Row],[Cluster PiN]],0)</f>
        <v>2.564102564102564E-2</v>
      </c>
      <c r="AE446" s="79">
        <f>_xlfn.XLOOKUP(tblTarget[[#This Row],[ID]],tblResponse[ID],tblResponse[2024 Projected reached (Dec 2024)])</f>
        <v>0</v>
      </c>
      <c r="AF446" s="79">
        <f>_xlfn.XLOOKUP(tblTarget[[#This Row],[ID]],tblResponse[ID],tblResponse[2024 Intercluster reached -August RPM])</f>
        <v>650.19510919349034</v>
      </c>
      <c r="AG446" s="79">
        <v>2</v>
      </c>
      <c r="AH446" s="79"/>
      <c r="AI446" s="79"/>
      <c r="AJ446" s="70" t="str">
        <f>IF(tblTarget[[#This Row],[Target to PiN (%)]]&gt;Targ_vs_PiN,"Flagged","")</f>
        <v/>
      </c>
      <c r="AK446" s="69" t="str">
        <f>IF(AND(tblTarget[[#This Row],[Qualifies for exception]]="Flagged",tblTarget[[#This Row],[Target to PiN (%)]]&gt;Targ_severity5),"Flagged","")</f>
        <v/>
      </c>
      <c r="AL446" s="68" t="str">
        <f>IFERROR(IF(AND(tblTarget[[#This Row],[Intercluser Severity]]=4,tblTarget[[#This Row],[Qualifies for exception]]="Flagged",(tblTarget[[#This Row],[Cluster Target]]-tblTarget[[#This Row],[2024 Response capacity up to December]])/tblTarget[[#This Row],[Cluster Target]]&gt;Diff_severity4),"Flagged",""),"No target")</f>
        <v>Flagged</v>
      </c>
      <c r="AM446" s="68" t="str">
        <f>IFERROR(IF(AND(tblTarget[[#This Row],[Intercluser Severity]]=3,tblTarget[[#This Row],[Qualifies for exception]]="Flagged",(tblTarget[[#This Row],[Cluster Target]]-tblTarget[[#This Row],[2024 Response capacity up to December]])/tblTarget[[#This Row],[Cluster Target]]&gt;Diff_severity3),"Flagged",""),"No target")</f>
        <v/>
      </c>
      <c r="AN446" s="81" t="s">
        <v>1099</v>
      </c>
      <c r="AO446" s="81"/>
      <c r="AP446" s="81" t="s">
        <v>1099</v>
      </c>
      <c r="AQ446" s="81" t="s">
        <v>1107</v>
      </c>
    </row>
    <row r="447" spans="1:43" ht="15.95" customHeight="1" x14ac:dyDescent="0.2">
      <c r="A447" s="62" t="s">
        <v>884</v>
      </c>
      <c r="B447" s="63" t="s">
        <v>160</v>
      </c>
      <c r="C447" s="64" t="s">
        <v>161</v>
      </c>
      <c r="D447" s="63" t="s">
        <v>166</v>
      </c>
      <c r="E447" s="64" t="s">
        <v>167</v>
      </c>
      <c r="F447" s="65">
        <v>0</v>
      </c>
      <c r="G447" s="66" t="s">
        <v>437</v>
      </c>
      <c r="H447" s="67">
        <v>0</v>
      </c>
      <c r="I447" s="68">
        <v>3</v>
      </c>
      <c r="J447" s="68">
        <v>4</v>
      </c>
      <c r="K447" s="91">
        <v>0</v>
      </c>
      <c r="L447" s="91">
        <v>0</v>
      </c>
      <c r="M447" s="91">
        <v>0</v>
      </c>
      <c r="N447" s="91">
        <v>0</v>
      </c>
      <c r="O447" s="91">
        <v>0</v>
      </c>
      <c r="P447" s="91">
        <v>0</v>
      </c>
      <c r="Q447" s="85">
        <v>0</v>
      </c>
      <c r="R447" s="68" t="s">
        <v>15</v>
      </c>
      <c r="S447" s="86">
        <v>0</v>
      </c>
      <c r="T447" s="68">
        <v>0</v>
      </c>
      <c r="U447" s="68">
        <v>0</v>
      </c>
      <c r="V447" s="68">
        <v>0</v>
      </c>
      <c r="W447" s="68">
        <v>0</v>
      </c>
      <c r="X447" s="68">
        <v>0</v>
      </c>
      <c r="Y447" s="68">
        <v>0</v>
      </c>
      <c r="Z447" s="68">
        <v>0</v>
      </c>
      <c r="AA447" s="68">
        <v>0</v>
      </c>
      <c r="AB447" s="69">
        <v>0</v>
      </c>
      <c r="AC447" s="69">
        <v>0</v>
      </c>
      <c r="AD447" s="70">
        <f>IFERROR(tblTarget[[#This Row],[Cluster Target]]/tblTarget[[#This Row],[Cluster PiN]],0)</f>
        <v>0</v>
      </c>
      <c r="AE447" s="79">
        <f>_xlfn.XLOOKUP(tblTarget[[#This Row],[ID]],tblResponse[ID],tblResponse[2024 Projected reached (Dec 2024)])</f>
        <v>0</v>
      </c>
      <c r="AF447" s="79">
        <f>_xlfn.XLOOKUP(tblTarget[[#This Row],[ID]],tblResponse[ID],tblResponse[2024 Intercluster reached -August RPM])</f>
        <v>178.62911949270548</v>
      </c>
      <c r="AG447" s="79">
        <v>2</v>
      </c>
      <c r="AH447" s="79"/>
      <c r="AI447" s="79"/>
      <c r="AJ447" s="70" t="str">
        <f>IF(tblTarget[[#This Row],[Target to PiN (%)]]&gt;Targ_vs_PiN,"Flagged","")</f>
        <v/>
      </c>
      <c r="AK447" s="69" t="str">
        <f>IF(AND(tblTarget[[#This Row],[Qualifies for exception]]="Flagged",tblTarget[[#This Row],[Target to PiN (%)]]&gt;Targ_severity5),"Flagged","")</f>
        <v/>
      </c>
      <c r="AL447" s="68" t="str">
        <f>IFERROR(IF(AND(tblTarget[[#This Row],[Intercluser Severity]]=4,tblTarget[[#This Row],[Qualifies for exception]]="Flagged",(tblTarget[[#This Row],[Cluster Target]]-tblTarget[[#This Row],[2024 Response capacity up to December]])/tblTarget[[#This Row],[Cluster Target]]&gt;Diff_severity4),"Flagged",""),"No target")</f>
        <v>No target</v>
      </c>
      <c r="AM447" s="68" t="str">
        <f>IFERROR(IF(AND(tblTarget[[#This Row],[Intercluser Severity]]=3,tblTarget[[#This Row],[Qualifies for exception]]="Flagged",(tblTarget[[#This Row],[Cluster Target]]-tblTarget[[#This Row],[2024 Response capacity up to December]])/tblTarget[[#This Row],[Cluster Target]]&gt;Diff_severity3),"Flagged",""),"No target")</f>
        <v>No target</v>
      </c>
      <c r="AN447" s="81" t="s">
        <v>15</v>
      </c>
      <c r="AO447" s="81"/>
      <c r="AP447" s="81" t="s">
        <v>15</v>
      </c>
      <c r="AQ447" s="81" t="s">
        <v>1098</v>
      </c>
    </row>
    <row r="448" spans="1:43" ht="15.95" customHeight="1" x14ac:dyDescent="0.2">
      <c r="A448" s="62" t="s">
        <v>885</v>
      </c>
      <c r="B448" s="63" t="s">
        <v>160</v>
      </c>
      <c r="C448" s="64" t="s">
        <v>161</v>
      </c>
      <c r="D448" s="63" t="s">
        <v>168</v>
      </c>
      <c r="E448" s="64" t="s">
        <v>169</v>
      </c>
      <c r="F448" s="65">
        <v>0</v>
      </c>
      <c r="G448" s="66" t="s">
        <v>437</v>
      </c>
      <c r="H448" s="67">
        <v>0</v>
      </c>
      <c r="I448" s="68">
        <v>3</v>
      </c>
      <c r="J448" s="68">
        <v>4</v>
      </c>
      <c r="K448" s="91">
        <v>0</v>
      </c>
      <c r="L448" s="91">
        <v>0</v>
      </c>
      <c r="M448" s="91">
        <v>0</v>
      </c>
      <c r="N448" s="91">
        <v>0</v>
      </c>
      <c r="O448" s="91">
        <v>0</v>
      </c>
      <c r="P448" s="91">
        <v>0</v>
      </c>
      <c r="Q448" s="85">
        <v>0</v>
      </c>
      <c r="R448" s="68" t="s">
        <v>15</v>
      </c>
      <c r="S448" s="86">
        <v>0</v>
      </c>
      <c r="T448" s="68">
        <v>0</v>
      </c>
      <c r="U448" s="68">
        <v>0</v>
      </c>
      <c r="V448" s="68">
        <v>0</v>
      </c>
      <c r="W448" s="68">
        <v>0</v>
      </c>
      <c r="X448" s="68">
        <v>0</v>
      </c>
      <c r="Y448" s="68">
        <v>0</v>
      </c>
      <c r="Z448" s="68">
        <v>0</v>
      </c>
      <c r="AA448" s="68">
        <v>0</v>
      </c>
      <c r="AB448" s="69">
        <v>0</v>
      </c>
      <c r="AC448" s="69">
        <v>0</v>
      </c>
      <c r="AD448" s="70">
        <f>IFERROR(tblTarget[[#This Row],[Cluster Target]]/tblTarget[[#This Row],[Cluster PiN]],0)</f>
        <v>0</v>
      </c>
      <c r="AE448" s="79">
        <f>_xlfn.XLOOKUP(tblTarget[[#This Row],[ID]],tblResponse[ID],tblResponse[2024 Projected reached (Dec 2024)])</f>
        <v>0</v>
      </c>
      <c r="AF448" s="79">
        <f>_xlfn.XLOOKUP(tblTarget[[#This Row],[ID]],tblResponse[ID],tblResponse[2024 Intercluster reached -August RPM])</f>
        <v>564.20007391771037</v>
      </c>
      <c r="AG448" s="79">
        <v>2</v>
      </c>
      <c r="AH448" s="79"/>
      <c r="AI448" s="79"/>
      <c r="AJ448" s="70" t="str">
        <f>IF(tblTarget[[#This Row],[Target to PiN (%)]]&gt;Targ_vs_PiN,"Flagged","")</f>
        <v/>
      </c>
      <c r="AK448" s="69" t="str">
        <f>IF(AND(tblTarget[[#This Row],[Qualifies for exception]]="Flagged",tblTarget[[#This Row],[Target to PiN (%)]]&gt;Targ_severity5),"Flagged","")</f>
        <v/>
      </c>
      <c r="AL448" s="68" t="str">
        <f>IFERROR(IF(AND(tblTarget[[#This Row],[Intercluser Severity]]=4,tblTarget[[#This Row],[Qualifies for exception]]="Flagged",(tblTarget[[#This Row],[Cluster Target]]-tblTarget[[#This Row],[2024 Response capacity up to December]])/tblTarget[[#This Row],[Cluster Target]]&gt;Diff_severity4),"Flagged",""),"No target")</f>
        <v>No target</v>
      </c>
      <c r="AM448" s="68" t="str">
        <f>IFERROR(IF(AND(tblTarget[[#This Row],[Intercluser Severity]]=3,tblTarget[[#This Row],[Qualifies for exception]]="Flagged",(tblTarget[[#This Row],[Cluster Target]]-tblTarget[[#This Row],[2024 Response capacity up to December]])/tblTarget[[#This Row],[Cluster Target]]&gt;Diff_severity3),"Flagged",""),"No target")</f>
        <v>No target</v>
      </c>
      <c r="AN448" s="81" t="s">
        <v>15</v>
      </c>
      <c r="AO448" s="81"/>
      <c r="AP448" s="81" t="s">
        <v>1099</v>
      </c>
      <c r="AQ448" s="81" t="s">
        <v>1098</v>
      </c>
    </row>
    <row r="449" spans="1:43" ht="15.95" customHeight="1" x14ac:dyDescent="0.2">
      <c r="A449" s="62" t="s">
        <v>886</v>
      </c>
      <c r="B449" s="63" t="s">
        <v>160</v>
      </c>
      <c r="C449" s="64" t="s">
        <v>161</v>
      </c>
      <c r="D449" s="63" t="s">
        <v>170</v>
      </c>
      <c r="E449" s="64" t="s">
        <v>171</v>
      </c>
      <c r="F449" s="65">
        <v>0</v>
      </c>
      <c r="G449" s="66" t="s">
        <v>437</v>
      </c>
      <c r="H449" s="67">
        <v>0</v>
      </c>
      <c r="I449" s="68">
        <v>3</v>
      </c>
      <c r="J449" s="68">
        <v>4</v>
      </c>
      <c r="K449" s="91">
        <v>0</v>
      </c>
      <c r="L449" s="91">
        <v>0</v>
      </c>
      <c r="M449" s="91">
        <v>0</v>
      </c>
      <c r="N449" s="91">
        <v>0</v>
      </c>
      <c r="O449" s="91">
        <v>0</v>
      </c>
      <c r="P449" s="91">
        <v>0</v>
      </c>
      <c r="Q449" s="85">
        <v>0</v>
      </c>
      <c r="R449" s="68" t="s">
        <v>15</v>
      </c>
      <c r="S449" s="86">
        <v>0</v>
      </c>
      <c r="T449" s="68">
        <v>0</v>
      </c>
      <c r="U449" s="68">
        <v>0</v>
      </c>
      <c r="V449" s="68">
        <v>0</v>
      </c>
      <c r="W449" s="68">
        <v>0</v>
      </c>
      <c r="X449" s="68">
        <v>0</v>
      </c>
      <c r="Y449" s="68">
        <v>0</v>
      </c>
      <c r="Z449" s="68">
        <v>0</v>
      </c>
      <c r="AA449" s="68">
        <v>0</v>
      </c>
      <c r="AB449" s="69">
        <v>0</v>
      </c>
      <c r="AC449" s="69">
        <v>0</v>
      </c>
      <c r="AD449" s="70">
        <f>IFERROR(tblTarget[[#This Row],[Cluster Target]]/tblTarget[[#This Row],[Cluster PiN]],0)</f>
        <v>0</v>
      </c>
      <c r="AE449" s="79">
        <f>_xlfn.XLOOKUP(tblTarget[[#This Row],[ID]],tblResponse[ID],tblResponse[2024 Projected reached (Dec 2024)])</f>
        <v>0</v>
      </c>
      <c r="AF449" s="79">
        <f>_xlfn.XLOOKUP(tblTarget[[#This Row],[ID]],tblResponse[ID],tblResponse[2024 Intercluster reached -August RPM])</f>
        <v>468.87166714843647</v>
      </c>
      <c r="AG449" s="79">
        <v>2</v>
      </c>
      <c r="AH449" s="79"/>
      <c r="AI449" s="79"/>
      <c r="AJ449" s="70" t="str">
        <f>IF(tblTarget[[#This Row],[Target to PiN (%)]]&gt;Targ_vs_PiN,"Flagged","")</f>
        <v/>
      </c>
      <c r="AK449" s="69" t="str">
        <f>IF(AND(tblTarget[[#This Row],[Qualifies for exception]]="Flagged",tblTarget[[#This Row],[Target to PiN (%)]]&gt;Targ_severity5),"Flagged","")</f>
        <v/>
      </c>
      <c r="AL449" s="68" t="str">
        <f>IFERROR(IF(AND(tblTarget[[#This Row],[Intercluser Severity]]=4,tblTarget[[#This Row],[Qualifies for exception]]="Flagged",(tblTarget[[#This Row],[Cluster Target]]-tblTarget[[#This Row],[2024 Response capacity up to December]])/tblTarget[[#This Row],[Cluster Target]]&gt;Diff_severity4),"Flagged",""),"No target")</f>
        <v>No target</v>
      </c>
      <c r="AM449" s="68" t="str">
        <f>IFERROR(IF(AND(tblTarget[[#This Row],[Intercluser Severity]]=3,tblTarget[[#This Row],[Qualifies for exception]]="Flagged",(tblTarget[[#This Row],[Cluster Target]]-tblTarget[[#This Row],[2024 Response capacity up to December]])/tblTarget[[#This Row],[Cluster Target]]&gt;Diff_severity3),"Flagged",""),"No target")</f>
        <v>No target</v>
      </c>
      <c r="AN449" s="81" t="s">
        <v>15</v>
      </c>
      <c r="AO449" s="81"/>
      <c r="AP449" s="81" t="s">
        <v>15</v>
      </c>
      <c r="AQ449" s="81" t="s">
        <v>1098</v>
      </c>
    </row>
    <row r="450" spans="1:43" ht="15.95" customHeight="1" x14ac:dyDescent="0.2">
      <c r="A450" s="62" t="s">
        <v>887</v>
      </c>
      <c r="B450" s="63" t="s">
        <v>160</v>
      </c>
      <c r="C450" s="64" t="s">
        <v>161</v>
      </c>
      <c r="D450" s="63" t="s">
        <v>172</v>
      </c>
      <c r="E450" s="64" t="s">
        <v>173</v>
      </c>
      <c r="F450" s="65">
        <v>0</v>
      </c>
      <c r="G450" s="66" t="s">
        <v>437</v>
      </c>
      <c r="H450" s="67">
        <v>0</v>
      </c>
      <c r="I450" s="68">
        <v>3</v>
      </c>
      <c r="J450" s="68">
        <v>4</v>
      </c>
      <c r="K450" s="91">
        <v>0</v>
      </c>
      <c r="L450" s="91">
        <v>0</v>
      </c>
      <c r="M450" s="91">
        <v>0</v>
      </c>
      <c r="N450" s="91">
        <v>0</v>
      </c>
      <c r="O450" s="91">
        <v>0</v>
      </c>
      <c r="P450" s="91">
        <v>0</v>
      </c>
      <c r="Q450" s="85">
        <v>0</v>
      </c>
      <c r="R450" s="68" t="s">
        <v>15</v>
      </c>
      <c r="S450" s="86">
        <v>0</v>
      </c>
      <c r="T450" s="68">
        <v>0</v>
      </c>
      <c r="U450" s="68">
        <v>0</v>
      </c>
      <c r="V450" s="68">
        <v>0</v>
      </c>
      <c r="W450" s="68">
        <v>0</v>
      </c>
      <c r="X450" s="68">
        <v>0</v>
      </c>
      <c r="Y450" s="68">
        <v>0</v>
      </c>
      <c r="Z450" s="68">
        <v>0</v>
      </c>
      <c r="AA450" s="68">
        <v>0</v>
      </c>
      <c r="AB450" s="69">
        <v>0</v>
      </c>
      <c r="AC450" s="69">
        <v>0</v>
      </c>
      <c r="AD450" s="70">
        <f>IFERROR(tblTarget[[#This Row],[Cluster Target]]/tblTarget[[#This Row],[Cluster PiN]],0)</f>
        <v>0</v>
      </c>
      <c r="AE450" s="79">
        <f>_xlfn.XLOOKUP(tblTarget[[#This Row],[ID]],tblResponse[ID],tblResponse[2024 Projected reached (Dec 2024)])</f>
        <v>0</v>
      </c>
      <c r="AF450" s="79">
        <f>_xlfn.XLOOKUP(tblTarget[[#This Row],[ID]],tblResponse[ID],tblResponse[2024 Intercluster reached -August RPM])</f>
        <v>2606.4965685977277</v>
      </c>
      <c r="AG450" s="79">
        <v>3</v>
      </c>
      <c r="AH450" s="79"/>
      <c r="AI450" s="79"/>
      <c r="AJ450" s="70" t="str">
        <f>IF(tblTarget[[#This Row],[Target to PiN (%)]]&gt;Targ_vs_PiN,"Flagged","")</f>
        <v/>
      </c>
      <c r="AK450" s="69" t="str">
        <f>IF(AND(tblTarget[[#This Row],[Qualifies for exception]]="Flagged",tblTarget[[#This Row],[Target to PiN (%)]]&gt;Targ_severity5),"Flagged","")</f>
        <v/>
      </c>
      <c r="AL450" s="68" t="str">
        <f>IFERROR(IF(AND(tblTarget[[#This Row],[Intercluser Severity]]=4,tblTarget[[#This Row],[Qualifies for exception]]="Flagged",(tblTarget[[#This Row],[Cluster Target]]-tblTarget[[#This Row],[2024 Response capacity up to December]])/tblTarget[[#This Row],[Cluster Target]]&gt;Diff_severity4),"Flagged",""),"No target")</f>
        <v>No target</v>
      </c>
      <c r="AM450" s="68" t="str">
        <f>IFERROR(IF(AND(tblTarget[[#This Row],[Intercluser Severity]]=3,tblTarget[[#This Row],[Qualifies for exception]]="Flagged",(tblTarget[[#This Row],[Cluster Target]]-tblTarget[[#This Row],[2024 Response capacity up to December]])/tblTarget[[#This Row],[Cluster Target]]&gt;Diff_severity3),"Flagged",""),"No target")</f>
        <v>No target</v>
      </c>
      <c r="AN450" s="81" t="s">
        <v>15</v>
      </c>
      <c r="AO450" s="81"/>
      <c r="AP450" s="81" t="s">
        <v>1099</v>
      </c>
      <c r="AQ450" s="81" t="s">
        <v>1098</v>
      </c>
    </row>
    <row r="451" spans="1:43" ht="15.95" customHeight="1" x14ac:dyDescent="0.2">
      <c r="A451" s="62" t="s">
        <v>888</v>
      </c>
      <c r="B451" s="63" t="s">
        <v>160</v>
      </c>
      <c r="C451" s="64" t="s">
        <v>161</v>
      </c>
      <c r="D451" s="63" t="s">
        <v>174</v>
      </c>
      <c r="E451" s="64" t="s">
        <v>175</v>
      </c>
      <c r="F451" s="65">
        <v>0</v>
      </c>
      <c r="G451" s="66" t="s">
        <v>437</v>
      </c>
      <c r="H451" s="67">
        <v>0</v>
      </c>
      <c r="I451" s="68">
        <v>3</v>
      </c>
      <c r="J451" s="68">
        <v>4</v>
      </c>
      <c r="K451" s="91">
        <v>0</v>
      </c>
      <c r="L451" s="91">
        <v>0</v>
      </c>
      <c r="M451" s="91">
        <v>0</v>
      </c>
      <c r="N451" s="91">
        <v>0</v>
      </c>
      <c r="O451" s="91">
        <v>0</v>
      </c>
      <c r="P451" s="91">
        <v>0</v>
      </c>
      <c r="Q451" s="85">
        <v>0</v>
      </c>
      <c r="R451" s="68" t="s">
        <v>15</v>
      </c>
      <c r="S451" s="86">
        <v>0</v>
      </c>
      <c r="T451" s="68">
        <v>0</v>
      </c>
      <c r="U451" s="68">
        <v>0</v>
      </c>
      <c r="V451" s="68">
        <v>0</v>
      </c>
      <c r="W451" s="68">
        <v>0</v>
      </c>
      <c r="X451" s="68">
        <v>0</v>
      </c>
      <c r="Y451" s="68">
        <v>0</v>
      </c>
      <c r="Z451" s="68">
        <v>0</v>
      </c>
      <c r="AA451" s="68">
        <v>0</v>
      </c>
      <c r="AB451" s="69">
        <v>0</v>
      </c>
      <c r="AC451" s="69">
        <v>0</v>
      </c>
      <c r="AD451" s="70">
        <f>IFERROR(tblTarget[[#This Row],[Cluster Target]]/tblTarget[[#This Row],[Cluster PiN]],0)</f>
        <v>0</v>
      </c>
      <c r="AE451" s="79">
        <f>_xlfn.XLOOKUP(tblTarget[[#This Row],[ID]],tblResponse[ID],tblResponse[2024 Projected reached (Dec 2024)])</f>
        <v>0</v>
      </c>
      <c r="AF451" s="79">
        <f>_xlfn.XLOOKUP(tblTarget[[#This Row],[ID]],tblResponse[ID],tblResponse[2024 Intercluster reached -August RPM])</f>
        <v>836.05870802565039</v>
      </c>
      <c r="AG451" s="79">
        <v>1</v>
      </c>
      <c r="AH451" s="79"/>
      <c r="AI451" s="79"/>
      <c r="AJ451" s="70" t="str">
        <f>IF(tblTarget[[#This Row],[Target to PiN (%)]]&gt;Targ_vs_PiN,"Flagged","")</f>
        <v/>
      </c>
      <c r="AK451" s="69" t="str">
        <f>IF(AND(tblTarget[[#This Row],[Qualifies for exception]]="Flagged",tblTarget[[#This Row],[Target to PiN (%)]]&gt;Targ_severity5),"Flagged","")</f>
        <v/>
      </c>
      <c r="AL451" s="68" t="str">
        <f>IFERROR(IF(AND(tblTarget[[#This Row],[Intercluser Severity]]=4,tblTarget[[#This Row],[Qualifies for exception]]="Flagged",(tblTarget[[#This Row],[Cluster Target]]-tblTarget[[#This Row],[2024 Response capacity up to December]])/tblTarget[[#This Row],[Cluster Target]]&gt;Diff_severity4),"Flagged",""),"No target")</f>
        <v>No target</v>
      </c>
      <c r="AM451" s="68" t="str">
        <f>IFERROR(IF(AND(tblTarget[[#This Row],[Intercluser Severity]]=3,tblTarget[[#This Row],[Qualifies for exception]]="Flagged",(tblTarget[[#This Row],[Cluster Target]]-tblTarget[[#This Row],[2024 Response capacity up to December]])/tblTarget[[#This Row],[Cluster Target]]&gt;Diff_severity3),"Flagged",""),"No target")</f>
        <v>No target</v>
      </c>
      <c r="AN451" s="81" t="s">
        <v>15</v>
      </c>
      <c r="AO451" s="81"/>
      <c r="AP451" s="81" t="s">
        <v>15</v>
      </c>
      <c r="AQ451" s="81" t="s">
        <v>1098</v>
      </c>
    </row>
    <row r="452" spans="1:43" ht="15.95" customHeight="1" x14ac:dyDescent="0.2">
      <c r="A452" s="62" t="s">
        <v>889</v>
      </c>
      <c r="B452" s="63" t="s">
        <v>160</v>
      </c>
      <c r="C452" s="64" t="s">
        <v>161</v>
      </c>
      <c r="D452" s="63" t="s">
        <v>176</v>
      </c>
      <c r="E452" s="64" t="s">
        <v>177</v>
      </c>
      <c r="F452" s="65">
        <v>0</v>
      </c>
      <c r="G452" s="66" t="s">
        <v>437</v>
      </c>
      <c r="H452" s="67">
        <v>0</v>
      </c>
      <c r="I452" s="68">
        <v>4</v>
      </c>
      <c r="J452" s="68">
        <v>4</v>
      </c>
      <c r="K452" s="91">
        <v>0</v>
      </c>
      <c r="L452" s="91">
        <v>0</v>
      </c>
      <c r="M452" s="91">
        <v>0</v>
      </c>
      <c r="N452" s="91">
        <v>0</v>
      </c>
      <c r="O452" s="91">
        <v>0</v>
      </c>
      <c r="P452" s="91">
        <v>0</v>
      </c>
      <c r="Q452" s="85">
        <v>0</v>
      </c>
      <c r="R452" s="68" t="s">
        <v>15</v>
      </c>
      <c r="S452" s="86">
        <v>0</v>
      </c>
      <c r="T452" s="68">
        <v>0</v>
      </c>
      <c r="U452" s="68">
        <v>0</v>
      </c>
      <c r="V452" s="68">
        <v>0</v>
      </c>
      <c r="W452" s="68">
        <v>0</v>
      </c>
      <c r="X452" s="68">
        <v>0</v>
      </c>
      <c r="Y452" s="68">
        <v>0</v>
      </c>
      <c r="Z452" s="68">
        <v>0</v>
      </c>
      <c r="AA452" s="68">
        <v>0</v>
      </c>
      <c r="AB452" s="69">
        <v>0</v>
      </c>
      <c r="AC452" s="69">
        <v>0</v>
      </c>
      <c r="AD452" s="70">
        <f>IFERROR(tblTarget[[#This Row],[Cluster Target]]/tblTarget[[#This Row],[Cluster PiN]],0)</f>
        <v>0</v>
      </c>
      <c r="AE452" s="79">
        <f>_xlfn.XLOOKUP(tblTarget[[#This Row],[ID]],tblResponse[ID],tblResponse[2024 Projected reached (Dec 2024)])</f>
        <v>0</v>
      </c>
      <c r="AF452" s="79">
        <f>_xlfn.XLOOKUP(tblTarget[[#This Row],[ID]],tblResponse[ID],tblResponse[2024 Intercluster reached -August RPM])</f>
        <v>1759.8838567620501</v>
      </c>
      <c r="AG452" s="79">
        <v>3</v>
      </c>
      <c r="AH452" s="79"/>
      <c r="AI452" s="79"/>
      <c r="AJ452" s="70" t="str">
        <f>IF(tblTarget[[#This Row],[Target to PiN (%)]]&gt;Targ_vs_PiN,"Flagged","")</f>
        <v/>
      </c>
      <c r="AK452" s="69" t="str">
        <f>IF(AND(tblTarget[[#This Row],[Qualifies for exception]]="Flagged",tblTarget[[#This Row],[Target to PiN (%)]]&gt;Targ_severity5),"Flagged","")</f>
        <v/>
      </c>
      <c r="AL452" s="68" t="str">
        <f>IFERROR(IF(AND(tblTarget[[#This Row],[Intercluser Severity]]=4,tblTarget[[#This Row],[Qualifies for exception]]="Flagged",(tblTarget[[#This Row],[Cluster Target]]-tblTarget[[#This Row],[2024 Response capacity up to December]])/tblTarget[[#This Row],[Cluster Target]]&gt;Diff_severity4),"Flagged",""),"No target")</f>
        <v>No target</v>
      </c>
      <c r="AM452" s="68" t="str">
        <f>IFERROR(IF(AND(tblTarget[[#This Row],[Intercluser Severity]]=3,tblTarget[[#This Row],[Qualifies for exception]]="Flagged",(tblTarget[[#This Row],[Cluster Target]]-tblTarget[[#This Row],[2024 Response capacity up to December]])/tblTarget[[#This Row],[Cluster Target]]&gt;Diff_severity3),"Flagged",""),"No target")</f>
        <v>No target</v>
      </c>
      <c r="AN452" s="81" t="s">
        <v>1099</v>
      </c>
      <c r="AO452" s="81"/>
      <c r="AP452" s="81" t="s">
        <v>15</v>
      </c>
      <c r="AQ452" s="81" t="s">
        <v>1098</v>
      </c>
    </row>
    <row r="453" spans="1:43" ht="15.95" customHeight="1" x14ac:dyDescent="0.2">
      <c r="A453" s="62" t="s">
        <v>890</v>
      </c>
      <c r="B453" s="63" t="s">
        <v>160</v>
      </c>
      <c r="C453" s="64" t="s">
        <v>161</v>
      </c>
      <c r="D453" s="63" t="s">
        <v>178</v>
      </c>
      <c r="E453" s="64" t="s">
        <v>179</v>
      </c>
      <c r="F453" s="65">
        <v>0</v>
      </c>
      <c r="G453" s="66" t="s">
        <v>437</v>
      </c>
      <c r="H453" s="67">
        <v>0</v>
      </c>
      <c r="I453" s="68">
        <v>3</v>
      </c>
      <c r="J453" s="68">
        <v>4</v>
      </c>
      <c r="K453" s="91">
        <v>0</v>
      </c>
      <c r="L453" s="91">
        <v>0</v>
      </c>
      <c r="M453" s="91">
        <v>0</v>
      </c>
      <c r="N453" s="91">
        <v>0</v>
      </c>
      <c r="O453" s="91">
        <v>0</v>
      </c>
      <c r="P453" s="91">
        <v>0</v>
      </c>
      <c r="Q453" s="85">
        <v>0</v>
      </c>
      <c r="R453" s="68" t="s">
        <v>15</v>
      </c>
      <c r="S453" s="86">
        <v>0</v>
      </c>
      <c r="T453" s="68">
        <v>0</v>
      </c>
      <c r="U453" s="68">
        <v>0</v>
      </c>
      <c r="V453" s="68">
        <v>0</v>
      </c>
      <c r="W453" s="68">
        <v>0</v>
      </c>
      <c r="X453" s="68">
        <v>0</v>
      </c>
      <c r="Y453" s="68">
        <v>0</v>
      </c>
      <c r="Z453" s="68">
        <v>0</v>
      </c>
      <c r="AA453" s="68">
        <v>0</v>
      </c>
      <c r="AB453" s="69">
        <v>0</v>
      </c>
      <c r="AC453" s="69">
        <v>0</v>
      </c>
      <c r="AD453" s="70">
        <f>IFERROR(tblTarget[[#This Row],[Cluster Target]]/tblTarget[[#This Row],[Cluster PiN]],0)</f>
        <v>0</v>
      </c>
      <c r="AE453" s="79">
        <f>_xlfn.XLOOKUP(tblTarget[[#This Row],[ID]],tblResponse[ID],tblResponse[2024 Projected reached (Dec 2024)])</f>
        <v>0</v>
      </c>
      <c r="AF453" s="79">
        <f>_xlfn.XLOOKUP(tblTarget[[#This Row],[ID]],tblResponse[ID],tblResponse[2024 Intercluster reached -August RPM])</f>
        <v>1843.8246571636639</v>
      </c>
      <c r="AG453" s="79">
        <v>2</v>
      </c>
      <c r="AH453" s="79"/>
      <c r="AI453" s="79"/>
      <c r="AJ453" s="70" t="str">
        <f>IF(tblTarget[[#This Row],[Target to PiN (%)]]&gt;Targ_vs_PiN,"Flagged","")</f>
        <v/>
      </c>
      <c r="AK453" s="69" t="str">
        <f>IF(AND(tblTarget[[#This Row],[Qualifies for exception]]="Flagged",tblTarget[[#This Row],[Target to PiN (%)]]&gt;Targ_severity5),"Flagged","")</f>
        <v/>
      </c>
      <c r="AL453" s="68" t="str">
        <f>IFERROR(IF(AND(tblTarget[[#This Row],[Intercluser Severity]]=4,tblTarget[[#This Row],[Qualifies for exception]]="Flagged",(tblTarget[[#This Row],[Cluster Target]]-tblTarget[[#This Row],[2024 Response capacity up to December]])/tblTarget[[#This Row],[Cluster Target]]&gt;Diff_severity4),"Flagged",""),"No target")</f>
        <v>No target</v>
      </c>
      <c r="AM453" s="68" t="str">
        <f>IFERROR(IF(AND(tblTarget[[#This Row],[Intercluser Severity]]=3,tblTarget[[#This Row],[Qualifies for exception]]="Flagged",(tblTarget[[#This Row],[Cluster Target]]-tblTarget[[#This Row],[2024 Response capacity up to December]])/tblTarget[[#This Row],[Cluster Target]]&gt;Diff_severity3),"Flagged",""),"No target")</f>
        <v>No target</v>
      </c>
      <c r="AN453" s="81" t="s">
        <v>15</v>
      </c>
      <c r="AO453" s="81"/>
      <c r="AP453" s="81" t="s">
        <v>1099</v>
      </c>
      <c r="AQ453" s="81" t="s">
        <v>1098</v>
      </c>
    </row>
    <row r="454" spans="1:43" ht="15.95" hidden="1" customHeight="1" x14ac:dyDescent="0.2">
      <c r="A454" s="62" t="s">
        <v>891</v>
      </c>
      <c r="B454" s="63" t="s">
        <v>180</v>
      </c>
      <c r="C454" s="64" t="s">
        <v>181</v>
      </c>
      <c r="D454" s="63" t="s">
        <v>182</v>
      </c>
      <c r="E454" s="64" t="s">
        <v>183</v>
      </c>
      <c r="F454" s="65">
        <v>17941</v>
      </c>
      <c r="G454" s="66" t="s">
        <v>437</v>
      </c>
      <c r="H454" s="67">
        <v>908</v>
      </c>
      <c r="I454" s="68">
        <v>3</v>
      </c>
      <c r="J454" s="68">
        <v>4</v>
      </c>
      <c r="K454" s="91">
        <v>45.5</v>
      </c>
      <c r="L454" s="91">
        <v>23.45266901138336</v>
      </c>
      <c r="M454" s="91">
        <v>22.04733098861664</v>
      </c>
      <c r="N454" s="91">
        <v>22.75</v>
      </c>
      <c r="O454" s="91">
        <v>20.02</v>
      </c>
      <c r="P454" s="91">
        <v>2.73</v>
      </c>
      <c r="Q454" s="85">
        <v>6.8250000000000002</v>
      </c>
      <c r="R454" s="68" t="s">
        <v>1107</v>
      </c>
      <c r="S454" s="86">
        <v>7</v>
      </c>
      <c r="T454" s="68">
        <v>2</v>
      </c>
      <c r="U454" s="68">
        <v>0</v>
      </c>
      <c r="V454" s="68">
        <v>0</v>
      </c>
      <c r="W454" s="68">
        <v>0</v>
      </c>
      <c r="X454" s="68">
        <v>1</v>
      </c>
      <c r="Y454" s="68">
        <v>3</v>
      </c>
      <c r="Z454" s="68">
        <v>0</v>
      </c>
      <c r="AA454" s="68">
        <v>0</v>
      </c>
      <c r="AB454" s="69">
        <v>0</v>
      </c>
      <c r="AC454" s="69">
        <v>0</v>
      </c>
      <c r="AD454" s="70">
        <f>IFERROR(tblTarget[[#This Row],[Cluster Target]]/tblTarget[[#This Row],[Cluster PiN]],0)</f>
        <v>5.0110132158590309E-2</v>
      </c>
      <c r="AE454" s="79">
        <f>_xlfn.XLOOKUP(tblTarget[[#This Row],[ID]],tblResponse[ID],tblResponse[2024 Projected reached (Dec 2024)])</f>
        <v>0</v>
      </c>
      <c r="AF454" s="79">
        <f>_xlfn.XLOOKUP(tblTarget[[#This Row],[ID]],tblResponse[ID],tblResponse[2024 Intercluster reached -August RPM])</f>
        <v>3515.2424424969513</v>
      </c>
      <c r="AG454" s="79">
        <v>1</v>
      </c>
      <c r="AH454" s="79"/>
      <c r="AI454" s="79"/>
      <c r="AJ454" s="70" t="str">
        <f>IF(tblTarget[[#This Row],[Target to PiN (%)]]&gt;Targ_vs_PiN,"Flagged","")</f>
        <v/>
      </c>
      <c r="AK454" s="69" t="str">
        <f>IF(AND(tblTarget[[#This Row],[Qualifies for exception]]="Flagged",tblTarget[[#This Row],[Target to PiN (%)]]&gt;Targ_severity5),"Flagged","")</f>
        <v/>
      </c>
      <c r="AL454" s="68" t="str">
        <f>IFERROR(IF(AND(tblTarget[[#This Row],[Intercluser Severity]]=4,tblTarget[[#This Row],[Qualifies for exception]]="Flagged",(tblTarget[[#This Row],[Cluster Target]]-tblTarget[[#This Row],[2024 Response capacity up to December]])/tblTarget[[#This Row],[Cluster Target]]&gt;Diff_severity4),"Flagged",""),"No target")</f>
        <v>Flagged</v>
      </c>
      <c r="AM454" s="68" t="str">
        <f>IFERROR(IF(AND(tblTarget[[#This Row],[Intercluser Severity]]=3,tblTarget[[#This Row],[Qualifies for exception]]="Flagged",(tblTarget[[#This Row],[Cluster Target]]-tblTarget[[#This Row],[2024 Response capacity up to December]])/tblTarget[[#This Row],[Cluster Target]]&gt;Diff_severity3),"Flagged",""),"No target")</f>
        <v/>
      </c>
      <c r="AN454" s="81" t="s">
        <v>1099</v>
      </c>
      <c r="AO454" s="81"/>
      <c r="AP454" s="81" t="s">
        <v>1099</v>
      </c>
      <c r="AQ454" s="81" t="s">
        <v>1107</v>
      </c>
    </row>
    <row r="455" spans="1:43" ht="15.95" hidden="1" customHeight="1" x14ac:dyDescent="0.2">
      <c r="A455" s="62" t="s">
        <v>892</v>
      </c>
      <c r="B455" s="63" t="s">
        <v>180</v>
      </c>
      <c r="C455" s="64" t="s">
        <v>181</v>
      </c>
      <c r="D455" s="63" t="s">
        <v>184</v>
      </c>
      <c r="E455" s="64" t="s">
        <v>185</v>
      </c>
      <c r="F455" s="65">
        <v>0</v>
      </c>
      <c r="G455" s="66" t="s">
        <v>437</v>
      </c>
      <c r="H455" s="67">
        <v>0</v>
      </c>
      <c r="I455" s="68">
        <v>3</v>
      </c>
      <c r="J455" s="68">
        <v>4</v>
      </c>
      <c r="K455" s="91">
        <v>0</v>
      </c>
      <c r="L455" s="91">
        <v>0</v>
      </c>
      <c r="M455" s="91">
        <v>0</v>
      </c>
      <c r="N455" s="91">
        <v>0</v>
      </c>
      <c r="O455" s="91">
        <v>0</v>
      </c>
      <c r="P455" s="91">
        <v>0</v>
      </c>
      <c r="Q455" s="85">
        <v>0</v>
      </c>
      <c r="R455" s="68" t="s">
        <v>1107</v>
      </c>
      <c r="S455" s="86">
        <v>0</v>
      </c>
      <c r="T455" s="68">
        <v>0</v>
      </c>
      <c r="U455" s="68">
        <v>0</v>
      </c>
      <c r="V455" s="68">
        <v>0</v>
      </c>
      <c r="W455" s="68">
        <v>0</v>
      </c>
      <c r="X455" s="68">
        <v>0</v>
      </c>
      <c r="Y455" s="68">
        <v>0</v>
      </c>
      <c r="Z455" s="68">
        <v>0</v>
      </c>
      <c r="AA455" s="68">
        <v>0</v>
      </c>
      <c r="AB455" s="69">
        <v>0</v>
      </c>
      <c r="AC455" s="69">
        <v>0</v>
      </c>
      <c r="AD455" s="70">
        <f>IFERROR(tblTarget[[#This Row],[Cluster Target]]/tblTarget[[#This Row],[Cluster PiN]],0)</f>
        <v>0</v>
      </c>
      <c r="AE455" s="79">
        <f>_xlfn.XLOOKUP(tblTarget[[#This Row],[ID]],tblResponse[ID],tblResponse[2024 Projected reached (Dec 2024)])</f>
        <v>0</v>
      </c>
      <c r="AF455" s="79">
        <f>_xlfn.XLOOKUP(tblTarget[[#This Row],[ID]],tblResponse[ID],tblResponse[2024 Intercluster reached -August RPM])</f>
        <v>856.67548556710017</v>
      </c>
      <c r="AG455" s="79">
        <v>1</v>
      </c>
      <c r="AH455" s="79"/>
      <c r="AI455" s="79"/>
      <c r="AJ455" s="70" t="str">
        <f>IF(tblTarget[[#This Row],[Target to PiN (%)]]&gt;Targ_vs_PiN,"Flagged","")</f>
        <v/>
      </c>
      <c r="AK455" s="69" t="str">
        <f>IF(AND(tblTarget[[#This Row],[Qualifies for exception]]="Flagged",tblTarget[[#This Row],[Target to PiN (%)]]&gt;Targ_severity5),"Flagged","")</f>
        <v/>
      </c>
      <c r="AL455" s="68" t="str">
        <f>IFERROR(IF(AND(tblTarget[[#This Row],[Intercluser Severity]]=4,tblTarget[[#This Row],[Qualifies for exception]]="Flagged",(tblTarget[[#This Row],[Cluster Target]]-tblTarget[[#This Row],[2024 Response capacity up to December]])/tblTarget[[#This Row],[Cluster Target]]&gt;Diff_severity4),"Flagged",""),"No target")</f>
        <v>No target</v>
      </c>
      <c r="AM455" s="68" t="str">
        <f>IFERROR(IF(AND(tblTarget[[#This Row],[Intercluser Severity]]=3,tblTarget[[#This Row],[Qualifies for exception]]="Flagged",(tblTarget[[#This Row],[Cluster Target]]-tblTarget[[#This Row],[2024 Response capacity up to December]])/tblTarget[[#This Row],[Cluster Target]]&gt;Diff_severity3),"Flagged",""),"No target")</f>
        <v>No target</v>
      </c>
      <c r="AN455" s="81" t="s">
        <v>1099</v>
      </c>
      <c r="AO455" s="81"/>
      <c r="AP455" s="81" t="s">
        <v>1099</v>
      </c>
      <c r="AQ455" s="81" t="s">
        <v>1107</v>
      </c>
    </row>
    <row r="456" spans="1:43" ht="15.95" hidden="1" customHeight="1" x14ac:dyDescent="0.2">
      <c r="A456" s="62" t="s">
        <v>893</v>
      </c>
      <c r="B456" s="63" t="s">
        <v>180</v>
      </c>
      <c r="C456" s="64" t="s">
        <v>181</v>
      </c>
      <c r="D456" s="63" t="s">
        <v>186</v>
      </c>
      <c r="E456" s="64" t="s">
        <v>187</v>
      </c>
      <c r="F456" s="65">
        <v>0</v>
      </c>
      <c r="G456" s="66" t="s">
        <v>437</v>
      </c>
      <c r="H456" s="67">
        <v>0</v>
      </c>
      <c r="I456" s="68">
        <v>4</v>
      </c>
      <c r="J456" s="68">
        <v>4</v>
      </c>
      <c r="K456" s="91">
        <v>0</v>
      </c>
      <c r="L456" s="91">
        <v>0</v>
      </c>
      <c r="M456" s="91">
        <v>0</v>
      </c>
      <c r="N456" s="91">
        <v>0</v>
      </c>
      <c r="O456" s="91">
        <v>0</v>
      </c>
      <c r="P456" s="91">
        <v>0</v>
      </c>
      <c r="Q456" s="85">
        <v>0</v>
      </c>
      <c r="R456" s="68" t="s">
        <v>1107</v>
      </c>
      <c r="S456" s="86">
        <v>0</v>
      </c>
      <c r="T456" s="68">
        <v>0</v>
      </c>
      <c r="U456" s="68">
        <v>0</v>
      </c>
      <c r="V456" s="68">
        <v>0</v>
      </c>
      <c r="W456" s="68">
        <v>0</v>
      </c>
      <c r="X456" s="68">
        <v>0</v>
      </c>
      <c r="Y456" s="68">
        <v>0</v>
      </c>
      <c r="Z456" s="68">
        <v>0</v>
      </c>
      <c r="AA456" s="68">
        <v>0</v>
      </c>
      <c r="AB456" s="69">
        <v>0</v>
      </c>
      <c r="AC456" s="69">
        <v>0</v>
      </c>
      <c r="AD456" s="70">
        <f>IFERROR(tblTarget[[#This Row],[Cluster Target]]/tblTarget[[#This Row],[Cluster PiN]],0)</f>
        <v>0</v>
      </c>
      <c r="AE456" s="79">
        <f>_xlfn.XLOOKUP(tblTarget[[#This Row],[ID]],tblResponse[ID],tblResponse[2024 Projected reached (Dec 2024)])</f>
        <v>0</v>
      </c>
      <c r="AF456" s="79">
        <f>_xlfn.XLOOKUP(tblTarget[[#This Row],[ID]],tblResponse[ID],tblResponse[2024 Intercluster reached -August RPM])</f>
        <v>881.78776261578298</v>
      </c>
      <c r="AG456" s="79">
        <v>2</v>
      </c>
      <c r="AH456" s="79"/>
      <c r="AI456" s="79"/>
      <c r="AJ456" s="70" t="str">
        <f>IF(tblTarget[[#This Row],[Target to PiN (%)]]&gt;Targ_vs_PiN,"Flagged","")</f>
        <v/>
      </c>
      <c r="AK456" s="69" t="str">
        <f>IF(AND(tblTarget[[#This Row],[Qualifies for exception]]="Flagged",tblTarget[[#This Row],[Target to PiN (%)]]&gt;Targ_severity5),"Flagged","")</f>
        <v/>
      </c>
      <c r="AL456" s="68" t="str">
        <f>IFERROR(IF(AND(tblTarget[[#This Row],[Intercluser Severity]]=4,tblTarget[[#This Row],[Qualifies for exception]]="Flagged",(tblTarget[[#This Row],[Cluster Target]]-tblTarget[[#This Row],[2024 Response capacity up to December]])/tblTarget[[#This Row],[Cluster Target]]&gt;Diff_severity4),"Flagged",""),"No target")</f>
        <v>No target</v>
      </c>
      <c r="AM456" s="68" t="str">
        <f>IFERROR(IF(AND(tblTarget[[#This Row],[Intercluser Severity]]=3,tblTarget[[#This Row],[Qualifies for exception]]="Flagged",(tblTarget[[#This Row],[Cluster Target]]-tblTarget[[#This Row],[2024 Response capacity up to December]])/tblTarget[[#This Row],[Cluster Target]]&gt;Diff_severity3),"Flagged",""),"No target")</f>
        <v>No target</v>
      </c>
      <c r="AN456" s="81" t="s">
        <v>1099</v>
      </c>
      <c r="AO456" s="81"/>
      <c r="AP456" s="81" t="s">
        <v>1099</v>
      </c>
      <c r="AQ456" s="81" t="s">
        <v>1107</v>
      </c>
    </row>
    <row r="457" spans="1:43" ht="15.95" hidden="1" customHeight="1" x14ac:dyDescent="0.2">
      <c r="A457" s="62" t="s">
        <v>894</v>
      </c>
      <c r="B457" s="63" t="s">
        <v>180</v>
      </c>
      <c r="C457" s="64" t="s">
        <v>181</v>
      </c>
      <c r="D457" s="63" t="s">
        <v>188</v>
      </c>
      <c r="E457" s="64" t="s">
        <v>189</v>
      </c>
      <c r="F457" s="65">
        <v>71757</v>
      </c>
      <c r="G457" s="66" t="s">
        <v>437</v>
      </c>
      <c r="H457" s="67">
        <v>9802</v>
      </c>
      <c r="I457" s="68">
        <v>3</v>
      </c>
      <c r="J457" s="68">
        <v>4</v>
      </c>
      <c r="K457" s="91">
        <v>0</v>
      </c>
      <c r="L457" s="91">
        <v>0</v>
      </c>
      <c r="M457" s="91">
        <v>0</v>
      </c>
      <c r="N457" s="91">
        <v>0</v>
      </c>
      <c r="O457" s="91">
        <v>0</v>
      </c>
      <c r="P457" s="91">
        <v>0</v>
      </c>
      <c r="Q457" s="85">
        <v>0</v>
      </c>
      <c r="R457" s="68" t="s">
        <v>1107</v>
      </c>
      <c r="S457" s="86">
        <v>0</v>
      </c>
      <c r="T457" s="68">
        <v>0</v>
      </c>
      <c r="U457" s="68">
        <v>0</v>
      </c>
      <c r="V457" s="68">
        <v>0</v>
      </c>
      <c r="W457" s="68">
        <v>0</v>
      </c>
      <c r="X457" s="68">
        <v>0</v>
      </c>
      <c r="Y457" s="68">
        <v>0</v>
      </c>
      <c r="Z457" s="68">
        <v>0</v>
      </c>
      <c r="AA457" s="68">
        <v>0</v>
      </c>
      <c r="AB457" s="69">
        <v>0</v>
      </c>
      <c r="AC457" s="69">
        <v>0</v>
      </c>
      <c r="AD457" s="70">
        <f>IFERROR(tblTarget[[#This Row],[Cluster Target]]/tblTarget[[#This Row],[Cluster PiN]],0)</f>
        <v>0</v>
      </c>
      <c r="AE457" s="79">
        <f>_xlfn.XLOOKUP(tblTarget[[#This Row],[ID]],tblResponse[ID],tblResponse[2024 Projected reached (Dec 2024)])</f>
        <v>0</v>
      </c>
      <c r="AF457" s="79">
        <f>_xlfn.XLOOKUP(tblTarget[[#This Row],[ID]],tblResponse[ID],tblResponse[2024 Intercluster reached -August RPM])</f>
        <v>74.428799788627288</v>
      </c>
      <c r="AG457" s="79">
        <v>1</v>
      </c>
      <c r="AH457" s="79"/>
      <c r="AI457" s="79"/>
      <c r="AJ457" s="70" t="str">
        <f>IF(tblTarget[[#This Row],[Target to PiN (%)]]&gt;Targ_vs_PiN,"Flagged","")</f>
        <v/>
      </c>
      <c r="AK457" s="69" t="str">
        <f>IF(AND(tblTarget[[#This Row],[Qualifies for exception]]="Flagged",tblTarget[[#This Row],[Target to PiN (%)]]&gt;Targ_severity5),"Flagged","")</f>
        <v/>
      </c>
      <c r="AL457" s="68" t="str">
        <f>IFERROR(IF(AND(tblTarget[[#This Row],[Intercluser Severity]]=4,tblTarget[[#This Row],[Qualifies for exception]]="Flagged",(tblTarget[[#This Row],[Cluster Target]]-tblTarget[[#This Row],[2024 Response capacity up to December]])/tblTarget[[#This Row],[Cluster Target]]&gt;Diff_severity4),"Flagged",""),"No target")</f>
        <v>No target</v>
      </c>
      <c r="AM457" s="68" t="str">
        <f>IFERROR(IF(AND(tblTarget[[#This Row],[Intercluser Severity]]=3,tblTarget[[#This Row],[Qualifies for exception]]="Flagged",(tblTarget[[#This Row],[Cluster Target]]-tblTarget[[#This Row],[2024 Response capacity up to December]])/tblTarget[[#This Row],[Cluster Target]]&gt;Diff_severity3),"Flagged",""),"No target")</f>
        <v>No target</v>
      </c>
      <c r="AN457" s="81" t="s">
        <v>1099</v>
      </c>
      <c r="AO457" s="81"/>
      <c r="AP457" s="81" t="s">
        <v>1099</v>
      </c>
      <c r="AQ457" s="81" t="s">
        <v>1107</v>
      </c>
    </row>
    <row r="458" spans="1:43" ht="15.95" hidden="1" customHeight="1" x14ac:dyDescent="0.2">
      <c r="A458" s="62" t="s">
        <v>895</v>
      </c>
      <c r="B458" s="63" t="s">
        <v>180</v>
      </c>
      <c r="C458" s="64" t="s">
        <v>181</v>
      </c>
      <c r="D458" s="63" t="s">
        <v>190</v>
      </c>
      <c r="E458" s="64" t="s">
        <v>191</v>
      </c>
      <c r="F458" s="65">
        <v>2418</v>
      </c>
      <c r="G458" s="66" t="s">
        <v>437</v>
      </c>
      <c r="H458" s="67">
        <v>0</v>
      </c>
      <c r="I458" s="68">
        <v>3</v>
      </c>
      <c r="J458" s="68">
        <v>4</v>
      </c>
      <c r="K458" s="91">
        <v>0</v>
      </c>
      <c r="L458" s="91">
        <v>0</v>
      </c>
      <c r="M458" s="91">
        <v>0</v>
      </c>
      <c r="N458" s="91">
        <v>0</v>
      </c>
      <c r="O458" s="91">
        <v>0</v>
      </c>
      <c r="P458" s="91">
        <v>0</v>
      </c>
      <c r="Q458" s="85">
        <v>0</v>
      </c>
      <c r="R458" s="68" t="s">
        <v>1107</v>
      </c>
      <c r="S458" s="86">
        <v>0</v>
      </c>
      <c r="T458" s="68">
        <v>0</v>
      </c>
      <c r="U458" s="68">
        <v>0</v>
      </c>
      <c r="V458" s="68">
        <v>0</v>
      </c>
      <c r="W458" s="68">
        <v>0</v>
      </c>
      <c r="X458" s="68">
        <v>0</v>
      </c>
      <c r="Y458" s="68">
        <v>0</v>
      </c>
      <c r="Z458" s="68">
        <v>0</v>
      </c>
      <c r="AA458" s="68">
        <v>0</v>
      </c>
      <c r="AB458" s="69">
        <v>0</v>
      </c>
      <c r="AC458" s="69">
        <v>0</v>
      </c>
      <c r="AD458" s="70">
        <f>IFERROR(tblTarget[[#This Row],[Cluster Target]]/tblTarget[[#This Row],[Cluster PiN]],0)</f>
        <v>0</v>
      </c>
      <c r="AE458" s="79">
        <f>_xlfn.XLOOKUP(tblTarget[[#This Row],[ID]],tblResponse[ID],tblResponse[2024 Projected reached (Dec 2024)])</f>
        <v>0</v>
      </c>
      <c r="AF458" s="79">
        <f>_xlfn.XLOOKUP(tblTarget[[#This Row],[ID]],tblResponse[ID],tblResponse[2024 Intercluster reached -August RPM])</f>
        <v>787.30784416409949</v>
      </c>
      <c r="AG458" s="79">
        <v>1</v>
      </c>
      <c r="AH458" s="79"/>
      <c r="AI458" s="79"/>
      <c r="AJ458" s="70" t="str">
        <f>IF(tblTarget[[#This Row],[Target to PiN (%)]]&gt;Targ_vs_PiN,"Flagged","")</f>
        <v/>
      </c>
      <c r="AK458" s="69" t="str">
        <f>IF(AND(tblTarget[[#This Row],[Qualifies for exception]]="Flagged",tblTarget[[#This Row],[Target to PiN (%)]]&gt;Targ_severity5),"Flagged","")</f>
        <v/>
      </c>
      <c r="AL458" s="68" t="str">
        <f>IFERROR(IF(AND(tblTarget[[#This Row],[Intercluser Severity]]=4,tblTarget[[#This Row],[Qualifies for exception]]="Flagged",(tblTarget[[#This Row],[Cluster Target]]-tblTarget[[#This Row],[2024 Response capacity up to December]])/tblTarget[[#This Row],[Cluster Target]]&gt;Diff_severity4),"Flagged",""),"No target")</f>
        <v>No target</v>
      </c>
      <c r="AM458" s="68" t="str">
        <f>IFERROR(IF(AND(tblTarget[[#This Row],[Intercluser Severity]]=3,tblTarget[[#This Row],[Qualifies for exception]]="Flagged",(tblTarget[[#This Row],[Cluster Target]]-tblTarget[[#This Row],[2024 Response capacity up to December]])/tblTarget[[#This Row],[Cluster Target]]&gt;Diff_severity3),"Flagged",""),"No target")</f>
        <v>No target</v>
      </c>
      <c r="AN458" s="81" t="s">
        <v>1099</v>
      </c>
      <c r="AO458" s="81"/>
      <c r="AP458" s="81" t="s">
        <v>1099</v>
      </c>
      <c r="AQ458" s="81" t="s">
        <v>1107</v>
      </c>
    </row>
    <row r="459" spans="1:43" ht="15.95" hidden="1" customHeight="1" x14ac:dyDescent="0.2">
      <c r="A459" s="62" t="s">
        <v>896</v>
      </c>
      <c r="B459" s="63" t="s">
        <v>180</v>
      </c>
      <c r="C459" s="64" t="s">
        <v>181</v>
      </c>
      <c r="D459" s="63" t="s">
        <v>192</v>
      </c>
      <c r="E459" s="64" t="s">
        <v>193</v>
      </c>
      <c r="F459" s="65">
        <v>59917</v>
      </c>
      <c r="G459" s="66" t="s">
        <v>437</v>
      </c>
      <c r="H459" s="67">
        <v>471</v>
      </c>
      <c r="I459" s="68">
        <v>3</v>
      </c>
      <c r="J459" s="68">
        <v>4</v>
      </c>
      <c r="K459" s="91">
        <v>23.5</v>
      </c>
      <c r="L459" s="91">
        <v>12.226520650009633</v>
      </c>
      <c r="M459" s="91">
        <v>11.273479349990366</v>
      </c>
      <c r="N459" s="91">
        <v>11.75</v>
      </c>
      <c r="O459" s="91">
        <v>10.34</v>
      </c>
      <c r="P459" s="91">
        <v>1.41</v>
      </c>
      <c r="Q459" s="85">
        <v>3.5249999999999999</v>
      </c>
      <c r="R459" s="68" t="s">
        <v>1107</v>
      </c>
      <c r="S459" s="86">
        <v>3</v>
      </c>
      <c r="T459" s="68">
        <v>1</v>
      </c>
      <c r="U459" s="68">
        <v>0</v>
      </c>
      <c r="V459" s="68">
        <v>0</v>
      </c>
      <c r="W459" s="68">
        <v>0</v>
      </c>
      <c r="X459" s="68">
        <v>0</v>
      </c>
      <c r="Y459" s="68">
        <v>2</v>
      </c>
      <c r="Z459" s="68">
        <v>0</v>
      </c>
      <c r="AA459" s="68">
        <v>0</v>
      </c>
      <c r="AB459" s="69">
        <v>0</v>
      </c>
      <c r="AC459" s="69">
        <v>0</v>
      </c>
      <c r="AD459" s="70">
        <f>IFERROR(tblTarget[[#This Row],[Cluster Target]]/tblTarget[[#This Row],[Cluster PiN]],0)</f>
        <v>4.9893842887473464E-2</v>
      </c>
      <c r="AE459" s="79">
        <f>_xlfn.XLOOKUP(tblTarget[[#This Row],[ID]],tblResponse[ID],tblResponse[2024 Projected reached (Dec 2024)])</f>
        <v>0</v>
      </c>
      <c r="AF459" s="79">
        <f>_xlfn.XLOOKUP(tblTarget[[#This Row],[ID]],tblResponse[ID],tblResponse[2024 Intercluster reached -August RPM])</f>
        <v>0</v>
      </c>
      <c r="AG459" s="79">
        <v>1</v>
      </c>
      <c r="AH459" s="79"/>
      <c r="AI459" s="79"/>
      <c r="AJ459" s="70" t="str">
        <f>IF(tblTarget[[#This Row],[Target to PiN (%)]]&gt;Targ_vs_PiN,"Flagged","")</f>
        <v/>
      </c>
      <c r="AK459" s="69" t="str">
        <f>IF(AND(tblTarget[[#This Row],[Qualifies for exception]]="Flagged",tblTarget[[#This Row],[Target to PiN (%)]]&gt;Targ_severity5),"Flagged","")</f>
        <v/>
      </c>
      <c r="AL459" s="68" t="str">
        <f>IFERROR(IF(AND(tblTarget[[#This Row],[Intercluser Severity]]=4,tblTarget[[#This Row],[Qualifies for exception]]="Flagged",(tblTarget[[#This Row],[Cluster Target]]-tblTarget[[#This Row],[2024 Response capacity up to December]])/tblTarget[[#This Row],[Cluster Target]]&gt;Diff_severity4),"Flagged",""),"No target")</f>
        <v>Flagged</v>
      </c>
      <c r="AM459" s="68" t="str">
        <f>IFERROR(IF(AND(tblTarget[[#This Row],[Intercluser Severity]]=3,tblTarget[[#This Row],[Qualifies for exception]]="Flagged",(tblTarget[[#This Row],[Cluster Target]]-tblTarget[[#This Row],[2024 Response capacity up to December]])/tblTarget[[#This Row],[Cluster Target]]&gt;Diff_severity3),"Flagged",""),"No target")</f>
        <v/>
      </c>
      <c r="AN459" s="81" t="s">
        <v>1099</v>
      </c>
      <c r="AO459" s="81"/>
      <c r="AP459" s="81" t="s">
        <v>1099</v>
      </c>
      <c r="AQ459" s="81" t="s">
        <v>1107</v>
      </c>
    </row>
    <row r="460" spans="1:43" ht="15.95" customHeight="1" x14ac:dyDescent="0.2">
      <c r="A460" s="62" t="s">
        <v>897</v>
      </c>
      <c r="B460" s="63" t="s">
        <v>180</v>
      </c>
      <c r="C460" s="64" t="s">
        <v>181</v>
      </c>
      <c r="D460" s="63" t="s">
        <v>194</v>
      </c>
      <c r="E460" s="64" t="s">
        <v>195</v>
      </c>
      <c r="F460" s="65">
        <v>27905</v>
      </c>
      <c r="G460" s="66" t="s">
        <v>437</v>
      </c>
      <c r="H460" s="67">
        <v>565</v>
      </c>
      <c r="I460" s="68">
        <v>3</v>
      </c>
      <c r="J460" s="68">
        <v>4</v>
      </c>
      <c r="K460" s="91">
        <v>113</v>
      </c>
      <c r="L460" s="91">
        <v>58.646772508345862</v>
      </c>
      <c r="M460" s="91">
        <v>54.353227491654138</v>
      </c>
      <c r="N460" s="91">
        <v>56.5</v>
      </c>
      <c r="O460" s="91">
        <v>49.72</v>
      </c>
      <c r="P460" s="91">
        <v>6.7799999999999994</v>
      </c>
      <c r="Q460" s="85">
        <v>16.95</v>
      </c>
      <c r="R460" s="68" t="s">
        <v>15</v>
      </c>
      <c r="S460" s="86">
        <v>16</v>
      </c>
      <c r="T460" s="68">
        <v>4</v>
      </c>
      <c r="U460" s="68">
        <v>0</v>
      </c>
      <c r="V460" s="68">
        <v>0</v>
      </c>
      <c r="W460" s="68">
        <v>1</v>
      </c>
      <c r="X460" s="68">
        <v>2</v>
      </c>
      <c r="Y460" s="68">
        <v>8</v>
      </c>
      <c r="Z460" s="68">
        <v>0</v>
      </c>
      <c r="AA460" s="68">
        <v>0</v>
      </c>
      <c r="AB460" s="69">
        <v>0</v>
      </c>
      <c r="AC460" s="69">
        <v>0</v>
      </c>
      <c r="AD460" s="70">
        <f>IFERROR(tblTarget[[#This Row],[Cluster Target]]/tblTarget[[#This Row],[Cluster PiN]],0)</f>
        <v>0.2</v>
      </c>
      <c r="AE460" s="79">
        <f>_xlfn.XLOOKUP(tblTarget[[#This Row],[ID]],tblResponse[ID],tblResponse[2024 Projected reached (Dec 2024)])</f>
        <v>0</v>
      </c>
      <c r="AF460" s="79">
        <f>_xlfn.XLOOKUP(tblTarget[[#This Row],[ID]],tblResponse[ID],tblResponse[2024 Intercluster reached -August RPM])</f>
        <v>322.88701924302291</v>
      </c>
      <c r="AG460" s="79">
        <v>2</v>
      </c>
      <c r="AH460" s="79"/>
      <c r="AI460" s="79"/>
      <c r="AJ460" s="70" t="str">
        <f>IF(tblTarget[[#This Row],[Target to PiN (%)]]&gt;Targ_vs_PiN,"Flagged","")</f>
        <v/>
      </c>
      <c r="AK460" s="69" t="str">
        <f>IF(AND(tblTarget[[#This Row],[Qualifies for exception]]="Flagged",tblTarget[[#This Row],[Target to PiN (%)]]&gt;Targ_severity5),"Flagged","")</f>
        <v/>
      </c>
      <c r="AL460" s="68" t="str">
        <f>IFERROR(IF(AND(tblTarget[[#This Row],[Intercluser Severity]]=4,tblTarget[[#This Row],[Qualifies for exception]]="Flagged",(tblTarget[[#This Row],[Cluster Target]]-tblTarget[[#This Row],[2024 Response capacity up to December]])/tblTarget[[#This Row],[Cluster Target]]&gt;Diff_severity4),"Flagged",""),"No target")</f>
        <v/>
      </c>
      <c r="AM460" s="68" t="str">
        <f>IFERROR(IF(AND(tblTarget[[#This Row],[Intercluser Severity]]=3,tblTarget[[#This Row],[Qualifies for exception]]="Flagged",(tblTarget[[#This Row],[Cluster Target]]-tblTarget[[#This Row],[2024 Response capacity up to December]])/tblTarget[[#This Row],[Cluster Target]]&gt;Diff_severity3),"Flagged",""),"No target")</f>
        <v/>
      </c>
      <c r="AN460" s="81" t="s">
        <v>15</v>
      </c>
      <c r="AO460" s="81"/>
      <c r="AP460" s="81" t="s">
        <v>1099</v>
      </c>
      <c r="AQ460" s="81" t="s">
        <v>1098</v>
      </c>
    </row>
    <row r="461" spans="1:43" ht="15.95" hidden="1" customHeight="1" x14ac:dyDescent="0.2">
      <c r="A461" s="62" t="s">
        <v>898</v>
      </c>
      <c r="B461" s="63" t="s">
        <v>180</v>
      </c>
      <c r="C461" s="64" t="s">
        <v>181</v>
      </c>
      <c r="D461" s="63" t="s">
        <v>196</v>
      </c>
      <c r="E461" s="64" t="s">
        <v>197</v>
      </c>
      <c r="F461" s="65">
        <v>138054</v>
      </c>
      <c r="G461" s="66" t="s">
        <v>437</v>
      </c>
      <c r="H461" s="67">
        <v>18858</v>
      </c>
      <c r="I461" s="68">
        <v>3</v>
      </c>
      <c r="J461" s="68">
        <v>4</v>
      </c>
      <c r="K461" s="91">
        <v>0</v>
      </c>
      <c r="L461" s="91">
        <v>0</v>
      </c>
      <c r="M461" s="91">
        <v>0</v>
      </c>
      <c r="N461" s="91">
        <v>0</v>
      </c>
      <c r="O461" s="91">
        <v>0</v>
      </c>
      <c r="P461" s="91">
        <v>0</v>
      </c>
      <c r="Q461" s="85">
        <v>0</v>
      </c>
      <c r="R461" s="68" t="s">
        <v>1107</v>
      </c>
      <c r="S461" s="86">
        <v>0</v>
      </c>
      <c r="T461" s="68">
        <v>0</v>
      </c>
      <c r="U461" s="68">
        <v>0</v>
      </c>
      <c r="V461" s="68">
        <v>0</v>
      </c>
      <c r="W461" s="68">
        <v>0</v>
      </c>
      <c r="X461" s="68">
        <v>0</v>
      </c>
      <c r="Y461" s="68">
        <v>0</v>
      </c>
      <c r="Z461" s="68">
        <v>0</v>
      </c>
      <c r="AA461" s="68">
        <v>0</v>
      </c>
      <c r="AB461" s="69">
        <v>0</v>
      </c>
      <c r="AC461" s="69">
        <v>0</v>
      </c>
      <c r="AD461" s="70">
        <f>IFERROR(tblTarget[[#This Row],[Cluster Target]]/tblTarget[[#This Row],[Cluster PiN]],0)</f>
        <v>0</v>
      </c>
      <c r="AE461" s="79">
        <f>_xlfn.XLOOKUP(tblTarget[[#This Row],[ID]],tblResponse[ID],tblResponse[2024 Projected reached (Dec 2024)])</f>
        <v>0</v>
      </c>
      <c r="AF461" s="79">
        <f>_xlfn.XLOOKUP(tblTarget[[#This Row],[ID]],tblResponse[ID],tblResponse[2024 Intercluster reached -August RPM])</f>
        <v>1511.8424385864707</v>
      </c>
      <c r="AG461" s="79">
        <v>1</v>
      </c>
      <c r="AH461" s="79"/>
      <c r="AI461" s="79"/>
      <c r="AJ461" s="70" t="str">
        <f>IF(tblTarget[[#This Row],[Target to PiN (%)]]&gt;Targ_vs_PiN,"Flagged","")</f>
        <v/>
      </c>
      <c r="AK461" s="69" t="str">
        <f>IF(AND(tblTarget[[#This Row],[Qualifies for exception]]="Flagged",tblTarget[[#This Row],[Target to PiN (%)]]&gt;Targ_severity5),"Flagged","")</f>
        <v/>
      </c>
      <c r="AL461" s="68" t="str">
        <f>IFERROR(IF(AND(tblTarget[[#This Row],[Intercluser Severity]]=4,tblTarget[[#This Row],[Qualifies for exception]]="Flagged",(tblTarget[[#This Row],[Cluster Target]]-tblTarget[[#This Row],[2024 Response capacity up to December]])/tblTarget[[#This Row],[Cluster Target]]&gt;Diff_severity4),"Flagged",""),"No target")</f>
        <v>No target</v>
      </c>
      <c r="AM461" s="68" t="str">
        <f>IFERROR(IF(AND(tblTarget[[#This Row],[Intercluser Severity]]=3,tblTarget[[#This Row],[Qualifies for exception]]="Flagged",(tblTarget[[#This Row],[Cluster Target]]-tblTarget[[#This Row],[2024 Response capacity up to December]])/tblTarget[[#This Row],[Cluster Target]]&gt;Diff_severity3),"Flagged",""),"No target")</f>
        <v>No target</v>
      </c>
      <c r="AN461" s="81" t="s">
        <v>1099</v>
      </c>
      <c r="AO461" s="81"/>
      <c r="AP461" s="81" t="s">
        <v>1099</v>
      </c>
      <c r="AQ461" s="81" t="s">
        <v>1107</v>
      </c>
    </row>
    <row r="462" spans="1:43" ht="15.95" hidden="1" customHeight="1" x14ac:dyDescent="0.2">
      <c r="A462" s="62" t="s">
        <v>899</v>
      </c>
      <c r="B462" s="63" t="s">
        <v>180</v>
      </c>
      <c r="C462" s="64" t="s">
        <v>181</v>
      </c>
      <c r="D462" s="63" t="s">
        <v>198</v>
      </c>
      <c r="E462" s="64" t="s">
        <v>199</v>
      </c>
      <c r="F462" s="65">
        <v>0</v>
      </c>
      <c r="G462" s="66" t="s">
        <v>437</v>
      </c>
      <c r="H462" s="67">
        <v>0</v>
      </c>
      <c r="I462" s="68">
        <v>3</v>
      </c>
      <c r="J462" s="68">
        <v>4</v>
      </c>
      <c r="K462" s="91">
        <v>0</v>
      </c>
      <c r="L462" s="91">
        <v>0</v>
      </c>
      <c r="M462" s="91">
        <v>0</v>
      </c>
      <c r="N462" s="91">
        <v>0</v>
      </c>
      <c r="O462" s="91">
        <v>0</v>
      </c>
      <c r="P462" s="91">
        <v>0</v>
      </c>
      <c r="Q462" s="85">
        <v>0</v>
      </c>
      <c r="R462" s="68" t="s">
        <v>1107</v>
      </c>
      <c r="S462" s="86">
        <v>0</v>
      </c>
      <c r="T462" s="68">
        <v>0</v>
      </c>
      <c r="U462" s="68">
        <v>0</v>
      </c>
      <c r="V462" s="68">
        <v>0</v>
      </c>
      <c r="W462" s="68">
        <v>0</v>
      </c>
      <c r="X462" s="68">
        <v>0</v>
      </c>
      <c r="Y462" s="68">
        <v>0</v>
      </c>
      <c r="Z462" s="68">
        <v>0</v>
      </c>
      <c r="AA462" s="68">
        <v>0</v>
      </c>
      <c r="AB462" s="69">
        <v>0</v>
      </c>
      <c r="AC462" s="69">
        <v>0</v>
      </c>
      <c r="AD462" s="70">
        <f>IFERROR(tblTarget[[#This Row],[Cluster Target]]/tblTarget[[#This Row],[Cluster PiN]],0)</f>
        <v>0</v>
      </c>
      <c r="AE462" s="79">
        <f>_xlfn.XLOOKUP(tblTarget[[#This Row],[ID]],tblResponse[ID],tblResponse[2024 Projected reached (Dec 2024)])</f>
        <v>0</v>
      </c>
      <c r="AF462" s="79">
        <f>_xlfn.XLOOKUP(tblTarget[[#This Row],[ID]],tblResponse[ID],tblResponse[2024 Intercluster reached -August RPM])</f>
        <v>315.26551014466747</v>
      </c>
      <c r="AG462" s="79">
        <v>1</v>
      </c>
      <c r="AH462" s="79"/>
      <c r="AI462" s="79"/>
      <c r="AJ462" s="70" t="str">
        <f>IF(tblTarget[[#This Row],[Target to PiN (%)]]&gt;Targ_vs_PiN,"Flagged","")</f>
        <v/>
      </c>
      <c r="AK462" s="69" t="str">
        <f>IF(AND(tblTarget[[#This Row],[Qualifies for exception]]="Flagged",tblTarget[[#This Row],[Target to PiN (%)]]&gt;Targ_severity5),"Flagged","")</f>
        <v/>
      </c>
      <c r="AL462" s="68" t="str">
        <f>IFERROR(IF(AND(tblTarget[[#This Row],[Intercluser Severity]]=4,tblTarget[[#This Row],[Qualifies for exception]]="Flagged",(tblTarget[[#This Row],[Cluster Target]]-tblTarget[[#This Row],[2024 Response capacity up to December]])/tblTarget[[#This Row],[Cluster Target]]&gt;Diff_severity4),"Flagged",""),"No target")</f>
        <v>No target</v>
      </c>
      <c r="AM462" s="68" t="str">
        <f>IFERROR(IF(AND(tblTarget[[#This Row],[Intercluser Severity]]=3,tblTarget[[#This Row],[Qualifies for exception]]="Flagged",(tblTarget[[#This Row],[Cluster Target]]-tblTarget[[#This Row],[2024 Response capacity up to December]])/tblTarget[[#This Row],[Cluster Target]]&gt;Diff_severity3),"Flagged",""),"No target")</f>
        <v>No target</v>
      </c>
      <c r="AN462" s="81" t="s">
        <v>1099</v>
      </c>
      <c r="AO462" s="81"/>
      <c r="AP462" s="81" t="s">
        <v>1099</v>
      </c>
      <c r="AQ462" s="81" t="s">
        <v>1107</v>
      </c>
    </row>
    <row r="463" spans="1:43" ht="15.95" customHeight="1" x14ac:dyDescent="0.2">
      <c r="A463" s="62" t="s">
        <v>900</v>
      </c>
      <c r="B463" s="63" t="s">
        <v>180</v>
      </c>
      <c r="C463" s="64" t="s">
        <v>181</v>
      </c>
      <c r="D463" s="63" t="s">
        <v>200</v>
      </c>
      <c r="E463" s="64" t="s">
        <v>201</v>
      </c>
      <c r="F463" s="65">
        <v>240</v>
      </c>
      <c r="G463" s="66" t="s">
        <v>437</v>
      </c>
      <c r="H463" s="67">
        <v>8</v>
      </c>
      <c r="I463" s="68">
        <v>3</v>
      </c>
      <c r="J463" s="68">
        <v>4</v>
      </c>
      <c r="K463" s="91">
        <v>1.5</v>
      </c>
      <c r="L463" s="91">
        <v>0.76001016025492996</v>
      </c>
      <c r="M463" s="91">
        <v>0.73998983974506993</v>
      </c>
      <c r="N463" s="91">
        <v>0.75</v>
      </c>
      <c r="O463" s="91">
        <v>0.66</v>
      </c>
      <c r="P463" s="91">
        <v>0.09</v>
      </c>
      <c r="Q463" s="85">
        <v>0.22499999999999998</v>
      </c>
      <c r="R463" s="68" t="s">
        <v>15</v>
      </c>
      <c r="S463" s="86">
        <v>0</v>
      </c>
      <c r="T463" s="68">
        <v>0</v>
      </c>
      <c r="U463" s="68">
        <v>0</v>
      </c>
      <c r="V463" s="68">
        <v>0</v>
      </c>
      <c r="W463" s="68">
        <v>0</v>
      </c>
      <c r="X463" s="68">
        <v>0</v>
      </c>
      <c r="Y463" s="68">
        <v>0</v>
      </c>
      <c r="Z463" s="68">
        <v>0</v>
      </c>
      <c r="AA463" s="68">
        <v>0</v>
      </c>
      <c r="AB463" s="69">
        <v>0</v>
      </c>
      <c r="AC463" s="69">
        <v>0</v>
      </c>
      <c r="AD463" s="70">
        <f>IFERROR(tblTarget[[#This Row],[Cluster Target]]/tblTarget[[#This Row],[Cluster PiN]],0)</f>
        <v>0.1875</v>
      </c>
      <c r="AE463" s="79">
        <f>_xlfn.XLOOKUP(tblTarget[[#This Row],[ID]],tblResponse[ID],tblResponse[2024 Projected reached (Dec 2024)])</f>
        <v>0</v>
      </c>
      <c r="AF463" s="79">
        <f>_xlfn.XLOOKUP(tblTarget[[#This Row],[ID]],tblResponse[ID],tblResponse[2024 Intercluster reached -August RPM])</f>
        <v>445.17353729573756</v>
      </c>
      <c r="AG463" s="79">
        <v>3</v>
      </c>
      <c r="AH463" s="79"/>
      <c r="AI463" s="79"/>
      <c r="AJ463" s="70" t="str">
        <f>IF(tblTarget[[#This Row],[Target to PiN (%)]]&gt;Targ_vs_PiN,"Flagged","")</f>
        <v/>
      </c>
      <c r="AK463" s="69" t="str">
        <f>IF(AND(tblTarget[[#This Row],[Qualifies for exception]]="Flagged",tblTarget[[#This Row],[Target to PiN (%)]]&gt;Targ_severity5),"Flagged","")</f>
        <v/>
      </c>
      <c r="AL463" s="68" t="str">
        <f>IFERROR(IF(AND(tblTarget[[#This Row],[Intercluser Severity]]=4,tblTarget[[#This Row],[Qualifies for exception]]="Flagged",(tblTarget[[#This Row],[Cluster Target]]-tblTarget[[#This Row],[2024 Response capacity up to December]])/tblTarget[[#This Row],[Cluster Target]]&gt;Diff_severity4),"Flagged",""),"No target")</f>
        <v/>
      </c>
      <c r="AM463" s="68" t="str">
        <f>IFERROR(IF(AND(tblTarget[[#This Row],[Intercluser Severity]]=3,tblTarget[[#This Row],[Qualifies for exception]]="Flagged",(tblTarget[[#This Row],[Cluster Target]]-tblTarget[[#This Row],[2024 Response capacity up to December]])/tblTarget[[#This Row],[Cluster Target]]&gt;Diff_severity3),"Flagged",""),"No target")</f>
        <v/>
      </c>
      <c r="AN463" s="81" t="s">
        <v>15</v>
      </c>
      <c r="AO463" s="81"/>
      <c r="AP463" s="81" t="s">
        <v>1099</v>
      </c>
      <c r="AQ463" s="81" t="s">
        <v>1098</v>
      </c>
    </row>
    <row r="464" spans="1:43" ht="15.95" hidden="1" customHeight="1" x14ac:dyDescent="0.2">
      <c r="A464" s="62" t="s">
        <v>901</v>
      </c>
      <c r="B464" s="63" t="s">
        <v>180</v>
      </c>
      <c r="C464" s="64" t="s">
        <v>181</v>
      </c>
      <c r="D464" s="63" t="s">
        <v>202</v>
      </c>
      <c r="E464" s="64" t="s">
        <v>203</v>
      </c>
      <c r="F464" s="65">
        <v>97552</v>
      </c>
      <c r="G464" s="66" t="s">
        <v>437</v>
      </c>
      <c r="H464" s="67">
        <v>17767</v>
      </c>
      <c r="I464" s="68">
        <v>4</v>
      </c>
      <c r="J464" s="68">
        <v>4</v>
      </c>
      <c r="K464" s="91">
        <v>0</v>
      </c>
      <c r="L464" s="91">
        <v>0</v>
      </c>
      <c r="M464" s="91">
        <v>0</v>
      </c>
      <c r="N464" s="91">
        <v>0</v>
      </c>
      <c r="O464" s="91">
        <v>0</v>
      </c>
      <c r="P464" s="91">
        <v>0</v>
      </c>
      <c r="Q464" s="85">
        <v>0</v>
      </c>
      <c r="R464" s="68" t="s">
        <v>1107</v>
      </c>
      <c r="S464" s="86">
        <v>0</v>
      </c>
      <c r="T464" s="68">
        <v>0</v>
      </c>
      <c r="U464" s="68">
        <v>0</v>
      </c>
      <c r="V464" s="68">
        <v>0</v>
      </c>
      <c r="W464" s="68">
        <v>0</v>
      </c>
      <c r="X464" s="68">
        <v>0</v>
      </c>
      <c r="Y464" s="68">
        <v>0</v>
      </c>
      <c r="Z464" s="68">
        <v>0</v>
      </c>
      <c r="AA464" s="68">
        <v>0</v>
      </c>
      <c r="AB464" s="69">
        <v>0</v>
      </c>
      <c r="AC464" s="69">
        <v>0</v>
      </c>
      <c r="AD464" s="70">
        <f>IFERROR(tblTarget[[#This Row],[Cluster Target]]/tblTarget[[#This Row],[Cluster PiN]],0)</f>
        <v>0</v>
      </c>
      <c r="AE464" s="79">
        <f>_xlfn.XLOOKUP(tblTarget[[#This Row],[ID]],tblResponse[ID],tblResponse[2024 Projected reached (Dec 2024)])</f>
        <v>0</v>
      </c>
      <c r="AF464" s="79">
        <f>_xlfn.XLOOKUP(tblTarget[[#This Row],[ID]],tblResponse[ID],tblResponse[2024 Intercluster reached -August RPM])</f>
        <v>516.44655597332701</v>
      </c>
      <c r="AG464" s="79">
        <v>1</v>
      </c>
      <c r="AH464" s="79"/>
      <c r="AI464" s="79"/>
      <c r="AJ464" s="70" t="str">
        <f>IF(tblTarget[[#This Row],[Target to PiN (%)]]&gt;Targ_vs_PiN,"Flagged","")</f>
        <v/>
      </c>
      <c r="AK464" s="69" t="str">
        <f>IF(AND(tblTarget[[#This Row],[Qualifies for exception]]="Flagged",tblTarget[[#This Row],[Target to PiN (%)]]&gt;Targ_severity5),"Flagged","")</f>
        <v/>
      </c>
      <c r="AL464" s="68" t="str">
        <f>IFERROR(IF(AND(tblTarget[[#This Row],[Intercluser Severity]]=4,tblTarget[[#This Row],[Qualifies for exception]]="Flagged",(tblTarget[[#This Row],[Cluster Target]]-tblTarget[[#This Row],[2024 Response capacity up to December]])/tblTarget[[#This Row],[Cluster Target]]&gt;Diff_severity4),"Flagged",""),"No target")</f>
        <v>No target</v>
      </c>
      <c r="AM464" s="68" t="str">
        <f>IFERROR(IF(AND(tblTarget[[#This Row],[Intercluser Severity]]=3,tblTarget[[#This Row],[Qualifies for exception]]="Flagged",(tblTarget[[#This Row],[Cluster Target]]-tblTarget[[#This Row],[2024 Response capacity up to December]])/tblTarget[[#This Row],[Cluster Target]]&gt;Diff_severity3),"Flagged",""),"No target")</f>
        <v>No target</v>
      </c>
      <c r="AN464" s="81" t="s">
        <v>1099</v>
      </c>
      <c r="AO464" s="81"/>
      <c r="AP464" s="81" t="s">
        <v>1099</v>
      </c>
      <c r="AQ464" s="81" t="s">
        <v>1107</v>
      </c>
    </row>
    <row r="465" spans="1:43" ht="15.95" customHeight="1" x14ac:dyDescent="0.2">
      <c r="A465" s="62" t="s">
        <v>902</v>
      </c>
      <c r="B465" s="63" t="s">
        <v>180</v>
      </c>
      <c r="C465" s="64" t="s">
        <v>181</v>
      </c>
      <c r="D465" s="63" t="s">
        <v>204</v>
      </c>
      <c r="E465" s="64" t="s">
        <v>205</v>
      </c>
      <c r="F465" s="65">
        <v>0</v>
      </c>
      <c r="G465" s="66" t="s">
        <v>437</v>
      </c>
      <c r="H465" s="67">
        <v>0</v>
      </c>
      <c r="I465" s="68">
        <v>4</v>
      </c>
      <c r="J465" s="68">
        <v>4</v>
      </c>
      <c r="K465" s="91">
        <v>0</v>
      </c>
      <c r="L465" s="91">
        <v>0</v>
      </c>
      <c r="M465" s="91">
        <v>0</v>
      </c>
      <c r="N465" s="91">
        <v>0</v>
      </c>
      <c r="O465" s="91">
        <v>0</v>
      </c>
      <c r="P465" s="91">
        <v>0</v>
      </c>
      <c r="Q465" s="85">
        <v>0</v>
      </c>
      <c r="R465" s="68" t="s">
        <v>15</v>
      </c>
      <c r="S465" s="86">
        <v>0</v>
      </c>
      <c r="T465" s="68">
        <v>0</v>
      </c>
      <c r="U465" s="68">
        <v>0</v>
      </c>
      <c r="V465" s="68">
        <v>0</v>
      </c>
      <c r="W465" s="68">
        <v>0</v>
      </c>
      <c r="X465" s="68">
        <v>0</v>
      </c>
      <c r="Y465" s="68">
        <v>0</v>
      </c>
      <c r="Z465" s="68">
        <v>0</v>
      </c>
      <c r="AA465" s="68">
        <v>0</v>
      </c>
      <c r="AB465" s="69">
        <v>0</v>
      </c>
      <c r="AC465" s="69">
        <v>0</v>
      </c>
      <c r="AD465" s="70">
        <f>IFERROR(tblTarget[[#This Row],[Cluster Target]]/tblTarget[[#This Row],[Cluster PiN]],0)</f>
        <v>0</v>
      </c>
      <c r="AE465" s="79">
        <f>_xlfn.XLOOKUP(tblTarget[[#This Row],[ID]],tblResponse[ID],tblResponse[2024 Projected reached (Dec 2024)])</f>
        <v>0</v>
      </c>
      <c r="AF465" s="79">
        <f>_xlfn.XLOOKUP(tblTarget[[#This Row],[ID]],tblResponse[ID],tblResponse[2024 Intercluster reached -August RPM])</f>
        <v>67.432492608496332</v>
      </c>
      <c r="AG465" s="79">
        <v>2</v>
      </c>
      <c r="AH465" s="79"/>
      <c r="AI465" s="79"/>
      <c r="AJ465" s="70" t="str">
        <f>IF(tblTarget[[#This Row],[Target to PiN (%)]]&gt;Targ_vs_PiN,"Flagged","")</f>
        <v/>
      </c>
      <c r="AK465" s="69" t="str">
        <f>IF(AND(tblTarget[[#This Row],[Qualifies for exception]]="Flagged",tblTarget[[#This Row],[Target to PiN (%)]]&gt;Targ_severity5),"Flagged","")</f>
        <v/>
      </c>
      <c r="AL465" s="68" t="str">
        <f>IFERROR(IF(AND(tblTarget[[#This Row],[Intercluser Severity]]=4,tblTarget[[#This Row],[Qualifies for exception]]="Flagged",(tblTarget[[#This Row],[Cluster Target]]-tblTarget[[#This Row],[2024 Response capacity up to December]])/tblTarget[[#This Row],[Cluster Target]]&gt;Diff_severity4),"Flagged",""),"No target")</f>
        <v>No target</v>
      </c>
      <c r="AM465" s="68" t="str">
        <f>IFERROR(IF(AND(tblTarget[[#This Row],[Intercluser Severity]]=3,tblTarget[[#This Row],[Qualifies for exception]]="Flagged",(tblTarget[[#This Row],[Cluster Target]]-tblTarget[[#This Row],[2024 Response capacity up to December]])/tblTarget[[#This Row],[Cluster Target]]&gt;Diff_severity3),"Flagged",""),"No target")</f>
        <v>No target</v>
      </c>
      <c r="AN465" s="81" t="s">
        <v>1099</v>
      </c>
      <c r="AO465" s="81"/>
      <c r="AP465" s="81" t="s">
        <v>15</v>
      </c>
      <c r="AQ465" s="81" t="s">
        <v>1098</v>
      </c>
    </row>
    <row r="466" spans="1:43" ht="15.95" hidden="1" customHeight="1" x14ac:dyDescent="0.2">
      <c r="A466" s="62" t="s">
        <v>903</v>
      </c>
      <c r="B466" s="63" t="s">
        <v>180</v>
      </c>
      <c r="C466" s="64" t="s">
        <v>181</v>
      </c>
      <c r="D466" s="63" t="s">
        <v>206</v>
      </c>
      <c r="E466" s="64" t="s">
        <v>207</v>
      </c>
      <c r="F466" s="65">
        <v>0</v>
      </c>
      <c r="G466" s="66" t="s">
        <v>437</v>
      </c>
      <c r="H466" s="67">
        <v>0</v>
      </c>
      <c r="I466" s="68">
        <v>3</v>
      </c>
      <c r="J466" s="68">
        <v>4</v>
      </c>
      <c r="K466" s="91">
        <v>0</v>
      </c>
      <c r="L466" s="91">
        <v>0</v>
      </c>
      <c r="M466" s="91">
        <v>0</v>
      </c>
      <c r="N466" s="91">
        <v>0</v>
      </c>
      <c r="O466" s="91">
        <v>0</v>
      </c>
      <c r="P466" s="91">
        <v>0</v>
      </c>
      <c r="Q466" s="85">
        <v>0</v>
      </c>
      <c r="R466" s="68" t="s">
        <v>1107</v>
      </c>
      <c r="S466" s="86">
        <v>0</v>
      </c>
      <c r="T466" s="68">
        <v>0</v>
      </c>
      <c r="U466" s="68">
        <v>0</v>
      </c>
      <c r="V466" s="68">
        <v>0</v>
      </c>
      <c r="W466" s="68">
        <v>0</v>
      </c>
      <c r="X466" s="68">
        <v>0</v>
      </c>
      <c r="Y466" s="68">
        <v>0</v>
      </c>
      <c r="Z466" s="68">
        <v>0</v>
      </c>
      <c r="AA466" s="68">
        <v>0</v>
      </c>
      <c r="AB466" s="69">
        <v>0</v>
      </c>
      <c r="AC466" s="69">
        <v>0</v>
      </c>
      <c r="AD466" s="70">
        <f>IFERROR(tblTarget[[#This Row],[Cluster Target]]/tblTarget[[#This Row],[Cluster PiN]],0)</f>
        <v>0</v>
      </c>
      <c r="AE466" s="79">
        <f>_xlfn.XLOOKUP(tblTarget[[#This Row],[ID]],tblResponse[ID],tblResponse[2024 Projected reached (Dec 2024)])</f>
        <v>0</v>
      </c>
      <c r="AF466" s="79">
        <f>_xlfn.XLOOKUP(tblTarget[[#This Row],[ID]],tblResponse[ID],tblResponse[2024 Intercluster reached -August RPM])</f>
        <v>181.39787084484243</v>
      </c>
      <c r="AG466" s="79">
        <v>1</v>
      </c>
      <c r="AH466" s="79"/>
      <c r="AI466" s="79"/>
      <c r="AJ466" s="70" t="str">
        <f>IF(tblTarget[[#This Row],[Target to PiN (%)]]&gt;Targ_vs_PiN,"Flagged","")</f>
        <v/>
      </c>
      <c r="AK466" s="69" t="str">
        <f>IF(AND(tblTarget[[#This Row],[Qualifies for exception]]="Flagged",tblTarget[[#This Row],[Target to PiN (%)]]&gt;Targ_severity5),"Flagged","")</f>
        <v/>
      </c>
      <c r="AL466" s="68" t="str">
        <f>IFERROR(IF(AND(tblTarget[[#This Row],[Intercluser Severity]]=4,tblTarget[[#This Row],[Qualifies for exception]]="Flagged",(tblTarget[[#This Row],[Cluster Target]]-tblTarget[[#This Row],[2024 Response capacity up to December]])/tblTarget[[#This Row],[Cluster Target]]&gt;Diff_severity4),"Flagged",""),"No target")</f>
        <v>No target</v>
      </c>
      <c r="AM466" s="68" t="str">
        <f>IFERROR(IF(AND(tblTarget[[#This Row],[Intercluser Severity]]=3,tblTarget[[#This Row],[Qualifies for exception]]="Flagged",(tblTarget[[#This Row],[Cluster Target]]-tblTarget[[#This Row],[2024 Response capacity up to December]])/tblTarget[[#This Row],[Cluster Target]]&gt;Diff_severity3),"Flagged",""),"No target")</f>
        <v>No target</v>
      </c>
      <c r="AN466" s="81" t="s">
        <v>1099</v>
      </c>
      <c r="AO466" s="81"/>
      <c r="AP466" s="81" t="s">
        <v>1099</v>
      </c>
      <c r="AQ466" s="81" t="s">
        <v>1107</v>
      </c>
    </row>
    <row r="467" spans="1:43" ht="15.95" hidden="1" customHeight="1" x14ac:dyDescent="0.2">
      <c r="A467" s="62" t="s">
        <v>904</v>
      </c>
      <c r="B467" s="63" t="s">
        <v>180</v>
      </c>
      <c r="C467" s="64" t="s">
        <v>181</v>
      </c>
      <c r="D467" s="63" t="s">
        <v>208</v>
      </c>
      <c r="E467" s="64" t="s">
        <v>209</v>
      </c>
      <c r="F467" s="65">
        <v>11654</v>
      </c>
      <c r="G467" s="66" t="s">
        <v>437</v>
      </c>
      <c r="H467" s="67">
        <v>66</v>
      </c>
      <c r="I467" s="68">
        <v>3</v>
      </c>
      <c r="J467" s="68">
        <v>4</v>
      </c>
      <c r="K467" s="91">
        <v>3.5</v>
      </c>
      <c r="L467" s="91">
        <v>1.8318309859154929</v>
      </c>
      <c r="M467" s="91">
        <v>1.6681690140845071</v>
      </c>
      <c r="N467" s="91">
        <v>1.75</v>
      </c>
      <c r="O467" s="91">
        <v>1.54</v>
      </c>
      <c r="P467" s="91">
        <v>0.21</v>
      </c>
      <c r="Q467" s="85">
        <v>0.52500000000000002</v>
      </c>
      <c r="R467" s="68" t="s">
        <v>1107</v>
      </c>
      <c r="S467" s="86">
        <v>1</v>
      </c>
      <c r="T467" s="68">
        <v>0</v>
      </c>
      <c r="U467" s="68">
        <v>0</v>
      </c>
      <c r="V467" s="68">
        <v>0</v>
      </c>
      <c r="W467" s="68">
        <v>0</v>
      </c>
      <c r="X467" s="68">
        <v>0</v>
      </c>
      <c r="Y467" s="68">
        <v>0</v>
      </c>
      <c r="Z467" s="68">
        <v>0</v>
      </c>
      <c r="AA467" s="68">
        <v>0</v>
      </c>
      <c r="AB467" s="69">
        <v>0</v>
      </c>
      <c r="AC467" s="69">
        <v>0</v>
      </c>
      <c r="AD467" s="70">
        <f>IFERROR(tblTarget[[#This Row],[Cluster Target]]/tblTarget[[#This Row],[Cluster PiN]],0)</f>
        <v>5.3030303030303032E-2</v>
      </c>
      <c r="AE467" s="79">
        <f>_xlfn.XLOOKUP(tblTarget[[#This Row],[ID]],tblResponse[ID],tblResponse[2024 Projected reached (Dec 2024)])</f>
        <v>0</v>
      </c>
      <c r="AF467" s="79">
        <f>_xlfn.XLOOKUP(tblTarget[[#This Row],[ID]],tblResponse[ID],tblResponse[2024 Intercluster reached -August RPM])</f>
        <v>2655.2474324592786</v>
      </c>
      <c r="AG467" s="79">
        <v>1</v>
      </c>
      <c r="AH467" s="79"/>
      <c r="AI467" s="79"/>
      <c r="AJ467" s="70" t="str">
        <f>IF(tblTarget[[#This Row],[Target to PiN (%)]]&gt;Targ_vs_PiN,"Flagged","")</f>
        <v/>
      </c>
      <c r="AK467" s="69" t="str">
        <f>IF(AND(tblTarget[[#This Row],[Qualifies for exception]]="Flagged",tblTarget[[#This Row],[Target to PiN (%)]]&gt;Targ_severity5),"Flagged","")</f>
        <v/>
      </c>
      <c r="AL467" s="68" t="str">
        <f>IFERROR(IF(AND(tblTarget[[#This Row],[Intercluser Severity]]=4,tblTarget[[#This Row],[Qualifies for exception]]="Flagged",(tblTarget[[#This Row],[Cluster Target]]-tblTarget[[#This Row],[2024 Response capacity up to December]])/tblTarget[[#This Row],[Cluster Target]]&gt;Diff_severity4),"Flagged",""),"No target")</f>
        <v>Flagged</v>
      </c>
      <c r="AM467" s="68" t="str">
        <f>IFERROR(IF(AND(tblTarget[[#This Row],[Intercluser Severity]]=3,tblTarget[[#This Row],[Qualifies for exception]]="Flagged",(tblTarget[[#This Row],[Cluster Target]]-tblTarget[[#This Row],[2024 Response capacity up to December]])/tblTarget[[#This Row],[Cluster Target]]&gt;Diff_severity3),"Flagged",""),"No target")</f>
        <v/>
      </c>
      <c r="AN467" s="81" t="s">
        <v>1099</v>
      </c>
      <c r="AO467" s="81"/>
      <c r="AP467" s="81" t="s">
        <v>1099</v>
      </c>
      <c r="AQ467" s="81" t="s">
        <v>1107</v>
      </c>
    </row>
    <row r="468" spans="1:43" ht="15.95" hidden="1" customHeight="1" x14ac:dyDescent="0.2">
      <c r="A468" s="62" t="s">
        <v>905</v>
      </c>
      <c r="B468" s="63" t="s">
        <v>180</v>
      </c>
      <c r="C468" s="64" t="s">
        <v>181</v>
      </c>
      <c r="D468" s="63" t="s">
        <v>210</v>
      </c>
      <c r="E468" s="64" t="s">
        <v>211</v>
      </c>
      <c r="F468" s="65">
        <v>44539</v>
      </c>
      <c r="G468" s="66" t="s">
        <v>437</v>
      </c>
      <c r="H468" s="67">
        <v>2918</v>
      </c>
      <c r="I468" s="68">
        <v>3</v>
      </c>
      <c r="J468" s="68">
        <v>4</v>
      </c>
      <c r="K468" s="91">
        <v>8.4599999999999991</v>
      </c>
      <c r="L468" s="91">
        <v>4.3296273328960702</v>
      </c>
      <c r="M468" s="91">
        <v>4.1303726671039289</v>
      </c>
      <c r="N468" s="91">
        <v>4.2299999999999995</v>
      </c>
      <c r="O468" s="91">
        <v>3.7223999999999995</v>
      </c>
      <c r="P468" s="91">
        <v>0.50759999999999994</v>
      </c>
      <c r="Q468" s="85">
        <v>1.2689999999999999</v>
      </c>
      <c r="R468" s="68" t="s">
        <v>1107</v>
      </c>
      <c r="S468" s="86">
        <v>1</v>
      </c>
      <c r="T468" s="68">
        <v>0</v>
      </c>
      <c r="U468" s="68">
        <v>0</v>
      </c>
      <c r="V468" s="68">
        <v>0</v>
      </c>
      <c r="W468" s="68">
        <v>0</v>
      </c>
      <c r="X468" s="68">
        <v>0</v>
      </c>
      <c r="Y468" s="68">
        <v>1</v>
      </c>
      <c r="Z468" s="68">
        <v>0</v>
      </c>
      <c r="AA468" s="68">
        <v>0</v>
      </c>
      <c r="AB468" s="69">
        <v>0</v>
      </c>
      <c r="AC468" s="69">
        <v>0</v>
      </c>
      <c r="AD468" s="70">
        <f>IFERROR(tblTarget[[#This Row],[Cluster Target]]/tblTarget[[#This Row],[Cluster PiN]],0)</f>
        <v>2.8992460589444824E-3</v>
      </c>
      <c r="AE468" s="79">
        <f>_xlfn.XLOOKUP(tblTarget[[#This Row],[ID]],tblResponse[ID],tblResponse[2024 Projected reached (Dec 2024)])</f>
        <v>0</v>
      </c>
      <c r="AF468" s="79">
        <f>_xlfn.XLOOKUP(tblTarget[[#This Row],[ID]],tblResponse[ID],tblResponse[2024 Intercluster reached -August RPM])</f>
        <v>1028.4571554792519</v>
      </c>
      <c r="AG468" s="79">
        <v>1</v>
      </c>
      <c r="AH468" s="79"/>
      <c r="AI468" s="79"/>
      <c r="AJ468" s="70" t="str">
        <f>IF(tblTarget[[#This Row],[Target to PiN (%)]]&gt;Targ_vs_PiN,"Flagged","")</f>
        <v/>
      </c>
      <c r="AK468" s="69" t="str">
        <f>IF(AND(tblTarget[[#This Row],[Qualifies for exception]]="Flagged",tblTarget[[#This Row],[Target to PiN (%)]]&gt;Targ_severity5),"Flagged","")</f>
        <v/>
      </c>
      <c r="AL468" s="68" t="str">
        <f>IFERROR(IF(AND(tblTarget[[#This Row],[Intercluser Severity]]=4,tblTarget[[#This Row],[Qualifies for exception]]="Flagged",(tblTarget[[#This Row],[Cluster Target]]-tblTarget[[#This Row],[2024 Response capacity up to December]])/tblTarget[[#This Row],[Cluster Target]]&gt;Diff_severity4),"Flagged",""),"No target")</f>
        <v>Flagged</v>
      </c>
      <c r="AM468" s="68" t="str">
        <f>IFERROR(IF(AND(tblTarget[[#This Row],[Intercluser Severity]]=3,tblTarget[[#This Row],[Qualifies for exception]]="Flagged",(tblTarget[[#This Row],[Cluster Target]]-tblTarget[[#This Row],[2024 Response capacity up to December]])/tblTarget[[#This Row],[Cluster Target]]&gt;Diff_severity3),"Flagged",""),"No target")</f>
        <v/>
      </c>
      <c r="AN468" s="81" t="s">
        <v>1099</v>
      </c>
      <c r="AO468" s="81"/>
      <c r="AP468" s="81" t="s">
        <v>1099</v>
      </c>
      <c r="AQ468" s="81" t="s">
        <v>1107</v>
      </c>
    </row>
    <row r="469" spans="1:43" ht="15.95" hidden="1" customHeight="1" x14ac:dyDescent="0.2">
      <c r="A469" s="62" t="s">
        <v>906</v>
      </c>
      <c r="B469" s="63" t="s">
        <v>180</v>
      </c>
      <c r="C469" s="64" t="s">
        <v>181</v>
      </c>
      <c r="D469" s="63" t="s">
        <v>212</v>
      </c>
      <c r="E469" s="64" t="s">
        <v>213</v>
      </c>
      <c r="F469" s="65">
        <v>5586</v>
      </c>
      <c r="G469" s="66" t="s">
        <v>437</v>
      </c>
      <c r="H469" s="67">
        <v>94</v>
      </c>
      <c r="I469" s="68">
        <v>3</v>
      </c>
      <c r="J469" s="68">
        <v>4</v>
      </c>
      <c r="K469" s="91">
        <v>4.5</v>
      </c>
      <c r="L469" s="91">
        <v>2.2431674148402427</v>
      </c>
      <c r="M469" s="91">
        <v>2.2568325851597573</v>
      </c>
      <c r="N469" s="91">
        <v>2.25</v>
      </c>
      <c r="O469" s="91">
        <v>1.98</v>
      </c>
      <c r="P469" s="91">
        <v>0.27</v>
      </c>
      <c r="Q469" s="85">
        <v>0.67499999999999993</v>
      </c>
      <c r="R469" s="68" t="s">
        <v>1107</v>
      </c>
      <c r="S469" s="86">
        <v>1</v>
      </c>
      <c r="T469" s="68">
        <v>0</v>
      </c>
      <c r="U469" s="68">
        <v>0</v>
      </c>
      <c r="V469" s="68">
        <v>0</v>
      </c>
      <c r="W469" s="68">
        <v>0</v>
      </c>
      <c r="X469" s="68">
        <v>0</v>
      </c>
      <c r="Y469" s="68">
        <v>0</v>
      </c>
      <c r="Z469" s="68">
        <v>0</v>
      </c>
      <c r="AA469" s="68">
        <v>0</v>
      </c>
      <c r="AB469" s="69">
        <v>0</v>
      </c>
      <c r="AC469" s="69">
        <v>0</v>
      </c>
      <c r="AD469" s="70">
        <f>IFERROR(tblTarget[[#This Row],[Cluster Target]]/tblTarget[[#This Row],[Cluster PiN]],0)</f>
        <v>4.7872340425531915E-2</v>
      </c>
      <c r="AE469" s="79">
        <f>_xlfn.XLOOKUP(tblTarget[[#This Row],[ID]],tblResponse[ID],tblResponse[2024 Projected reached (Dec 2024)])</f>
        <v>0</v>
      </c>
      <c r="AF469" s="79">
        <f>_xlfn.XLOOKUP(tblTarget[[#This Row],[ID]],tblResponse[ID],tblResponse[2024 Intercluster reached -August RPM])</f>
        <v>34.237247902768551</v>
      </c>
      <c r="AG469" s="79">
        <v>1</v>
      </c>
      <c r="AH469" s="79"/>
      <c r="AI469" s="79"/>
      <c r="AJ469" s="70" t="str">
        <f>IF(tblTarget[[#This Row],[Target to PiN (%)]]&gt;Targ_vs_PiN,"Flagged","")</f>
        <v/>
      </c>
      <c r="AK469" s="69" t="str">
        <f>IF(AND(tblTarget[[#This Row],[Qualifies for exception]]="Flagged",tblTarget[[#This Row],[Target to PiN (%)]]&gt;Targ_severity5),"Flagged","")</f>
        <v/>
      </c>
      <c r="AL469" s="68" t="str">
        <f>IFERROR(IF(AND(tblTarget[[#This Row],[Intercluser Severity]]=4,tblTarget[[#This Row],[Qualifies for exception]]="Flagged",(tblTarget[[#This Row],[Cluster Target]]-tblTarget[[#This Row],[2024 Response capacity up to December]])/tblTarget[[#This Row],[Cluster Target]]&gt;Diff_severity4),"Flagged",""),"No target")</f>
        <v>Flagged</v>
      </c>
      <c r="AM469" s="68" t="str">
        <f>IFERROR(IF(AND(tblTarget[[#This Row],[Intercluser Severity]]=3,tblTarget[[#This Row],[Qualifies for exception]]="Flagged",(tblTarget[[#This Row],[Cluster Target]]-tblTarget[[#This Row],[2024 Response capacity up to December]])/tblTarget[[#This Row],[Cluster Target]]&gt;Diff_severity3),"Flagged",""),"No target")</f>
        <v/>
      </c>
      <c r="AN469" s="81" t="s">
        <v>1099</v>
      </c>
      <c r="AO469" s="81"/>
      <c r="AP469" s="81" t="s">
        <v>1099</v>
      </c>
      <c r="AQ469" s="81" t="s">
        <v>1107</v>
      </c>
    </row>
    <row r="470" spans="1:43" ht="15.95" customHeight="1" x14ac:dyDescent="0.2">
      <c r="A470" s="62" t="s">
        <v>907</v>
      </c>
      <c r="B470" s="63" t="s">
        <v>180</v>
      </c>
      <c r="C470" s="64" t="s">
        <v>181</v>
      </c>
      <c r="D470" s="63" t="s">
        <v>214</v>
      </c>
      <c r="E470" s="64" t="s">
        <v>215</v>
      </c>
      <c r="F470" s="65">
        <v>0</v>
      </c>
      <c r="G470" s="66" t="s">
        <v>437</v>
      </c>
      <c r="H470" s="67">
        <v>0</v>
      </c>
      <c r="I470" s="68">
        <v>3</v>
      </c>
      <c r="J470" s="68">
        <v>4</v>
      </c>
      <c r="K470" s="91">
        <v>0</v>
      </c>
      <c r="L470" s="91">
        <v>0</v>
      </c>
      <c r="M470" s="91">
        <v>0</v>
      </c>
      <c r="N470" s="91">
        <v>0</v>
      </c>
      <c r="O470" s="91">
        <v>0</v>
      </c>
      <c r="P470" s="91">
        <v>0</v>
      </c>
      <c r="Q470" s="85">
        <v>0</v>
      </c>
      <c r="R470" s="68" t="s">
        <v>15</v>
      </c>
      <c r="S470" s="86">
        <v>0</v>
      </c>
      <c r="T470" s="68">
        <v>0</v>
      </c>
      <c r="U470" s="68">
        <v>0</v>
      </c>
      <c r="V470" s="68">
        <v>0</v>
      </c>
      <c r="W470" s="68">
        <v>0</v>
      </c>
      <c r="X470" s="68">
        <v>0</v>
      </c>
      <c r="Y470" s="68">
        <v>0</v>
      </c>
      <c r="Z470" s="68">
        <v>0</v>
      </c>
      <c r="AA470" s="68">
        <v>0</v>
      </c>
      <c r="AB470" s="69">
        <v>0</v>
      </c>
      <c r="AC470" s="69">
        <v>0</v>
      </c>
      <c r="AD470" s="70">
        <f>IFERROR(tblTarget[[#This Row],[Cluster Target]]/tblTarget[[#This Row],[Cluster PiN]],0)</f>
        <v>0</v>
      </c>
      <c r="AE470" s="79">
        <f>_xlfn.XLOOKUP(tblTarget[[#This Row],[ID]],tblResponse[ID],tblResponse[2024 Projected reached (Dec 2024)])</f>
        <v>0</v>
      </c>
      <c r="AF470" s="79">
        <f>_xlfn.XLOOKUP(tblTarget[[#This Row],[ID]],tblResponse[ID],tblResponse[2024 Intercluster reached -August RPM])</f>
        <v>975.76156522890381</v>
      </c>
      <c r="AG470" s="79">
        <v>1</v>
      </c>
      <c r="AH470" s="79"/>
      <c r="AI470" s="79"/>
      <c r="AJ470" s="70" t="str">
        <f>IF(tblTarget[[#This Row],[Target to PiN (%)]]&gt;Targ_vs_PiN,"Flagged","")</f>
        <v/>
      </c>
      <c r="AK470" s="69" t="str">
        <f>IF(AND(tblTarget[[#This Row],[Qualifies for exception]]="Flagged",tblTarget[[#This Row],[Target to PiN (%)]]&gt;Targ_severity5),"Flagged","")</f>
        <v/>
      </c>
      <c r="AL470" s="68" t="str">
        <f>IFERROR(IF(AND(tblTarget[[#This Row],[Intercluser Severity]]=4,tblTarget[[#This Row],[Qualifies for exception]]="Flagged",(tblTarget[[#This Row],[Cluster Target]]-tblTarget[[#This Row],[2024 Response capacity up to December]])/tblTarget[[#This Row],[Cluster Target]]&gt;Diff_severity4),"Flagged",""),"No target")</f>
        <v>No target</v>
      </c>
      <c r="AM470" s="68" t="str">
        <f>IFERROR(IF(AND(tblTarget[[#This Row],[Intercluser Severity]]=3,tblTarget[[#This Row],[Qualifies for exception]]="Flagged",(tblTarget[[#This Row],[Cluster Target]]-tblTarget[[#This Row],[2024 Response capacity up to December]])/tblTarget[[#This Row],[Cluster Target]]&gt;Diff_severity3),"Flagged",""),"No target")</f>
        <v>No target</v>
      </c>
      <c r="AN470" s="81" t="s">
        <v>1099</v>
      </c>
      <c r="AO470" s="81"/>
      <c r="AP470" s="81" t="s">
        <v>15</v>
      </c>
      <c r="AQ470" s="81" t="s">
        <v>1098</v>
      </c>
    </row>
    <row r="471" spans="1:43" ht="15.95" hidden="1" customHeight="1" x14ac:dyDescent="0.2">
      <c r="A471" s="62" t="s">
        <v>908</v>
      </c>
      <c r="B471" s="63" t="s">
        <v>216</v>
      </c>
      <c r="C471" s="64" t="s">
        <v>217</v>
      </c>
      <c r="D471" s="63" t="s">
        <v>218</v>
      </c>
      <c r="E471" s="64" t="s">
        <v>219</v>
      </c>
      <c r="F471" s="65">
        <v>5384</v>
      </c>
      <c r="G471" s="66" t="s">
        <v>437</v>
      </c>
      <c r="H471" s="67">
        <v>1839</v>
      </c>
      <c r="I471" s="68">
        <v>4</v>
      </c>
      <c r="J471" s="68">
        <v>4</v>
      </c>
      <c r="K471" s="91">
        <v>92</v>
      </c>
      <c r="L471" s="91">
        <v>46.47676015273781</v>
      </c>
      <c r="M471" s="91">
        <v>45.523239847262197</v>
      </c>
      <c r="N471" s="91">
        <v>46</v>
      </c>
      <c r="O471" s="91">
        <v>40.479999999999997</v>
      </c>
      <c r="P471" s="91">
        <v>5.52</v>
      </c>
      <c r="Q471" s="85">
        <v>13.799999999999999</v>
      </c>
      <c r="R471" s="68" t="s">
        <v>1107</v>
      </c>
      <c r="S471" s="86">
        <v>13</v>
      </c>
      <c r="T471" s="68">
        <v>3</v>
      </c>
      <c r="U471" s="68">
        <v>0</v>
      </c>
      <c r="V471" s="68">
        <v>0</v>
      </c>
      <c r="W471" s="68">
        <v>1</v>
      </c>
      <c r="X471" s="68">
        <v>2</v>
      </c>
      <c r="Y471" s="68">
        <v>6</v>
      </c>
      <c r="Z471" s="68">
        <v>0</v>
      </c>
      <c r="AA471" s="68">
        <v>0</v>
      </c>
      <c r="AB471" s="69">
        <v>0</v>
      </c>
      <c r="AC471" s="69">
        <v>0</v>
      </c>
      <c r="AD471" s="70">
        <f>IFERROR(tblTarget[[#This Row],[Cluster Target]]/tblTarget[[#This Row],[Cluster PiN]],0)</f>
        <v>5.0027188689505168E-2</v>
      </c>
      <c r="AE471" s="79">
        <f>_xlfn.XLOOKUP(tblTarget[[#This Row],[ID]],tblResponse[ID],tblResponse[2024 Projected reached (Dec 2024)])</f>
        <v>0</v>
      </c>
      <c r="AF471" s="79">
        <f>_xlfn.XLOOKUP(tblTarget[[#This Row],[ID]],tblResponse[ID],tblResponse[2024 Intercluster reached -August RPM])</f>
        <v>685.75718973249639</v>
      </c>
      <c r="AG471" s="79">
        <v>1</v>
      </c>
      <c r="AH471" s="79"/>
      <c r="AI471" s="79"/>
      <c r="AJ471" s="70" t="str">
        <f>IF(tblTarget[[#This Row],[Target to PiN (%)]]&gt;Targ_vs_PiN,"Flagged","")</f>
        <v/>
      </c>
      <c r="AK471" s="69" t="str">
        <f>IF(AND(tblTarget[[#This Row],[Qualifies for exception]]="Flagged",tblTarget[[#This Row],[Target to PiN (%)]]&gt;Targ_severity5),"Flagged","")</f>
        <v/>
      </c>
      <c r="AL471" s="68" t="str">
        <f>IFERROR(IF(AND(tblTarget[[#This Row],[Intercluser Severity]]=4,tblTarget[[#This Row],[Qualifies for exception]]="Flagged",(tblTarget[[#This Row],[Cluster Target]]-tblTarget[[#This Row],[2024 Response capacity up to December]])/tblTarget[[#This Row],[Cluster Target]]&gt;Diff_severity4),"Flagged",""),"No target")</f>
        <v>Flagged</v>
      </c>
      <c r="AM471" s="68" t="str">
        <f>IFERROR(IF(AND(tblTarget[[#This Row],[Intercluser Severity]]=3,tblTarget[[#This Row],[Qualifies for exception]]="Flagged",(tblTarget[[#This Row],[Cluster Target]]-tblTarget[[#This Row],[2024 Response capacity up to December]])/tblTarget[[#This Row],[Cluster Target]]&gt;Diff_severity3),"Flagged",""),"No target")</f>
        <v/>
      </c>
      <c r="AN471" s="81" t="s">
        <v>1099</v>
      </c>
      <c r="AO471" s="81"/>
      <c r="AP471" s="81" t="s">
        <v>1099</v>
      </c>
      <c r="AQ471" s="81" t="s">
        <v>1107</v>
      </c>
    </row>
    <row r="472" spans="1:43" ht="15.95" hidden="1" customHeight="1" x14ac:dyDescent="0.2">
      <c r="A472" s="62" t="s">
        <v>909</v>
      </c>
      <c r="B472" s="63" t="s">
        <v>216</v>
      </c>
      <c r="C472" s="64" t="s">
        <v>217</v>
      </c>
      <c r="D472" s="63" t="s">
        <v>220</v>
      </c>
      <c r="E472" s="64" t="s">
        <v>221</v>
      </c>
      <c r="F472" s="65">
        <v>21850</v>
      </c>
      <c r="G472" s="66" t="s">
        <v>437</v>
      </c>
      <c r="H472" s="67">
        <v>542</v>
      </c>
      <c r="I472" s="68">
        <v>3</v>
      </c>
      <c r="J472" s="68">
        <v>3</v>
      </c>
      <c r="K472" s="91">
        <v>54</v>
      </c>
      <c r="L472" s="91">
        <v>27.116885609485625</v>
      </c>
      <c r="M472" s="91">
        <v>26.883114390514372</v>
      </c>
      <c r="N472" s="91">
        <v>27</v>
      </c>
      <c r="O472" s="91">
        <v>23.76</v>
      </c>
      <c r="P472" s="91">
        <v>3.2399999999999998</v>
      </c>
      <c r="Q472" s="85">
        <v>8.1</v>
      </c>
      <c r="R472" s="68" t="s">
        <v>1107</v>
      </c>
      <c r="S472" s="86">
        <v>8</v>
      </c>
      <c r="T472" s="68">
        <v>2</v>
      </c>
      <c r="U472" s="68">
        <v>0</v>
      </c>
      <c r="V472" s="68">
        <v>0</v>
      </c>
      <c r="W472" s="68">
        <v>1</v>
      </c>
      <c r="X472" s="68">
        <v>1</v>
      </c>
      <c r="Y472" s="68">
        <v>4</v>
      </c>
      <c r="Z472" s="68">
        <v>0</v>
      </c>
      <c r="AA472" s="68">
        <v>0</v>
      </c>
      <c r="AB472" s="69">
        <v>0</v>
      </c>
      <c r="AC472" s="69">
        <v>0</v>
      </c>
      <c r="AD472" s="70">
        <f>IFERROR(tblTarget[[#This Row],[Cluster Target]]/tblTarget[[#This Row],[Cluster PiN]],0)</f>
        <v>9.9630996309963096E-2</v>
      </c>
      <c r="AE472" s="79">
        <f>_xlfn.XLOOKUP(tblTarget[[#This Row],[ID]],tblResponse[ID],tblResponse[2024 Projected reached (Dec 2024)])</f>
        <v>0</v>
      </c>
      <c r="AF472" s="79">
        <f>_xlfn.XLOOKUP(tblTarget[[#This Row],[ID]],tblResponse[ID],tblResponse[2024 Intercluster reached -August RPM])</f>
        <v>3556.1782823806966</v>
      </c>
      <c r="AG472" s="79">
        <v>5</v>
      </c>
      <c r="AH472" s="79"/>
      <c r="AI472" s="79"/>
      <c r="AJ472" s="70" t="str">
        <f>IF(tblTarget[[#This Row],[Target to PiN (%)]]&gt;Targ_vs_PiN,"Flagged","")</f>
        <v/>
      </c>
      <c r="AK472" s="69" t="str">
        <f>IF(AND(tblTarget[[#This Row],[Qualifies for exception]]="Flagged",tblTarget[[#This Row],[Target to PiN (%)]]&gt;Targ_severity5),"Flagged","")</f>
        <v/>
      </c>
      <c r="AL472" s="68" t="str">
        <f>IFERROR(IF(AND(tblTarget[[#This Row],[Intercluser Severity]]=4,tblTarget[[#This Row],[Qualifies for exception]]="Flagged",(tblTarget[[#This Row],[Cluster Target]]-tblTarget[[#This Row],[2024 Response capacity up to December]])/tblTarget[[#This Row],[Cluster Target]]&gt;Diff_severity4),"Flagged",""),"No target")</f>
        <v/>
      </c>
      <c r="AM472" s="68" t="str">
        <f>IFERROR(IF(AND(tblTarget[[#This Row],[Intercluser Severity]]=3,tblTarget[[#This Row],[Qualifies for exception]]="Flagged",(tblTarget[[#This Row],[Cluster Target]]-tblTarget[[#This Row],[2024 Response capacity up to December]])/tblTarget[[#This Row],[Cluster Target]]&gt;Diff_severity3),"Flagged",""),"No target")</f>
        <v>Flagged</v>
      </c>
      <c r="AN472" s="81" t="s">
        <v>1099</v>
      </c>
      <c r="AO472" s="81"/>
      <c r="AP472" s="81" t="s">
        <v>1099</v>
      </c>
      <c r="AQ472" s="81" t="s">
        <v>1107</v>
      </c>
    </row>
    <row r="473" spans="1:43" ht="15.95" hidden="1" customHeight="1" x14ac:dyDescent="0.2">
      <c r="A473" s="62" t="s">
        <v>910</v>
      </c>
      <c r="B473" s="63" t="s">
        <v>216</v>
      </c>
      <c r="C473" s="64" t="s">
        <v>217</v>
      </c>
      <c r="D473" s="63" t="s">
        <v>222</v>
      </c>
      <c r="E473" s="64" t="s">
        <v>223</v>
      </c>
      <c r="F473" s="65">
        <v>45211</v>
      </c>
      <c r="G473" s="66" t="s">
        <v>437</v>
      </c>
      <c r="H473" s="67">
        <v>3921</v>
      </c>
      <c r="I473" s="68">
        <v>3</v>
      </c>
      <c r="J473" s="68">
        <v>4</v>
      </c>
      <c r="K473" s="91">
        <v>784</v>
      </c>
      <c r="L473" s="91">
        <v>386.52312776688495</v>
      </c>
      <c r="M473" s="91">
        <v>397.47687223311505</v>
      </c>
      <c r="N473" s="91">
        <v>392</v>
      </c>
      <c r="O473" s="91">
        <v>344.96</v>
      </c>
      <c r="P473" s="91">
        <v>47.04</v>
      </c>
      <c r="Q473" s="85">
        <v>117.6</v>
      </c>
      <c r="R473" s="68" t="s">
        <v>1107</v>
      </c>
      <c r="S473" s="86">
        <v>113</v>
      </c>
      <c r="T473" s="68">
        <v>28</v>
      </c>
      <c r="U473" s="68">
        <v>0</v>
      </c>
      <c r="V473" s="68">
        <v>0</v>
      </c>
      <c r="W473" s="68">
        <v>8</v>
      </c>
      <c r="X473" s="68">
        <v>16</v>
      </c>
      <c r="Y473" s="68">
        <v>55</v>
      </c>
      <c r="Z473" s="68">
        <v>0</v>
      </c>
      <c r="AA473" s="68">
        <v>0</v>
      </c>
      <c r="AB473" s="69">
        <v>0</v>
      </c>
      <c r="AC473" s="69">
        <v>0</v>
      </c>
      <c r="AD473" s="70">
        <f>IFERROR(tblTarget[[#This Row],[Cluster Target]]/tblTarget[[#This Row],[Cluster PiN]],0)</f>
        <v>0.19994899260392757</v>
      </c>
      <c r="AE473" s="79">
        <f>_xlfn.XLOOKUP(tblTarget[[#This Row],[ID]],tblResponse[ID],tblResponse[2024 Projected reached (Dec 2024)])</f>
        <v>0</v>
      </c>
      <c r="AF473" s="79">
        <f>_xlfn.XLOOKUP(tblTarget[[#This Row],[ID]],tblResponse[ID],tblResponse[2024 Intercluster reached -August RPM])</f>
        <v>1588.1319583698137</v>
      </c>
      <c r="AG473" s="79">
        <v>2</v>
      </c>
      <c r="AH473" s="79"/>
      <c r="AI473" s="79"/>
      <c r="AJ473" s="70" t="str">
        <f>IF(tblTarget[[#This Row],[Target to PiN (%)]]&gt;Targ_vs_PiN,"Flagged","")</f>
        <v/>
      </c>
      <c r="AK473" s="69" t="str">
        <f>IF(AND(tblTarget[[#This Row],[Qualifies for exception]]="Flagged",tblTarget[[#This Row],[Target to PiN (%)]]&gt;Targ_severity5),"Flagged","")</f>
        <v/>
      </c>
      <c r="AL473" s="68" t="str">
        <f>IFERROR(IF(AND(tblTarget[[#This Row],[Intercluser Severity]]=4,tblTarget[[#This Row],[Qualifies for exception]]="Flagged",(tblTarget[[#This Row],[Cluster Target]]-tblTarget[[#This Row],[2024 Response capacity up to December]])/tblTarget[[#This Row],[Cluster Target]]&gt;Diff_severity4),"Flagged",""),"No target")</f>
        <v>Flagged</v>
      </c>
      <c r="AM473" s="68" t="str">
        <f>IFERROR(IF(AND(tblTarget[[#This Row],[Intercluser Severity]]=3,tblTarget[[#This Row],[Qualifies for exception]]="Flagged",(tblTarget[[#This Row],[Cluster Target]]-tblTarget[[#This Row],[2024 Response capacity up to December]])/tblTarget[[#This Row],[Cluster Target]]&gt;Diff_severity3),"Flagged",""),"No target")</f>
        <v/>
      </c>
      <c r="AN473" s="81" t="s">
        <v>1099</v>
      </c>
      <c r="AO473" s="81"/>
      <c r="AP473" s="81" t="s">
        <v>1099</v>
      </c>
      <c r="AQ473" s="81" t="s">
        <v>1107</v>
      </c>
    </row>
    <row r="474" spans="1:43" ht="15.95" hidden="1" customHeight="1" x14ac:dyDescent="0.2">
      <c r="A474" s="62" t="s">
        <v>911</v>
      </c>
      <c r="B474" s="63" t="s">
        <v>216</v>
      </c>
      <c r="C474" s="64" t="s">
        <v>217</v>
      </c>
      <c r="D474" s="63" t="s">
        <v>224</v>
      </c>
      <c r="E474" s="64" t="s">
        <v>225</v>
      </c>
      <c r="F474" s="65">
        <v>21633</v>
      </c>
      <c r="G474" s="66" t="s">
        <v>437</v>
      </c>
      <c r="H474" s="67">
        <v>315</v>
      </c>
      <c r="I474" s="68">
        <v>2</v>
      </c>
      <c r="J474" s="68">
        <v>3</v>
      </c>
      <c r="K474" s="91">
        <v>0</v>
      </c>
      <c r="L474" s="91">
        <v>0</v>
      </c>
      <c r="M474" s="91">
        <v>0</v>
      </c>
      <c r="N474" s="91">
        <v>0</v>
      </c>
      <c r="O474" s="91">
        <v>0</v>
      </c>
      <c r="P474" s="91">
        <v>0</v>
      </c>
      <c r="Q474" s="85">
        <v>0</v>
      </c>
      <c r="R474" s="68" t="s">
        <v>1107</v>
      </c>
      <c r="S474" s="86">
        <v>0</v>
      </c>
      <c r="T474" s="68">
        <v>0</v>
      </c>
      <c r="U474" s="68">
        <v>0</v>
      </c>
      <c r="V474" s="68">
        <v>0</v>
      </c>
      <c r="W474" s="68">
        <v>0</v>
      </c>
      <c r="X474" s="68">
        <v>0</v>
      </c>
      <c r="Y474" s="68">
        <v>0</v>
      </c>
      <c r="Z474" s="68">
        <v>0</v>
      </c>
      <c r="AA474" s="68">
        <v>0</v>
      </c>
      <c r="AB474" s="69">
        <v>0</v>
      </c>
      <c r="AC474" s="69">
        <v>0</v>
      </c>
      <c r="AD474" s="70">
        <f>IFERROR(tblTarget[[#This Row],[Cluster Target]]/tblTarget[[#This Row],[Cluster PiN]],0)</f>
        <v>0</v>
      </c>
      <c r="AE474" s="79">
        <f>_xlfn.XLOOKUP(tblTarget[[#This Row],[ID]],tblResponse[ID],tblResponse[2024 Projected reached (Dec 2024)])</f>
        <v>0</v>
      </c>
      <c r="AF474" s="79">
        <f>_xlfn.XLOOKUP(tblTarget[[#This Row],[ID]],tblResponse[ID],tblResponse[2024 Intercluster reached -August RPM])</f>
        <v>2285.9614994280255</v>
      </c>
      <c r="AG474" s="79">
        <v>2</v>
      </c>
      <c r="AH474" s="79"/>
      <c r="AI474" s="79"/>
      <c r="AJ474" s="70" t="str">
        <f>IF(tblTarget[[#This Row],[Target to PiN (%)]]&gt;Targ_vs_PiN,"Flagged","")</f>
        <v/>
      </c>
      <c r="AK474" s="69" t="str">
        <f>IF(AND(tblTarget[[#This Row],[Qualifies for exception]]="Flagged",tblTarget[[#This Row],[Target to PiN (%)]]&gt;Targ_severity5),"Flagged","")</f>
        <v/>
      </c>
      <c r="AL474" s="68" t="str">
        <f>IFERROR(IF(AND(tblTarget[[#This Row],[Intercluser Severity]]=4,tblTarget[[#This Row],[Qualifies for exception]]="Flagged",(tblTarget[[#This Row],[Cluster Target]]-tblTarget[[#This Row],[2024 Response capacity up to December]])/tblTarget[[#This Row],[Cluster Target]]&gt;Diff_severity4),"Flagged",""),"No target")</f>
        <v>No target</v>
      </c>
      <c r="AM474" s="68" t="str">
        <f>IFERROR(IF(AND(tblTarget[[#This Row],[Intercluser Severity]]=3,tblTarget[[#This Row],[Qualifies for exception]]="Flagged",(tblTarget[[#This Row],[Cluster Target]]-tblTarget[[#This Row],[2024 Response capacity up to December]])/tblTarget[[#This Row],[Cluster Target]]&gt;Diff_severity3),"Flagged",""),"No target")</f>
        <v>No target</v>
      </c>
      <c r="AN474" s="81" t="s">
        <v>1099</v>
      </c>
      <c r="AO474" s="81"/>
      <c r="AP474" s="81" t="s">
        <v>1099</v>
      </c>
      <c r="AQ474" s="81" t="s">
        <v>1107</v>
      </c>
    </row>
    <row r="475" spans="1:43" ht="15.95" hidden="1" customHeight="1" x14ac:dyDescent="0.2">
      <c r="A475" s="62" t="s">
        <v>912</v>
      </c>
      <c r="B475" s="63" t="s">
        <v>216</v>
      </c>
      <c r="C475" s="64" t="s">
        <v>217</v>
      </c>
      <c r="D475" s="63" t="s">
        <v>226</v>
      </c>
      <c r="E475" s="64" t="s">
        <v>227</v>
      </c>
      <c r="F475" s="65">
        <v>41064</v>
      </c>
      <c r="G475" s="66" t="s">
        <v>437</v>
      </c>
      <c r="H475" s="67">
        <v>2597</v>
      </c>
      <c r="I475" s="68">
        <v>3</v>
      </c>
      <c r="J475" s="68">
        <v>4</v>
      </c>
      <c r="K475" s="91">
        <v>130</v>
      </c>
      <c r="L475" s="91">
        <v>65.112515413070284</v>
      </c>
      <c r="M475" s="91">
        <v>64.887484586929716</v>
      </c>
      <c r="N475" s="91">
        <v>65</v>
      </c>
      <c r="O475" s="91">
        <v>57.2</v>
      </c>
      <c r="P475" s="91">
        <v>7.8</v>
      </c>
      <c r="Q475" s="85">
        <v>19.5</v>
      </c>
      <c r="R475" s="68" t="s">
        <v>1107</v>
      </c>
      <c r="S475" s="86">
        <v>19</v>
      </c>
      <c r="T475" s="68">
        <v>5</v>
      </c>
      <c r="U475" s="68">
        <v>0</v>
      </c>
      <c r="V475" s="68">
        <v>0</v>
      </c>
      <c r="W475" s="68">
        <v>1</v>
      </c>
      <c r="X475" s="68">
        <v>3</v>
      </c>
      <c r="Y475" s="68">
        <v>9</v>
      </c>
      <c r="Z475" s="68">
        <v>0</v>
      </c>
      <c r="AA475" s="68">
        <v>0</v>
      </c>
      <c r="AB475" s="69">
        <v>0</v>
      </c>
      <c r="AC475" s="69">
        <v>0</v>
      </c>
      <c r="AD475" s="70">
        <f>IFERROR(tblTarget[[#This Row],[Cluster Target]]/tblTarget[[#This Row],[Cluster PiN]],0)</f>
        <v>5.0057758952637657E-2</v>
      </c>
      <c r="AE475" s="79">
        <f>_xlfn.XLOOKUP(tblTarget[[#This Row],[ID]],tblResponse[ID],tblResponse[2024 Projected reached (Dec 2024)])</f>
        <v>0</v>
      </c>
      <c r="AF475" s="79">
        <f>_xlfn.XLOOKUP(tblTarget[[#This Row],[ID]],tblResponse[ID],tblResponse[2024 Intercluster reached -August RPM])</f>
        <v>994.94930981441189</v>
      </c>
      <c r="AG475" s="79">
        <v>1</v>
      </c>
      <c r="AH475" s="79"/>
      <c r="AI475" s="79"/>
      <c r="AJ475" s="70" t="str">
        <f>IF(tblTarget[[#This Row],[Target to PiN (%)]]&gt;Targ_vs_PiN,"Flagged","")</f>
        <v/>
      </c>
      <c r="AK475" s="69" t="str">
        <f>IF(AND(tblTarget[[#This Row],[Qualifies for exception]]="Flagged",tblTarget[[#This Row],[Target to PiN (%)]]&gt;Targ_severity5),"Flagged","")</f>
        <v/>
      </c>
      <c r="AL475" s="68" t="str">
        <f>IFERROR(IF(AND(tblTarget[[#This Row],[Intercluser Severity]]=4,tblTarget[[#This Row],[Qualifies for exception]]="Flagged",(tblTarget[[#This Row],[Cluster Target]]-tblTarget[[#This Row],[2024 Response capacity up to December]])/tblTarget[[#This Row],[Cluster Target]]&gt;Diff_severity4),"Flagged",""),"No target")</f>
        <v>Flagged</v>
      </c>
      <c r="AM475" s="68" t="str">
        <f>IFERROR(IF(AND(tblTarget[[#This Row],[Intercluser Severity]]=3,tblTarget[[#This Row],[Qualifies for exception]]="Flagged",(tblTarget[[#This Row],[Cluster Target]]-tblTarget[[#This Row],[2024 Response capacity up to December]])/tblTarget[[#This Row],[Cluster Target]]&gt;Diff_severity3),"Flagged",""),"No target")</f>
        <v/>
      </c>
      <c r="AN475" s="81" t="s">
        <v>1099</v>
      </c>
      <c r="AO475" s="81"/>
      <c r="AP475" s="81" t="s">
        <v>1099</v>
      </c>
      <c r="AQ475" s="81" t="s">
        <v>1107</v>
      </c>
    </row>
    <row r="476" spans="1:43" ht="15.95" hidden="1" customHeight="1" x14ac:dyDescent="0.2">
      <c r="A476" s="62" t="s">
        <v>913</v>
      </c>
      <c r="B476" s="63" t="s">
        <v>216</v>
      </c>
      <c r="C476" s="64" t="s">
        <v>217</v>
      </c>
      <c r="D476" s="63" t="s">
        <v>228</v>
      </c>
      <c r="E476" s="64" t="s">
        <v>229</v>
      </c>
      <c r="F476" s="65">
        <v>9554</v>
      </c>
      <c r="G476" s="66" t="s">
        <v>437</v>
      </c>
      <c r="H476" s="67">
        <v>1070</v>
      </c>
      <c r="I476" s="68">
        <v>3</v>
      </c>
      <c r="J476" s="68">
        <v>3</v>
      </c>
      <c r="K476" s="91">
        <v>107</v>
      </c>
      <c r="L476" s="91">
        <v>53.973439094655525</v>
      </c>
      <c r="M476" s="91">
        <v>53.026560905344482</v>
      </c>
      <c r="N476" s="91">
        <v>53.5</v>
      </c>
      <c r="O476" s="91">
        <v>47.08</v>
      </c>
      <c r="P476" s="91">
        <v>6.42</v>
      </c>
      <c r="Q476" s="85">
        <v>16.05</v>
      </c>
      <c r="R476" s="68" t="s">
        <v>1107</v>
      </c>
      <c r="S476" s="86">
        <v>15</v>
      </c>
      <c r="T476" s="68">
        <v>4</v>
      </c>
      <c r="U476" s="68">
        <v>0</v>
      </c>
      <c r="V476" s="68">
        <v>0</v>
      </c>
      <c r="W476" s="68">
        <v>1</v>
      </c>
      <c r="X476" s="68">
        <v>2</v>
      </c>
      <c r="Y476" s="68">
        <v>7</v>
      </c>
      <c r="Z476" s="68">
        <v>0</v>
      </c>
      <c r="AA476" s="68">
        <v>0</v>
      </c>
      <c r="AB476" s="69">
        <v>0</v>
      </c>
      <c r="AC476" s="69">
        <v>0</v>
      </c>
      <c r="AD476" s="70">
        <f>IFERROR(tblTarget[[#This Row],[Cluster Target]]/tblTarget[[#This Row],[Cluster PiN]],0)</f>
        <v>0.1</v>
      </c>
      <c r="AE476" s="79">
        <f>_xlfn.XLOOKUP(tblTarget[[#This Row],[ID]],tblResponse[ID],tblResponse[2024 Projected reached (Dec 2024)])</f>
        <v>0</v>
      </c>
      <c r="AF476" s="79">
        <f>_xlfn.XLOOKUP(tblTarget[[#This Row],[ID]],tblResponse[ID],tblResponse[2024 Intercluster reached -August RPM])</f>
        <v>759.24818664378699</v>
      </c>
      <c r="AG476" s="79">
        <v>2</v>
      </c>
      <c r="AH476" s="79"/>
      <c r="AI476" s="79"/>
      <c r="AJ476" s="70" t="str">
        <f>IF(tblTarget[[#This Row],[Target to PiN (%)]]&gt;Targ_vs_PiN,"Flagged","")</f>
        <v/>
      </c>
      <c r="AK476" s="69" t="str">
        <f>IF(AND(tblTarget[[#This Row],[Qualifies for exception]]="Flagged",tblTarget[[#This Row],[Target to PiN (%)]]&gt;Targ_severity5),"Flagged","")</f>
        <v/>
      </c>
      <c r="AL476" s="68" t="str">
        <f>IFERROR(IF(AND(tblTarget[[#This Row],[Intercluser Severity]]=4,tblTarget[[#This Row],[Qualifies for exception]]="Flagged",(tblTarget[[#This Row],[Cluster Target]]-tblTarget[[#This Row],[2024 Response capacity up to December]])/tblTarget[[#This Row],[Cluster Target]]&gt;Diff_severity4),"Flagged",""),"No target")</f>
        <v/>
      </c>
      <c r="AM476" s="68" t="str">
        <f>IFERROR(IF(AND(tblTarget[[#This Row],[Intercluser Severity]]=3,tblTarget[[#This Row],[Qualifies for exception]]="Flagged",(tblTarget[[#This Row],[Cluster Target]]-tblTarget[[#This Row],[2024 Response capacity up to December]])/tblTarget[[#This Row],[Cluster Target]]&gt;Diff_severity3),"Flagged",""),"No target")</f>
        <v>Flagged</v>
      </c>
      <c r="AN476" s="81" t="s">
        <v>1099</v>
      </c>
      <c r="AO476" s="81"/>
      <c r="AP476" s="81" t="s">
        <v>1099</v>
      </c>
      <c r="AQ476" s="81" t="s">
        <v>1107</v>
      </c>
    </row>
    <row r="477" spans="1:43" ht="15.95" hidden="1" customHeight="1" x14ac:dyDescent="0.2">
      <c r="A477" s="62" t="s">
        <v>914</v>
      </c>
      <c r="B477" s="63" t="s">
        <v>216</v>
      </c>
      <c r="C477" s="64" t="s">
        <v>217</v>
      </c>
      <c r="D477" s="63" t="s">
        <v>230</v>
      </c>
      <c r="E477" s="64" t="s">
        <v>231</v>
      </c>
      <c r="F477" s="65">
        <v>11722</v>
      </c>
      <c r="G477" s="66" t="s">
        <v>437</v>
      </c>
      <c r="H477" s="67">
        <v>441</v>
      </c>
      <c r="I477" s="68">
        <v>3</v>
      </c>
      <c r="J477" s="68">
        <v>3</v>
      </c>
      <c r="K477" s="91">
        <v>44</v>
      </c>
      <c r="L477" s="91">
        <v>21.964057507987221</v>
      </c>
      <c r="M477" s="91">
        <v>22.035942492012779</v>
      </c>
      <c r="N477" s="91">
        <v>22</v>
      </c>
      <c r="O477" s="91">
        <v>19.36</v>
      </c>
      <c r="P477" s="91">
        <v>2.6399999999999997</v>
      </c>
      <c r="Q477" s="85">
        <v>6.6</v>
      </c>
      <c r="R477" s="68" t="s">
        <v>1107</v>
      </c>
      <c r="S477" s="86">
        <v>6</v>
      </c>
      <c r="T477" s="68">
        <v>2</v>
      </c>
      <c r="U477" s="68">
        <v>0</v>
      </c>
      <c r="V477" s="68">
        <v>0</v>
      </c>
      <c r="W477" s="68">
        <v>0</v>
      </c>
      <c r="X477" s="68">
        <v>1</v>
      </c>
      <c r="Y477" s="68">
        <v>3</v>
      </c>
      <c r="Z477" s="68">
        <v>0</v>
      </c>
      <c r="AA477" s="68">
        <v>0</v>
      </c>
      <c r="AB477" s="69">
        <v>0</v>
      </c>
      <c r="AC477" s="69">
        <v>0</v>
      </c>
      <c r="AD477" s="70">
        <f>IFERROR(tblTarget[[#This Row],[Cluster Target]]/tblTarget[[#This Row],[Cluster PiN]],0)</f>
        <v>9.9773242630385492E-2</v>
      </c>
      <c r="AE477" s="79">
        <f>_xlfn.XLOOKUP(tblTarget[[#This Row],[ID]],tblResponse[ID],tblResponse[2024 Projected reached (Dec 2024)])</f>
        <v>0</v>
      </c>
      <c r="AF477" s="79">
        <f>_xlfn.XLOOKUP(tblTarget[[#This Row],[ID]],tblResponse[ID],tblResponse[2024 Intercluster reached -August RPM])</f>
        <v>623.34119822975356</v>
      </c>
      <c r="AG477" s="79">
        <v>2</v>
      </c>
      <c r="AH477" s="79"/>
      <c r="AI477" s="79"/>
      <c r="AJ477" s="70" t="str">
        <f>IF(tblTarget[[#This Row],[Target to PiN (%)]]&gt;Targ_vs_PiN,"Flagged","")</f>
        <v/>
      </c>
      <c r="AK477" s="69" t="str">
        <f>IF(AND(tblTarget[[#This Row],[Qualifies for exception]]="Flagged",tblTarget[[#This Row],[Target to PiN (%)]]&gt;Targ_severity5),"Flagged","")</f>
        <v/>
      </c>
      <c r="AL477" s="68" t="str">
        <f>IFERROR(IF(AND(tblTarget[[#This Row],[Intercluser Severity]]=4,tblTarget[[#This Row],[Qualifies for exception]]="Flagged",(tblTarget[[#This Row],[Cluster Target]]-tblTarget[[#This Row],[2024 Response capacity up to December]])/tblTarget[[#This Row],[Cluster Target]]&gt;Diff_severity4),"Flagged",""),"No target")</f>
        <v/>
      </c>
      <c r="AM477" s="68" t="str">
        <f>IFERROR(IF(AND(tblTarget[[#This Row],[Intercluser Severity]]=3,tblTarget[[#This Row],[Qualifies for exception]]="Flagged",(tblTarget[[#This Row],[Cluster Target]]-tblTarget[[#This Row],[2024 Response capacity up to December]])/tblTarget[[#This Row],[Cluster Target]]&gt;Diff_severity3),"Flagged",""),"No target")</f>
        <v>Flagged</v>
      </c>
      <c r="AN477" s="81" t="s">
        <v>1099</v>
      </c>
      <c r="AO477" s="81"/>
      <c r="AP477" s="81" t="s">
        <v>1099</v>
      </c>
      <c r="AQ477" s="81" t="s">
        <v>1107</v>
      </c>
    </row>
    <row r="478" spans="1:43" ht="15.95" hidden="1" customHeight="1" x14ac:dyDescent="0.2">
      <c r="A478" s="62" t="s">
        <v>915</v>
      </c>
      <c r="B478" s="63" t="s">
        <v>232</v>
      </c>
      <c r="C478" s="64" t="s">
        <v>233</v>
      </c>
      <c r="D478" s="63" t="s">
        <v>234</v>
      </c>
      <c r="E478" s="64" t="s">
        <v>235</v>
      </c>
      <c r="F478" s="65">
        <v>375452</v>
      </c>
      <c r="G478" s="66" t="s">
        <v>437</v>
      </c>
      <c r="H478" s="67">
        <v>17598</v>
      </c>
      <c r="I478" s="68">
        <v>3</v>
      </c>
      <c r="J478" s="68">
        <v>4</v>
      </c>
      <c r="K478" s="91">
        <v>880</v>
      </c>
      <c r="L478" s="91">
        <v>465.14697829618353</v>
      </c>
      <c r="M478" s="91">
        <v>414.85302170381647</v>
      </c>
      <c r="N478" s="91">
        <v>440</v>
      </c>
      <c r="O478" s="91">
        <v>387.2</v>
      </c>
      <c r="P478" s="91">
        <v>52.8</v>
      </c>
      <c r="Q478" s="85">
        <v>132</v>
      </c>
      <c r="R478" s="68" t="s">
        <v>1107</v>
      </c>
      <c r="S478" s="86">
        <v>127</v>
      </c>
      <c r="T478" s="68">
        <v>32</v>
      </c>
      <c r="U478" s="68">
        <v>0</v>
      </c>
      <c r="V478" s="68">
        <v>0</v>
      </c>
      <c r="W478" s="68">
        <v>9</v>
      </c>
      <c r="X478" s="68">
        <v>18</v>
      </c>
      <c r="Y478" s="68">
        <v>62</v>
      </c>
      <c r="Z478" s="68">
        <v>0</v>
      </c>
      <c r="AA478" s="68">
        <v>0</v>
      </c>
      <c r="AB478" s="69">
        <v>0</v>
      </c>
      <c r="AC478" s="69">
        <v>0</v>
      </c>
      <c r="AD478" s="70">
        <f>IFERROR(tblTarget[[#This Row],[Cluster Target]]/tblTarget[[#This Row],[Cluster PiN]],0)</f>
        <v>5.0005682463916352E-2</v>
      </c>
      <c r="AE478" s="79">
        <f>_xlfn.XLOOKUP(tblTarget[[#This Row],[ID]],tblResponse[ID],tblResponse[2024 Projected reached (Dec 2024)])</f>
        <v>0</v>
      </c>
      <c r="AF478" s="79">
        <f>_xlfn.XLOOKUP(tblTarget[[#This Row],[ID]],tblResponse[ID],tblResponse[2024 Intercluster reached -August RPM])</f>
        <v>1485.4053289015503</v>
      </c>
      <c r="AG478" s="79">
        <v>2</v>
      </c>
      <c r="AH478" s="79"/>
      <c r="AI478" s="79"/>
      <c r="AJ478" s="70" t="str">
        <f>IF(tblTarget[[#This Row],[Target to PiN (%)]]&gt;Targ_vs_PiN,"Flagged","")</f>
        <v/>
      </c>
      <c r="AK478" s="69" t="str">
        <f>IF(AND(tblTarget[[#This Row],[Qualifies for exception]]="Flagged",tblTarget[[#This Row],[Target to PiN (%)]]&gt;Targ_severity5),"Flagged","")</f>
        <v/>
      </c>
      <c r="AL478" s="68" t="str">
        <f>IFERROR(IF(AND(tblTarget[[#This Row],[Intercluser Severity]]=4,tblTarget[[#This Row],[Qualifies for exception]]="Flagged",(tblTarget[[#This Row],[Cluster Target]]-tblTarget[[#This Row],[2024 Response capacity up to December]])/tblTarget[[#This Row],[Cluster Target]]&gt;Diff_severity4),"Flagged",""),"No target")</f>
        <v>Flagged</v>
      </c>
      <c r="AM478" s="68" t="str">
        <f>IFERROR(IF(AND(tblTarget[[#This Row],[Intercluser Severity]]=3,tblTarget[[#This Row],[Qualifies for exception]]="Flagged",(tblTarget[[#This Row],[Cluster Target]]-tblTarget[[#This Row],[2024 Response capacity up to December]])/tblTarget[[#This Row],[Cluster Target]]&gt;Diff_severity3),"Flagged",""),"No target")</f>
        <v/>
      </c>
      <c r="AN478" s="81" t="s">
        <v>1099</v>
      </c>
      <c r="AO478" s="81"/>
      <c r="AP478" s="81" t="s">
        <v>1099</v>
      </c>
      <c r="AQ478" s="81" t="s">
        <v>1107</v>
      </c>
    </row>
    <row r="479" spans="1:43" ht="15.95" customHeight="1" x14ac:dyDescent="0.2">
      <c r="A479" s="62" t="s">
        <v>916</v>
      </c>
      <c r="B479" s="63" t="s">
        <v>232</v>
      </c>
      <c r="C479" s="64" t="s">
        <v>233</v>
      </c>
      <c r="D479" s="63" t="s">
        <v>236</v>
      </c>
      <c r="E479" s="64" t="s">
        <v>237</v>
      </c>
      <c r="F479" s="65">
        <v>169137</v>
      </c>
      <c r="G479" s="66" t="s">
        <v>437</v>
      </c>
      <c r="H479" s="67">
        <v>2185</v>
      </c>
      <c r="I479" s="68">
        <v>3</v>
      </c>
      <c r="J479" s="68">
        <v>3</v>
      </c>
      <c r="K479" s="91">
        <v>0</v>
      </c>
      <c r="L479" s="91">
        <v>0</v>
      </c>
      <c r="M479" s="91">
        <v>0</v>
      </c>
      <c r="N479" s="91">
        <v>0</v>
      </c>
      <c r="O479" s="91">
        <v>0</v>
      </c>
      <c r="P479" s="91">
        <v>0</v>
      </c>
      <c r="Q479" s="85">
        <v>0</v>
      </c>
      <c r="R479" s="68" t="s">
        <v>15</v>
      </c>
      <c r="S479" s="86">
        <v>0</v>
      </c>
      <c r="T479" s="68">
        <v>0</v>
      </c>
      <c r="U479" s="68">
        <v>0</v>
      </c>
      <c r="V479" s="68">
        <v>0</v>
      </c>
      <c r="W479" s="68">
        <v>0</v>
      </c>
      <c r="X479" s="68">
        <v>0</v>
      </c>
      <c r="Y479" s="68">
        <v>0</v>
      </c>
      <c r="Z479" s="68">
        <v>0</v>
      </c>
      <c r="AA479" s="68">
        <v>0</v>
      </c>
      <c r="AB479" s="69">
        <v>0</v>
      </c>
      <c r="AC479" s="69">
        <v>0</v>
      </c>
      <c r="AD479" s="70">
        <f>IFERROR(tblTarget[[#This Row],[Cluster Target]]/tblTarget[[#This Row],[Cluster PiN]],0)</f>
        <v>0</v>
      </c>
      <c r="AE479" s="79">
        <f>_xlfn.XLOOKUP(tblTarget[[#This Row],[ID]],tblResponse[ID],tblResponse[2024 Projected reached (Dec 2024)])</f>
        <v>0</v>
      </c>
      <c r="AF479" s="79">
        <f>_xlfn.XLOOKUP(tblTarget[[#This Row],[ID]],tblResponse[ID],tblResponse[2024 Intercluster reached -August RPM])</f>
        <v>96.05780900720238</v>
      </c>
      <c r="AG479" s="79">
        <v>1</v>
      </c>
      <c r="AH479" s="79"/>
      <c r="AI479" s="79"/>
      <c r="AJ479" s="70" t="str">
        <f>IF(tblTarget[[#This Row],[Target to PiN (%)]]&gt;Targ_vs_PiN,"Flagged","")</f>
        <v/>
      </c>
      <c r="AK479" s="69" t="str">
        <f>IF(AND(tblTarget[[#This Row],[Qualifies for exception]]="Flagged",tblTarget[[#This Row],[Target to PiN (%)]]&gt;Targ_severity5),"Flagged","")</f>
        <v/>
      </c>
      <c r="AL479" s="68" t="str">
        <f>IFERROR(IF(AND(tblTarget[[#This Row],[Intercluser Severity]]=4,tblTarget[[#This Row],[Qualifies for exception]]="Flagged",(tblTarget[[#This Row],[Cluster Target]]-tblTarget[[#This Row],[2024 Response capacity up to December]])/tblTarget[[#This Row],[Cluster Target]]&gt;Diff_severity4),"Flagged",""),"No target")</f>
        <v>No target</v>
      </c>
      <c r="AM479" s="68" t="str">
        <f>IFERROR(IF(AND(tblTarget[[#This Row],[Intercluser Severity]]=3,tblTarget[[#This Row],[Qualifies for exception]]="Flagged",(tblTarget[[#This Row],[Cluster Target]]-tblTarget[[#This Row],[2024 Response capacity up to December]])/tblTarget[[#This Row],[Cluster Target]]&gt;Diff_severity3),"Flagged",""),"No target")</f>
        <v>No target</v>
      </c>
      <c r="AN479" s="81" t="s">
        <v>1099</v>
      </c>
      <c r="AO479" s="81"/>
      <c r="AP479" s="81" t="s">
        <v>1099</v>
      </c>
      <c r="AQ479" s="81" t="s">
        <v>1107</v>
      </c>
    </row>
    <row r="480" spans="1:43" ht="15.95" hidden="1" customHeight="1" x14ac:dyDescent="0.2">
      <c r="A480" s="62" t="s">
        <v>917</v>
      </c>
      <c r="B480" s="63" t="s">
        <v>232</v>
      </c>
      <c r="C480" s="64" t="s">
        <v>233</v>
      </c>
      <c r="D480" s="63" t="s">
        <v>238</v>
      </c>
      <c r="E480" s="64" t="s">
        <v>239</v>
      </c>
      <c r="F480" s="65">
        <v>230501</v>
      </c>
      <c r="G480" s="66" t="s">
        <v>437</v>
      </c>
      <c r="H480" s="67">
        <v>64824</v>
      </c>
      <c r="I480" s="68">
        <v>4</v>
      </c>
      <c r="J480" s="68">
        <v>3</v>
      </c>
      <c r="K480" s="91">
        <v>9284.94</v>
      </c>
      <c r="L480" s="91">
        <v>4856.0725812362552</v>
      </c>
      <c r="M480" s="91">
        <v>4428.8674187637462</v>
      </c>
      <c r="N480" s="91">
        <v>4642.47</v>
      </c>
      <c r="O480" s="91">
        <v>4085.3736000000004</v>
      </c>
      <c r="P480" s="91">
        <v>557.09640000000002</v>
      </c>
      <c r="Q480" s="85">
        <v>1392.741</v>
      </c>
      <c r="R480" s="68" t="s">
        <v>1107</v>
      </c>
      <c r="S480" s="86">
        <v>1337</v>
      </c>
      <c r="T480" s="68">
        <v>334</v>
      </c>
      <c r="U480" s="68">
        <v>0</v>
      </c>
      <c r="V480" s="68">
        <v>0</v>
      </c>
      <c r="W480" s="68">
        <v>93</v>
      </c>
      <c r="X480" s="68">
        <v>186</v>
      </c>
      <c r="Y480" s="68">
        <v>650</v>
      </c>
      <c r="Z480" s="68">
        <v>0</v>
      </c>
      <c r="AA480" s="68">
        <v>0</v>
      </c>
      <c r="AB480" s="69">
        <v>0</v>
      </c>
      <c r="AC480" s="69">
        <v>0</v>
      </c>
      <c r="AD480" s="70">
        <f>IFERROR(tblTarget[[#This Row],[Cluster Target]]/tblTarget[[#This Row],[Cluster PiN]],0)</f>
        <v>0.14323306182895224</v>
      </c>
      <c r="AE480" s="79">
        <f>_xlfn.XLOOKUP(tblTarget[[#This Row],[ID]],tblResponse[ID],tblResponse[2024 Projected reached (Dec 2024)])</f>
        <v>0</v>
      </c>
      <c r="AF480" s="79">
        <f>_xlfn.XLOOKUP(tblTarget[[#This Row],[ID]],tblResponse[ID],tblResponse[2024 Intercluster reached -August RPM])</f>
        <v>1239.5818889596721</v>
      </c>
      <c r="AG480" s="79">
        <v>4</v>
      </c>
      <c r="AH480" s="79"/>
      <c r="AI480" s="79"/>
      <c r="AJ480" s="70" t="str">
        <f>IF(tblTarget[[#This Row],[Target to PiN (%)]]&gt;Targ_vs_PiN,"Flagged","")</f>
        <v/>
      </c>
      <c r="AK480" s="69" t="str">
        <f>IF(AND(tblTarget[[#This Row],[Qualifies for exception]]="Flagged",tblTarget[[#This Row],[Target to PiN (%)]]&gt;Targ_severity5),"Flagged","")</f>
        <v/>
      </c>
      <c r="AL480" s="68" t="str">
        <f>IFERROR(IF(AND(tblTarget[[#This Row],[Intercluser Severity]]=4,tblTarget[[#This Row],[Qualifies for exception]]="Flagged",(tblTarget[[#This Row],[Cluster Target]]-tblTarget[[#This Row],[2024 Response capacity up to December]])/tblTarget[[#This Row],[Cluster Target]]&gt;Diff_severity4),"Flagged",""),"No target")</f>
        <v/>
      </c>
      <c r="AM480" s="68" t="str">
        <f>IFERROR(IF(AND(tblTarget[[#This Row],[Intercluser Severity]]=3,tblTarget[[#This Row],[Qualifies for exception]]="Flagged",(tblTarget[[#This Row],[Cluster Target]]-tblTarget[[#This Row],[2024 Response capacity up to December]])/tblTarget[[#This Row],[Cluster Target]]&gt;Diff_severity3),"Flagged",""),"No target")</f>
        <v>Flagged</v>
      </c>
      <c r="AN480" s="81" t="s">
        <v>1099</v>
      </c>
      <c r="AO480" s="81"/>
      <c r="AP480" s="81" t="s">
        <v>1099</v>
      </c>
      <c r="AQ480" s="81" t="s">
        <v>1107</v>
      </c>
    </row>
    <row r="481" spans="1:43" ht="15.95" hidden="1" customHeight="1" x14ac:dyDescent="0.2">
      <c r="A481" s="62" t="s">
        <v>918</v>
      </c>
      <c r="B481" s="63" t="s">
        <v>232</v>
      </c>
      <c r="C481" s="64" t="s">
        <v>233</v>
      </c>
      <c r="D481" s="63" t="s">
        <v>240</v>
      </c>
      <c r="E481" s="64" t="s">
        <v>241</v>
      </c>
      <c r="F481" s="65">
        <v>132550</v>
      </c>
      <c r="G481" s="66" t="s">
        <v>437</v>
      </c>
      <c r="H481" s="67">
        <v>7272</v>
      </c>
      <c r="I481" s="68">
        <v>3</v>
      </c>
      <c r="J481" s="68">
        <v>3</v>
      </c>
      <c r="K481" s="91">
        <v>727</v>
      </c>
      <c r="L481" s="91">
        <v>382.94342950714628</v>
      </c>
      <c r="M481" s="91">
        <v>344.05657049285372</v>
      </c>
      <c r="N481" s="91">
        <v>363.5</v>
      </c>
      <c r="O481" s="91">
        <v>319.88</v>
      </c>
      <c r="P481" s="91">
        <v>43.62</v>
      </c>
      <c r="Q481" s="85">
        <v>109.05</v>
      </c>
      <c r="R481" s="68" t="s">
        <v>1107</v>
      </c>
      <c r="S481" s="86">
        <v>105</v>
      </c>
      <c r="T481" s="68">
        <v>26</v>
      </c>
      <c r="U481" s="68">
        <v>0</v>
      </c>
      <c r="V481" s="68">
        <v>0</v>
      </c>
      <c r="W481" s="68">
        <v>7</v>
      </c>
      <c r="X481" s="68">
        <v>15</v>
      </c>
      <c r="Y481" s="68">
        <v>51</v>
      </c>
      <c r="Z481" s="68">
        <v>0</v>
      </c>
      <c r="AA481" s="68">
        <v>0</v>
      </c>
      <c r="AB481" s="69">
        <v>0</v>
      </c>
      <c r="AC481" s="69">
        <v>0</v>
      </c>
      <c r="AD481" s="70">
        <f>IFERROR(tblTarget[[#This Row],[Cluster Target]]/tblTarget[[#This Row],[Cluster PiN]],0)</f>
        <v>9.997249724972497E-2</v>
      </c>
      <c r="AE481" s="79">
        <f>_xlfn.XLOOKUP(tblTarget[[#This Row],[ID]],tblResponse[ID],tblResponse[2024 Projected reached (Dec 2024)])</f>
        <v>0</v>
      </c>
      <c r="AF481" s="79">
        <f>_xlfn.XLOOKUP(tblTarget[[#This Row],[ID]],tblResponse[ID],tblResponse[2024 Intercluster reached -August RPM])</f>
        <v>1041.9138824810357</v>
      </c>
      <c r="AG481" s="79">
        <v>6</v>
      </c>
      <c r="AH481" s="79"/>
      <c r="AI481" s="79"/>
      <c r="AJ481" s="70" t="str">
        <f>IF(tblTarget[[#This Row],[Target to PiN (%)]]&gt;Targ_vs_PiN,"Flagged","")</f>
        <v/>
      </c>
      <c r="AK481" s="69" t="str">
        <f>IF(AND(tblTarget[[#This Row],[Qualifies for exception]]="Flagged",tblTarget[[#This Row],[Target to PiN (%)]]&gt;Targ_severity5),"Flagged","")</f>
        <v/>
      </c>
      <c r="AL481" s="68" t="str">
        <f>IFERROR(IF(AND(tblTarget[[#This Row],[Intercluser Severity]]=4,tblTarget[[#This Row],[Qualifies for exception]]="Flagged",(tblTarget[[#This Row],[Cluster Target]]-tblTarget[[#This Row],[2024 Response capacity up to December]])/tblTarget[[#This Row],[Cluster Target]]&gt;Diff_severity4),"Flagged",""),"No target")</f>
        <v/>
      </c>
      <c r="AM481" s="68" t="str">
        <f>IFERROR(IF(AND(tblTarget[[#This Row],[Intercluser Severity]]=3,tblTarget[[#This Row],[Qualifies for exception]]="Flagged",(tblTarget[[#This Row],[Cluster Target]]-tblTarget[[#This Row],[2024 Response capacity up to December]])/tblTarget[[#This Row],[Cluster Target]]&gt;Diff_severity3),"Flagged",""),"No target")</f>
        <v>Flagged</v>
      </c>
      <c r="AN481" s="81" t="s">
        <v>1099</v>
      </c>
      <c r="AO481" s="81"/>
      <c r="AP481" s="81" t="s">
        <v>1099</v>
      </c>
      <c r="AQ481" s="81" t="s">
        <v>1107</v>
      </c>
    </row>
    <row r="482" spans="1:43" ht="15.95" hidden="1" customHeight="1" x14ac:dyDescent="0.2">
      <c r="A482" s="62" t="s">
        <v>919</v>
      </c>
      <c r="B482" s="63" t="s">
        <v>232</v>
      </c>
      <c r="C482" s="64" t="s">
        <v>233</v>
      </c>
      <c r="D482" s="63" t="s">
        <v>242</v>
      </c>
      <c r="E482" s="64" t="s">
        <v>243</v>
      </c>
      <c r="F482" s="65">
        <v>196952</v>
      </c>
      <c r="G482" s="66" t="s">
        <v>437</v>
      </c>
      <c r="H482" s="67">
        <v>8031</v>
      </c>
      <c r="I482" s="68">
        <v>3</v>
      </c>
      <c r="J482" s="68">
        <v>3</v>
      </c>
      <c r="K482" s="91">
        <v>106.74</v>
      </c>
      <c r="L482" s="91">
        <v>56.437090432392061</v>
      </c>
      <c r="M482" s="91">
        <v>50.302909567607927</v>
      </c>
      <c r="N482" s="91">
        <v>53.37</v>
      </c>
      <c r="O482" s="91">
        <v>46.965599999999995</v>
      </c>
      <c r="P482" s="91">
        <v>6.4043999999999999</v>
      </c>
      <c r="Q482" s="85">
        <v>16.010999999999999</v>
      </c>
      <c r="R482" s="68" t="s">
        <v>1107</v>
      </c>
      <c r="S482" s="86">
        <v>15</v>
      </c>
      <c r="T482" s="68">
        <v>4</v>
      </c>
      <c r="U482" s="68">
        <v>0</v>
      </c>
      <c r="V482" s="68">
        <v>0</v>
      </c>
      <c r="W482" s="68">
        <v>1</v>
      </c>
      <c r="X482" s="68">
        <v>2</v>
      </c>
      <c r="Y482" s="68">
        <v>7</v>
      </c>
      <c r="Z482" s="68">
        <v>0</v>
      </c>
      <c r="AA482" s="68">
        <v>0</v>
      </c>
      <c r="AB482" s="69">
        <v>0</v>
      </c>
      <c r="AC482" s="69">
        <v>0</v>
      </c>
      <c r="AD482" s="70">
        <f>IFERROR(tblTarget[[#This Row],[Cluster Target]]/tblTarget[[#This Row],[Cluster PiN]],0)</f>
        <v>1.329099738513261E-2</v>
      </c>
      <c r="AE482" s="79">
        <f>_xlfn.XLOOKUP(tblTarget[[#This Row],[ID]],tblResponse[ID],tblResponse[2024 Projected reached (Dec 2024)])</f>
        <v>0</v>
      </c>
      <c r="AF482" s="79">
        <f>_xlfn.XLOOKUP(tblTarget[[#This Row],[ID]],tblResponse[ID],tblResponse[2024 Intercluster reached -August RPM])</f>
        <v>110.1546236871684</v>
      </c>
      <c r="AG482" s="79">
        <v>3</v>
      </c>
      <c r="AH482" s="79"/>
      <c r="AI482" s="79"/>
      <c r="AJ482" s="70" t="str">
        <f>IF(tblTarget[[#This Row],[Target to PiN (%)]]&gt;Targ_vs_PiN,"Flagged","")</f>
        <v/>
      </c>
      <c r="AK482" s="69" t="str">
        <f>IF(AND(tblTarget[[#This Row],[Qualifies for exception]]="Flagged",tblTarget[[#This Row],[Target to PiN (%)]]&gt;Targ_severity5),"Flagged","")</f>
        <v/>
      </c>
      <c r="AL482" s="68" t="str">
        <f>IFERROR(IF(AND(tblTarget[[#This Row],[Intercluser Severity]]=4,tblTarget[[#This Row],[Qualifies for exception]]="Flagged",(tblTarget[[#This Row],[Cluster Target]]-tblTarget[[#This Row],[2024 Response capacity up to December]])/tblTarget[[#This Row],[Cluster Target]]&gt;Diff_severity4),"Flagged",""),"No target")</f>
        <v/>
      </c>
      <c r="AM482" s="68" t="str">
        <f>IFERROR(IF(AND(tblTarget[[#This Row],[Intercluser Severity]]=3,tblTarget[[#This Row],[Qualifies for exception]]="Flagged",(tblTarget[[#This Row],[Cluster Target]]-tblTarget[[#This Row],[2024 Response capacity up to December]])/tblTarget[[#This Row],[Cluster Target]]&gt;Diff_severity3),"Flagged",""),"No target")</f>
        <v>Flagged</v>
      </c>
      <c r="AN482" s="81" t="s">
        <v>1099</v>
      </c>
      <c r="AO482" s="81"/>
      <c r="AP482" s="81" t="s">
        <v>1099</v>
      </c>
      <c r="AQ482" s="81" t="s">
        <v>1107</v>
      </c>
    </row>
    <row r="483" spans="1:43" ht="15.95" hidden="1" customHeight="1" x14ac:dyDescent="0.2">
      <c r="A483" s="62" t="s">
        <v>920</v>
      </c>
      <c r="B483" s="63" t="s">
        <v>232</v>
      </c>
      <c r="C483" s="64" t="s">
        <v>233</v>
      </c>
      <c r="D483" s="63" t="s">
        <v>244</v>
      </c>
      <c r="E483" s="64" t="s">
        <v>245</v>
      </c>
      <c r="F483" s="65">
        <v>0</v>
      </c>
      <c r="G483" s="66" t="s">
        <v>437</v>
      </c>
      <c r="H483" s="67">
        <v>0</v>
      </c>
      <c r="I483" s="68">
        <v>3</v>
      </c>
      <c r="J483" s="68">
        <v>3</v>
      </c>
      <c r="K483" s="91">
        <v>0</v>
      </c>
      <c r="L483" s="91">
        <v>0</v>
      </c>
      <c r="M483" s="91">
        <v>0</v>
      </c>
      <c r="N483" s="91">
        <v>0</v>
      </c>
      <c r="O483" s="91">
        <v>0</v>
      </c>
      <c r="P483" s="91">
        <v>0</v>
      </c>
      <c r="Q483" s="85">
        <v>0</v>
      </c>
      <c r="R483" s="68" t="s">
        <v>1107</v>
      </c>
      <c r="S483" s="86">
        <v>0</v>
      </c>
      <c r="T483" s="68">
        <v>0</v>
      </c>
      <c r="U483" s="68">
        <v>0</v>
      </c>
      <c r="V483" s="68">
        <v>0</v>
      </c>
      <c r="W483" s="68">
        <v>0</v>
      </c>
      <c r="X483" s="68">
        <v>0</v>
      </c>
      <c r="Y483" s="68">
        <v>0</v>
      </c>
      <c r="Z483" s="68">
        <v>0</v>
      </c>
      <c r="AA483" s="68">
        <v>0</v>
      </c>
      <c r="AB483" s="69">
        <v>0</v>
      </c>
      <c r="AC483" s="69">
        <v>0</v>
      </c>
      <c r="AD483" s="70">
        <f>IFERROR(tblTarget[[#This Row],[Cluster Target]]/tblTarget[[#This Row],[Cluster PiN]],0)</f>
        <v>0</v>
      </c>
      <c r="AE483" s="79">
        <f>_xlfn.XLOOKUP(tblTarget[[#This Row],[ID]],tblResponse[ID],tblResponse[2024 Projected reached (Dec 2024)])</f>
        <v>0</v>
      </c>
      <c r="AF483" s="79">
        <f>_xlfn.XLOOKUP(tblTarget[[#This Row],[ID]],tblResponse[ID],tblResponse[2024 Intercluster reached -August RPM])</f>
        <v>699.92843321225109</v>
      </c>
      <c r="AG483" s="79">
        <v>4</v>
      </c>
      <c r="AH483" s="79"/>
      <c r="AI483" s="79"/>
      <c r="AJ483" s="70" t="str">
        <f>IF(tblTarget[[#This Row],[Target to PiN (%)]]&gt;Targ_vs_PiN,"Flagged","")</f>
        <v/>
      </c>
      <c r="AK483" s="69" t="str">
        <f>IF(AND(tblTarget[[#This Row],[Qualifies for exception]]="Flagged",tblTarget[[#This Row],[Target to PiN (%)]]&gt;Targ_severity5),"Flagged","")</f>
        <v/>
      </c>
      <c r="AL483" s="68" t="str">
        <f>IFERROR(IF(AND(tblTarget[[#This Row],[Intercluser Severity]]=4,tblTarget[[#This Row],[Qualifies for exception]]="Flagged",(tblTarget[[#This Row],[Cluster Target]]-tblTarget[[#This Row],[2024 Response capacity up to December]])/tblTarget[[#This Row],[Cluster Target]]&gt;Diff_severity4),"Flagged",""),"No target")</f>
        <v>No target</v>
      </c>
      <c r="AM483" s="68" t="str">
        <f>IFERROR(IF(AND(tblTarget[[#This Row],[Intercluser Severity]]=3,tblTarget[[#This Row],[Qualifies for exception]]="Flagged",(tblTarget[[#This Row],[Cluster Target]]-tblTarget[[#This Row],[2024 Response capacity up to December]])/tblTarget[[#This Row],[Cluster Target]]&gt;Diff_severity3),"Flagged",""),"No target")</f>
        <v>No target</v>
      </c>
      <c r="AN483" s="81" t="s">
        <v>1099</v>
      </c>
      <c r="AO483" s="81"/>
      <c r="AP483" s="81" t="s">
        <v>1099</v>
      </c>
      <c r="AQ483" s="81" t="s">
        <v>1107</v>
      </c>
    </row>
    <row r="484" spans="1:43" ht="15.95" hidden="1" customHeight="1" x14ac:dyDescent="0.2">
      <c r="A484" s="62" t="s">
        <v>921</v>
      </c>
      <c r="B484" s="63" t="s">
        <v>232</v>
      </c>
      <c r="C484" s="64" t="s">
        <v>233</v>
      </c>
      <c r="D484" s="63" t="s">
        <v>246</v>
      </c>
      <c r="E484" s="64" t="s">
        <v>247</v>
      </c>
      <c r="F484" s="65">
        <v>340156</v>
      </c>
      <c r="G484" s="66" t="s">
        <v>437</v>
      </c>
      <c r="H484" s="67">
        <v>8372</v>
      </c>
      <c r="I484" s="68">
        <v>3</v>
      </c>
      <c r="J484" s="68">
        <v>4</v>
      </c>
      <c r="K484" s="91">
        <v>89.28</v>
      </c>
      <c r="L484" s="91">
        <v>46.186404871194377</v>
      </c>
      <c r="M484" s="91">
        <v>43.093595128805617</v>
      </c>
      <c r="N484" s="91">
        <v>44.64</v>
      </c>
      <c r="O484" s="91">
        <v>39.283200000000001</v>
      </c>
      <c r="P484" s="91">
        <v>5.3567999999999998</v>
      </c>
      <c r="Q484" s="85">
        <v>13.391999999999999</v>
      </c>
      <c r="R484" s="68" t="s">
        <v>1107</v>
      </c>
      <c r="S484" s="86">
        <v>13</v>
      </c>
      <c r="T484" s="68">
        <v>3</v>
      </c>
      <c r="U484" s="68">
        <v>0</v>
      </c>
      <c r="V484" s="68">
        <v>0</v>
      </c>
      <c r="W484" s="68">
        <v>1</v>
      </c>
      <c r="X484" s="68">
        <v>2</v>
      </c>
      <c r="Y484" s="68">
        <v>6</v>
      </c>
      <c r="Z484" s="68">
        <v>0</v>
      </c>
      <c r="AA484" s="68">
        <v>0</v>
      </c>
      <c r="AB484" s="69">
        <v>0</v>
      </c>
      <c r="AC484" s="69">
        <v>0</v>
      </c>
      <c r="AD484" s="70">
        <f>IFERROR(tblTarget[[#This Row],[Cluster Target]]/tblTarget[[#This Row],[Cluster PiN]],0)</f>
        <v>1.0664118490205448E-2</v>
      </c>
      <c r="AE484" s="79">
        <f>_xlfn.XLOOKUP(tblTarget[[#This Row],[ID]],tblResponse[ID],tblResponse[2024 Projected reached (Dec 2024)])</f>
        <v>0</v>
      </c>
      <c r="AF484" s="79">
        <f>_xlfn.XLOOKUP(tblTarget[[#This Row],[ID]],tblResponse[ID],tblResponse[2024 Intercluster reached -August RPM])</f>
        <v>149.97403157408399</v>
      </c>
      <c r="AG484" s="79">
        <v>1</v>
      </c>
      <c r="AH484" s="79"/>
      <c r="AI484" s="79"/>
      <c r="AJ484" s="70" t="str">
        <f>IF(tblTarget[[#This Row],[Target to PiN (%)]]&gt;Targ_vs_PiN,"Flagged","")</f>
        <v/>
      </c>
      <c r="AK484" s="69" t="str">
        <f>IF(AND(tblTarget[[#This Row],[Qualifies for exception]]="Flagged",tblTarget[[#This Row],[Target to PiN (%)]]&gt;Targ_severity5),"Flagged","")</f>
        <v/>
      </c>
      <c r="AL484" s="68" t="str">
        <f>IFERROR(IF(AND(tblTarget[[#This Row],[Intercluser Severity]]=4,tblTarget[[#This Row],[Qualifies for exception]]="Flagged",(tblTarget[[#This Row],[Cluster Target]]-tblTarget[[#This Row],[2024 Response capacity up to December]])/tblTarget[[#This Row],[Cluster Target]]&gt;Diff_severity4),"Flagged",""),"No target")</f>
        <v>Flagged</v>
      </c>
      <c r="AM484" s="68" t="str">
        <f>IFERROR(IF(AND(tblTarget[[#This Row],[Intercluser Severity]]=3,tblTarget[[#This Row],[Qualifies for exception]]="Flagged",(tblTarget[[#This Row],[Cluster Target]]-tblTarget[[#This Row],[2024 Response capacity up to December]])/tblTarget[[#This Row],[Cluster Target]]&gt;Diff_severity3),"Flagged",""),"No target")</f>
        <v/>
      </c>
      <c r="AN484" s="81" t="s">
        <v>1099</v>
      </c>
      <c r="AO484" s="81"/>
      <c r="AP484" s="81" t="s">
        <v>1099</v>
      </c>
      <c r="AQ484" s="81" t="s">
        <v>1107</v>
      </c>
    </row>
    <row r="485" spans="1:43" ht="15.95" hidden="1" customHeight="1" x14ac:dyDescent="0.2">
      <c r="A485" s="62" t="s">
        <v>922</v>
      </c>
      <c r="B485" s="63" t="s">
        <v>232</v>
      </c>
      <c r="C485" s="64" t="s">
        <v>233</v>
      </c>
      <c r="D485" s="63" t="s">
        <v>248</v>
      </c>
      <c r="E485" s="64" t="s">
        <v>249</v>
      </c>
      <c r="F485" s="65">
        <v>0</v>
      </c>
      <c r="G485" s="66" t="s">
        <v>437</v>
      </c>
      <c r="H485" s="67">
        <v>0</v>
      </c>
      <c r="I485" s="68">
        <v>4</v>
      </c>
      <c r="J485" s="68">
        <v>4</v>
      </c>
      <c r="K485" s="91">
        <v>0</v>
      </c>
      <c r="L485" s="91">
        <v>0</v>
      </c>
      <c r="M485" s="91">
        <v>0</v>
      </c>
      <c r="N485" s="91">
        <v>0</v>
      </c>
      <c r="O485" s="91">
        <v>0</v>
      </c>
      <c r="P485" s="91">
        <v>0</v>
      </c>
      <c r="Q485" s="85">
        <v>0</v>
      </c>
      <c r="R485" s="68" t="s">
        <v>1107</v>
      </c>
      <c r="S485" s="86">
        <v>0</v>
      </c>
      <c r="T485" s="68">
        <v>0</v>
      </c>
      <c r="U485" s="68">
        <v>0</v>
      </c>
      <c r="V485" s="68">
        <v>0</v>
      </c>
      <c r="W485" s="68">
        <v>0</v>
      </c>
      <c r="X485" s="68">
        <v>0</v>
      </c>
      <c r="Y485" s="68">
        <v>0</v>
      </c>
      <c r="Z485" s="68">
        <v>0</v>
      </c>
      <c r="AA485" s="68">
        <v>0</v>
      </c>
      <c r="AB485" s="69">
        <v>0</v>
      </c>
      <c r="AC485" s="69">
        <v>0</v>
      </c>
      <c r="AD485" s="70">
        <f>IFERROR(tblTarget[[#This Row],[Cluster Target]]/tblTarget[[#This Row],[Cluster PiN]],0)</f>
        <v>0</v>
      </c>
      <c r="AE485" s="79">
        <f>_xlfn.XLOOKUP(tblTarget[[#This Row],[ID]],tblResponse[ID],tblResponse[2024 Projected reached (Dec 2024)])</f>
        <v>0</v>
      </c>
      <c r="AF485" s="79">
        <f>_xlfn.XLOOKUP(tblTarget[[#This Row],[ID]],tblResponse[ID],tblResponse[2024 Intercluster reached -August RPM])</f>
        <v>795.07821086203217</v>
      </c>
      <c r="AG485" s="79">
        <v>3</v>
      </c>
      <c r="AH485" s="79"/>
      <c r="AI485" s="79"/>
      <c r="AJ485" s="70" t="str">
        <f>IF(tblTarget[[#This Row],[Target to PiN (%)]]&gt;Targ_vs_PiN,"Flagged","")</f>
        <v/>
      </c>
      <c r="AK485" s="69" t="str">
        <f>IF(AND(tblTarget[[#This Row],[Qualifies for exception]]="Flagged",tblTarget[[#This Row],[Target to PiN (%)]]&gt;Targ_severity5),"Flagged","")</f>
        <v/>
      </c>
      <c r="AL485" s="68" t="str">
        <f>IFERROR(IF(AND(tblTarget[[#This Row],[Intercluser Severity]]=4,tblTarget[[#This Row],[Qualifies for exception]]="Flagged",(tblTarget[[#This Row],[Cluster Target]]-tblTarget[[#This Row],[2024 Response capacity up to December]])/tblTarget[[#This Row],[Cluster Target]]&gt;Diff_severity4),"Flagged",""),"No target")</f>
        <v>No target</v>
      </c>
      <c r="AM485" s="68" t="str">
        <f>IFERROR(IF(AND(tblTarget[[#This Row],[Intercluser Severity]]=3,tblTarget[[#This Row],[Qualifies for exception]]="Flagged",(tblTarget[[#This Row],[Cluster Target]]-tblTarget[[#This Row],[2024 Response capacity up to December]])/tblTarget[[#This Row],[Cluster Target]]&gt;Diff_severity3),"Flagged",""),"No target")</f>
        <v>No target</v>
      </c>
      <c r="AN485" s="81" t="s">
        <v>1099</v>
      </c>
      <c r="AO485" s="81"/>
      <c r="AP485" s="81" t="s">
        <v>1099</v>
      </c>
      <c r="AQ485" s="81" t="s">
        <v>1107</v>
      </c>
    </row>
    <row r="486" spans="1:43" ht="15.95" hidden="1" customHeight="1" x14ac:dyDescent="0.2">
      <c r="A486" s="62" t="s">
        <v>923</v>
      </c>
      <c r="B486" s="63" t="s">
        <v>232</v>
      </c>
      <c r="C486" s="64" t="s">
        <v>233</v>
      </c>
      <c r="D486" s="63" t="s">
        <v>250</v>
      </c>
      <c r="E486" s="64" t="s">
        <v>251</v>
      </c>
      <c r="F486" s="65">
        <v>196991</v>
      </c>
      <c r="G486" s="66" t="s">
        <v>437</v>
      </c>
      <c r="H486" s="67">
        <v>11871</v>
      </c>
      <c r="I486" s="68">
        <v>3</v>
      </c>
      <c r="J486" s="68">
        <v>4</v>
      </c>
      <c r="K486" s="91">
        <v>151.01999999999998</v>
      </c>
      <c r="L486" s="91">
        <v>78.312150151255651</v>
      </c>
      <c r="M486" s="91">
        <v>72.707849848744331</v>
      </c>
      <c r="N486" s="91">
        <v>75.509999999999991</v>
      </c>
      <c r="O486" s="91">
        <v>66.448799999999991</v>
      </c>
      <c r="P486" s="91">
        <v>9.0611999999999977</v>
      </c>
      <c r="Q486" s="85">
        <v>22.652999999999995</v>
      </c>
      <c r="R486" s="68" t="s">
        <v>1107</v>
      </c>
      <c r="S486" s="86">
        <v>22</v>
      </c>
      <c r="T486" s="68">
        <v>5</v>
      </c>
      <c r="U486" s="68">
        <v>0</v>
      </c>
      <c r="V486" s="68">
        <v>0</v>
      </c>
      <c r="W486" s="68">
        <v>2</v>
      </c>
      <c r="X486" s="68">
        <v>3</v>
      </c>
      <c r="Y486" s="68">
        <v>11</v>
      </c>
      <c r="Z486" s="68">
        <v>0</v>
      </c>
      <c r="AA486" s="68">
        <v>0</v>
      </c>
      <c r="AB486" s="69">
        <v>0</v>
      </c>
      <c r="AC486" s="69">
        <v>0</v>
      </c>
      <c r="AD486" s="70">
        <f>IFERROR(tblTarget[[#This Row],[Cluster Target]]/tblTarget[[#This Row],[Cluster PiN]],0)</f>
        <v>1.2721758908263835E-2</v>
      </c>
      <c r="AE486" s="79">
        <f>_xlfn.XLOOKUP(tblTarget[[#This Row],[ID]],tblResponse[ID],tblResponse[2024 Projected reached (Dec 2024)])</f>
        <v>0</v>
      </c>
      <c r="AF486" s="79">
        <f>_xlfn.XLOOKUP(tblTarget[[#This Row],[ID]],tblResponse[ID],tblResponse[2024 Intercluster reached -August RPM])</f>
        <v>759.18864360395605</v>
      </c>
      <c r="AG486" s="79">
        <v>1</v>
      </c>
      <c r="AH486" s="79"/>
      <c r="AI486" s="79"/>
      <c r="AJ486" s="70" t="str">
        <f>IF(tblTarget[[#This Row],[Target to PiN (%)]]&gt;Targ_vs_PiN,"Flagged","")</f>
        <v/>
      </c>
      <c r="AK486" s="69" t="str">
        <f>IF(AND(tblTarget[[#This Row],[Qualifies for exception]]="Flagged",tblTarget[[#This Row],[Target to PiN (%)]]&gt;Targ_severity5),"Flagged","")</f>
        <v/>
      </c>
      <c r="AL486" s="68" t="str">
        <f>IFERROR(IF(AND(tblTarget[[#This Row],[Intercluser Severity]]=4,tblTarget[[#This Row],[Qualifies for exception]]="Flagged",(tblTarget[[#This Row],[Cluster Target]]-tblTarget[[#This Row],[2024 Response capacity up to December]])/tblTarget[[#This Row],[Cluster Target]]&gt;Diff_severity4),"Flagged",""),"No target")</f>
        <v>Flagged</v>
      </c>
      <c r="AM486" s="68" t="str">
        <f>IFERROR(IF(AND(tblTarget[[#This Row],[Intercluser Severity]]=3,tblTarget[[#This Row],[Qualifies for exception]]="Flagged",(tblTarget[[#This Row],[Cluster Target]]-tblTarget[[#This Row],[2024 Response capacity up to December]])/tblTarget[[#This Row],[Cluster Target]]&gt;Diff_severity3),"Flagged",""),"No target")</f>
        <v/>
      </c>
      <c r="AN486" s="81" t="s">
        <v>1099</v>
      </c>
      <c r="AO486" s="81"/>
      <c r="AP486" s="81" t="s">
        <v>1099</v>
      </c>
      <c r="AQ486" s="81" t="s">
        <v>1107</v>
      </c>
    </row>
    <row r="487" spans="1:43" ht="15.95" hidden="1" customHeight="1" x14ac:dyDescent="0.2">
      <c r="A487" s="62" t="s">
        <v>924</v>
      </c>
      <c r="B487" s="63" t="s">
        <v>252</v>
      </c>
      <c r="C487" s="64" t="s">
        <v>253</v>
      </c>
      <c r="D487" s="63" t="s">
        <v>254</v>
      </c>
      <c r="E487" s="64" t="s">
        <v>255</v>
      </c>
      <c r="F487" s="65">
        <v>74775</v>
      </c>
      <c r="G487" s="66" t="s">
        <v>437</v>
      </c>
      <c r="H487" s="67">
        <v>7316</v>
      </c>
      <c r="I487" s="68">
        <v>3</v>
      </c>
      <c r="J487" s="68">
        <v>3</v>
      </c>
      <c r="K487" s="91">
        <v>76.86</v>
      </c>
      <c r="L487" s="91">
        <v>35.107958725654584</v>
      </c>
      <c r="M487" s="91">
        <v>41.752041274345409</v>
      </c>
      <c r="N487" s="91">
        <v>38.43</v>
      </c>
      <c r="O487" s="91">
        <v>33.818399999999997</v>
      </c>
      <c r="P487" s="91">
        <v>4.6116000000000001</v>
      </c>
      <c r="Q487" s="85">
        <v>11.529</v>
      </c>
      <c r="R487" s="68" t="s">
        <v>1107</v>
      </c>
      <c r="S487" s="86">
        <v>11</v>
      </c>
      <c r="T487" s="68">
        <v>3</v>
      </c>
      <c r="U487" s="68">
        <v>0</v>
      </c>
      <c r="V487" s="68">
        <v>0</v>
      </c>
      <c r="W487" s="68">
        <v>1</v>
      </c>
      <c r="X487" s="68">
        <v>2</v>
      </c>
      <c r="Y487" s="68">
        <v>5</v>
      </c>
      <c r="Z487" s="68">
        <v>0</v>
      </c>
      <c r="AA487" s="68">
        <v>0</v>
      </c>
      <c r="AB487" s="69">
        <v>0</v>
      </c>
      <c r="AC487" s="69">
        <v>0</v>
      </c>
      <c r="AD487" s="70">
        <f>IFERROR(tblTarget[[#This Row],[Cluster Target]]/tblTarget[[#This Row],[Cluster PiN]],0)</f>
        <v>1.0505740841990158E-2</v>
      </c>
      <c r="AE487" s="79">
        <f>_xlfn.XLOOKUP(tblTarget[[#This Row],[ID]],tblResponse[ID],tblResponse[2024 Projected reached (Dec 2024)])</f>
        <v>0</v>
      </c>
      <c r="AF487" s="79">
        <f>_xlfn.XLOOKUP(tblTarget[[#This Row],[ID]],tblResponse[ID],tblResponse[2024 Intercluster reached -August RPM])</f>
        <v>453.56910591189472</v>
      </c>
      <c r="AG487" s="79">
        <v>1</v>
      </c>
      <c r="AH487" s="79"/>
      <c r="AI487" s="79"/>
      <c r="AJ487" s="70" t="str">
        <f>IF(tblTarget[[#This Row],[Target to PiN (%)]]&gt;Targ_vs_PiN,"Flagged","")</f>
        <v/>
      </c>
      <c r="AK487" s="69" t="str">
        <f>IF(AND(tblTarget[[#This Row],[Qualifies for exception]]="Flagged",tblTarget[[#This Row],[Target to PiN (%)]]&gt;Targ_severity5),"Flagged","")</f>
        <v/>
      </c>
      <c r="AL487" s="68" t="str">
        <f>IFERROR(IF(AND(tblTarget[[#This Row],[Intercluser Severity]]=4,tblTarget[[#This Row],[Qualifies for exception]]="Flagged",(tblTarget[[#This Row],[Cluster Target]]-tblTarget[[#This Row],[2024 Response capacity up to December]])/tblTarget[[#This Row],[Cluster Target]]&gt;Diff_severity4),"Flagged",""),"No target")</f>
        <v/>
      </c>
      <c r="AM487" s="68" t="str">
        <f>IFERROR(IF(AND(tblTarget[[#This Row],[Intercluser Severity]]=3,tblTarget[[#This Row],[Qualifies for exception]]="Flagged",(tblTarget[[#This Row],[Cluster Target]]-tblTarget[[#This Row],[2024 Response capacity up to December]])/tblTarget[[#This Row],[Cluster Target]]&gt;Diff_severity3),"Flagged",""),"No target")</f>
        <v>Flagged</v>
      </c>
      <c r="AN487" s="81" t="s">
        <v>1099</v>
      </c>
      <c r="AO487" s="81"/>
      <c r="AP487" s="81" t="s">
        <v>1099</v>
      </c>
      <c r="AQ487" s="81" t="s">
        <v>1107</v>
      </c>
    </row>
    <row r="488" spans="1:43" ht="15.95" hidden="1" customHeight="1" x14ac:dyDescent="0.2">
      <c r="A488" s="62" t="s">
        <v>925</v>
      </c>
      <c r="B488" s="63" t="s">
        <v>252</v>
      </c>
      <c r="C488" s="64" t="s">
        <v>253</v>
      </c>
      <c r="D488" s="63" t="s">
        <v>256</v>
      </c>
      <c r="E488" s="64" t="s">
        <v>257</v>
      </c>
      <c r="F488" s="65">
        <v>95444</v>
      </c>
      <c r="G488" s="66" t="s">
        <v>437</v>
      </c>
      <c r="H488" s="67">
        <v>12957</v>
      </c>
      <c r="I488" s="68">
        <v>3</v>
      </c>
      <c r="J488" s="68">
        <v>3</v>
      </c>
      <c r="K488" s="91">
        <v>2591.5</v>
      </c>
      <c r="L488" s="91">
        <v>1300.3811865869211</v>
      </c>
      <c r="M488" s="91">
        <v>1291.1188134130787</v>
      </c>
      <c r="N488" s="91">
        <v>1295.75</v>
      </c>
      <c r="O488" s="91">
        <v>1140.26</v>
      </c>
      <c r="P488" s="91">
        <v>155.48999999999998</v>
      </c>
      <c r="Q488" s="85">
        <v>388.72499999999997</v>
      </c>
      <c r="R488" s="68" t="s">
        <v>1107</v>
      </c>
      <c r="S488" s="86">
        <v>373</v>
      </c>
      <c r="T488" s="68">
        <v>93</v>
      </c>
      <c r="U488" s="68">
        <v>0</v>
      </c>
      <c r="V488" s="68">
        <v>0</v>
      </c>
      <c r="W488" s="68">
        <v>26</v>
      </c>
      <c r="X488" s="68">
        <v>52</v>
      </c>
      <c r="Y488" s="68">
        <v>181</v>
      </c>
      <c r="Z488" s="68">
        <v>0</v>
      </c>
      <c r="AA488" s="68">
        <v>12.912992016986211</v>
      </c>
      <c r="AB488" s="69">
        <v>0</v>
      </c>
      <c r="AC488" s="69">
        <v>0</v>
      </c>
      <c r="AD488" s="70">
        <f>IFERROR(tblTarget[[#This Row],[Cluster Target]]/tblTarget[[#This Row],[Cluster PiN]],0)</f>
        <v>0.20000771783591881</v>
      </c>
      <c r="AE488" s="79">
        <f>_xlfn.XLOOKUP(tblTarget[[#This Row],[ID]],tblResponse[ID],tblResponse[2024 Projected reached (Dec 2024)])</f>
        <v>0</v>
      </c>
      <c r="AF488" s="79">
        <f>_xlfn.XLOOKUP(tblTarget[[#This Row],[ID]],tblResponse[ID],tblResponse[2024 Intercluster reached -August RPM])</f>
        <v>1764.7068429883529</v>
      </c>
      <c r="AG488" s="79">
        <v>8</v>
      </c>
      <c r="AH488" s="79"/>
      <c r="AI488" s="79"/>
      <c r="AJ488" s="70" t="str">
        <f>IF(tblTarget[[#This Row],[Target to PiN (%)]]&gt;Targ_vs_PiN,"Flagged","")</f>
        <v/>
      </c>
      <c r="AK488" s="69" t="str">
        <f>IF(AND(tblTarget[[#This Row],[Qualifies for exception]]="Flagged",tblTarget[[#This Row],[Target to PiN (%)]]&gt;Targ_severity5),"Flagged","")</f>
        <v/>
      </c>
      <c r="AL488" s="68" t="str">
        <f>IFERROR(IF(AND(tblTarget[[#This Row],[Intercluser Severity]]=4,tblTarget[[#This Row],[Qualifies for exception]]="Flagged",(tblTarget[[#This Row],[Cluster Target]]-tblTarget[[#This Row],[2024 Response capacity up to December]])/tblTarget[[#This Row],[Cluster Target]]&gt;Diff_severity4),"Flagged",""),"No target")</f>
        <v/>
      </c>
      <c r="AM488" s="68" t="str">
        <f>IFERROR(IF(AND(tblTarget[[#This Row],[Intercluser Severity]]=3,tblTarget[[#This Row],[Qualifies for exception]]="Flagged",(tblTarget[[#This Row],[Cluster Target]]-tblTarget[[#This Row],[2024 Response capacity up to December]])/tblTarget[[#This Row],[Cluster Target]]&gt;Diff_severity3),"Flagged",""),"No target")</f>
        <v>Flagged</v>
      </c>
      <c r="AN488" s="81" t="s">
        <v>1099</v>
      </c>
      <c r="AO488" s="81"/>
      <c r="AP488" s="81" t="s">
        <v>1099</v>
      </c>
      <c r="AQ488" s="81" t="s">
        <v>1107</v>
      </c>
    </row>
    <row r="489" spans="1:43" ht="15.95" hidden="1" customHeight="1" x14ac:dyDescent="0.2">
      <c r="A489" s="62" t="s">
        <v>926</v>
      </c>
      <c r="B489" s="63" t="s">
        <v>252</v>
      </c>
      <c r="C489" s="64" t="s">
        <v>253</v>
      </c>
      <c r="D489" s="63" t="s">
        <v>258</v>
      </c>
      <c r="E489" s="64" t="s">
        <v>259</v>
      </c>
      <c r="F489" s="65">
        <v>215869</v>
      </c>
      <c r="G489" s="66" t="s">
        <v>437</v>
      </c>
      <c r="H489" s="67">
        <v>0</v>
      </c>
      <c r="I489" s="68">
        <v>3</v>
      </c>
      <c r="J489" s="68">
        <v>3</v>
      </c>
      <c r="K489" s="91">
        <v>0</v>
      </c>
      <c r="L489" s="91">
        <v>0</v>
      </c>
      <c r="M489" s="91">
        <v>0</v>
      </c>
      <c r="N489" s="91">
        <v>0</v>
      </c>
      <c r="O489" s="91">
        <v>0</v>
      </c>
      <c r="P489" s="91">
        <v>0</v>
      </c>
      <c r="Q489" s="85">
        <v>0</v>
      </c>
      <c r="R489" s="68" t="s">
        <v>1107</v>
      </c>
      <c r="S489" s="86">
        <v>0</v>
      </c>
      <c r="T489" s="68">
        <v>0</v>
      </c>
      <c r="U489" s="68">
        <v>0</v>
      </c>
      <c r="V489" s="68">
        <v>0</v>
      </c>
      <c r="W489" s="68">
        <v>0</v>
      </c>
      <c r="X489" s="68">
        <v>0</v>
      </c>
      <c r="Y489" s="68">
        <v>0</v>
      </c>
      <c r="Z489" s="68">
        <v>0</v>
      </c>
      <c r="AA489" s="68">
        <v>0</v>
      </c>
      <c r="AB489" s="69">
        <v>0</v>
      </c>
      <c r="AC489" s="69">
        <v>0</v>
      </c>
      <c r="AD489" s="70">
        <f>IFERROR(tblTarget[[#This Row],[Cluster Target]]/tblTarget[[#This Row],[Cluster PiN]],0)</f>
        <v>0</v>
      </c>
      <c r="AE489" s="79">
        <f>_xlfn.XLOOKUP(tblTarget[[#This Row],[ID]],tblResponse[ID],tblResponse[2024 Projected reached (Dec 2024)])</f>
        <v>0</v>
      </c>
      <c r="AF489" s="79">
        <f>_xlfn.XLOOKUP(tblTarget[[#This Row],[ID]],tblResponse[ID],tblResponse[2024 Intercluster reached -August RPM])</f>
        <v>682.21437886255774</v>
      </c>
      <c r="AG489" s="79">
        <v>4</v>
      </c>
      <c r="AH489" s="79"/>
      <c r="AI489" s="79"/>
      <c r="AJ489" s="70" t="str">
        <f>IF(tblTarget[[#This Row],[Target to PiN (%)]]&gt;Targ_vs_PiN,"Flagged","")</f>
        <v/>
      </c>
      <c r="AK489" s="69" t="str">
        <f>IF(AND(tblTarget[[#This Row],[Qualifies for exception]]="Flagged",tblTarget[[#This Row],[Target to PiN (%)]]&gt;Targ_severity5),"Flagged","")</f>
        <v/>
      </c>
      <c r="AL489" s="68" t="str">
        <f>IFERROR(IF(AND(tblTarget[[#This Row],[Intercluser Severity]]=4,tblTarget[[#This Row],[Qualifies for exception]]="Flagged",(tblTarget[[#This Row],[Cluster Target]]-tblTarget[[#This Row],[2024 Response capacity up to December]])/tblTarget[[#This Row],[Cluster Target]]&gt;Diff_severity4),"Flagged",""),"No target")</f>
        <v>No target</v>
      </c>
      <c r="AM489" s="68" t="str">
        <f>IFERROR(IF(AND(tblTarget[[#This Row],[Intercluser Severity]]=3,tblTarget[[#This Row],[Qualifies for exception]]="Flagged",(tblTarget[[#This Row],[Cluster Target]]-tblTarget[[#This Row],[2024 Response capacity up to December]])/tblTarget[[#This Row],[Cluster Target]]&gt;Diff_severity3),"Flagged",""),"No target")</f>
        <v>No target</v>
      </c>
      <c r="AN489" s="81" t="s">
        <v>1099</v>
      </c>
      <c r="AO489" s="81"/>
      <c r="AP489" s="81" t="s">
        <v>1099</v>
      </c>
      <c r="AQ489" s="81" t="s">
        <v>1107</v>
      </c>
    </row>
    <row r="490" spans="1:43" ht="15.95" hidden="1" customHeight="1" x14ac:dyDescent="0.2">
      <c r="A490" s="62" t="s">
        <v>927</v>
      </c>
      <c r="B490" s="63" t="s">
        <v>252</v>
      </c>
      <c r="C490" s="64" t="s">
        <v>253</v>
      </c>
      <c r="D490" s="63" t="s">
        <v>260</v>
      </c>
      <c r="E490" s="64" t="s">
        <v>261</v>
      </c>
      <c r="F490" s="65">
        <v>32794</v>
      </c>
      <c r="G490" s="66" t="s">
        <v>437</v>
      </c>
      <c r="H490" s="67">
        <v>231</v>
      </c>
      <c r="I490" s="68">
        <v>3</v>
      </c>
      <c r="J490" s="68">
        <v>3</v>
      </c>
      <c r="K490" s="91">
        <v>0</v>
      </c>
      <c r="L490" s="91">
        <v>0</v>
      </c>
      <c r="M490" s="91">
        <v>0</v>
      </c>
      <c r="N490" s="91">
        <v>0</v>
      </c>
      <c r="O490" s="91">
        <v>0</v>
      </c>
      <c r="P490" s="91">
        <v>0</v>
      </c>
      <c r="Q490" s="85">
        <v>0</v>
      </c>
      <c r="R490" s="68" t="s">
        <v>1107</v>
      </c>
      <c r="S490" s="86">
        <v>0</v>
      </c>
      <c r="T490" s="68">
        <v>0</v>
      </c>
      <c r="U490" s="68">
        <v>0</v>
      </c>
      <c r="V490" s="68">
        <v>0</v>
      </c>
      <c r="W490" s="68">
        <v>0</v>
      </c>
      <c r="X490" s="68">
        <v>0</v>
      </c>
      <c r="Y490" s="68">
        <v>0</v>
      </c>
      <c r="Z490" s="68">
        <v>0</v>
      </c>
      <c r="AA490" s="68">
        <v>0</v>
      </c>
      <c r="AB490" s="69">
        <v>0</v>
      </c>
      <c r="AC490" s="69">
        <v>0</v>
      </c>
      <c r="AD490" s="70">
        <f>IFERROR(tblTarget[[#This Row],[Cluster Target]]/tblTarget[[#This Row],[Cluster PiN]],0)</f>
        <v>0</v>
      </c>
      <c r="AE490" s="79">
        <f>_xlfn.XLOOKUP(tblTarget[[#This Row],[ID]],tblResponse[ID],tblResponse[2024 Projected reached (Dec 2024)])</f>
        <v>0</v>
      </c>
      <c r="AF490" s="79">
        <f>_xlfn.XLOOKUP(tblTarget[[#This Row],[ID]],tblResponse[ID],tblResponse[2024 Intercluster reached -August RPM])</f>
        <v>47.053887226370172</v>
      </c>
      <c r="AG490" s="79">
        <v>1</v>
      </c>
      <c r="AH490" s="79"/>
      <c r="AI490" s="79"/>
      <c r="AJ490" s="70" t="str">
        <f>IF(tblTarget[[#This Row],[Target to PiN (%)]]&gt;Targ_vs_PiN,"Flagged","")</f>
        <v/>
      </c>
      <c r="AK490" s="69" t="str">
        <f>IF(AND(tblTarget[[#This Row],[Qualifies for exception]]="Flagged",tblTarget[[#This Row],[Target to PiN (%)]]&gt;Targ_severity5),"Flagged","")</f>
        <v/>
      </c>
      <c r="AL490" s="68" t="str">
        <f>IFERROR(IF(AND(tblTarget[[#This Row],[Intercluser Severity]]=4,tblTarget[[#This Row],[Qualifies for exception]]="Flagged",(tblTarget[[#This Row],[Cluster Target]]-tblTarget[[#This Row],[2024 Response capacity up to December]])/tblTarget[[#This Row],[Cluster Target]]&gt;Diff_severity4),"Flagged",""),"No target")</f>
        <v>No target</v>
      </c>
      <c r="AM490" s="68" t="str">
        <f>IFERROR(IF(AND(tblTarget[[#This Row],[Intercluser Severity]]=3,tblTarget[[#This Row],[Qualifies for exception]]="Flagged",(tblTarget[[#This Row],[Cluster Target]]-tblTarget[[#This Row],[2024 Response capacity up to December]])/tblTarget[[#This Row],[Cluster Target]]&gt;Diff_severity3),"Flagged",""),"No target")</f>
        <v>No target</v>
      </c>
      <c r="AN490" s="81" t="s">
        <v>1099</v>
      </c>
      <c r="AO490" s="81"/>
      <c r="AP490" s="81" t="s">
        <v>1099</v>
      </c>
      <c r="AQ490" s="81" t="s">
        <v>1107</v>
      </c>
    </row>
    <row r="491" spans="1:43" ht="15.95" hidden="1" customHeight="1" x14ac:dyDescent="0.2">
      <c r="A491" s="62" t="s">
        <v>928</v>
      </c>
      <c r="B491" s="63" t="s">
        <v>252</v>
      </c>
      <c r="C491" s="64" t="s">
        <v>253</v>
      </c>
      <c r="D491" s="63" t="s">
        <v>262</v>
      </c>
      <c r="E491" s="64" t="s">
        <v>263</v>
      </c>
      <c r="F491" s="65">
        <v>128554</v>
      </c>
      <c r="G491" s="66" t="s">
        <v>437</v>
      </c>
      <c r="H491" s="67">
        <v>31882</v>
      </c>
      <c r="I491" s="68">
        <v>4</v>
      </c>
      <c r="J491" s="68">
        <v>3</v>
      </c>
      <c r="K491" s="91">
        <v>25.919999999999998</v>
      </c>
      <c r="L491" s="91">
        <v>11.754584259051393</v>
      </c>
      <c r="M491" s="91">
        <v>14.165415740948605</v>
      </c>
      <c r="N491" s="91">
        <v>12.959999999999999</v>
      </c>
      <c r="O491" s="91">
        <v>11.4048</v>
      </c>
      <c r="P491" s="91">
        <v>1.5551999999999999</v>
      </c>
      <c r="Q491" s="85">
        <v>3.8879999999999995</v>
      </c>
      <c r="R491" s="68" t="s">
        <v>1107</v>
      </c>
      <c r="S491" s="86">
        <v>4</v>
      </c>
      <c r="T491" s="68">
        <v>1</v>
      </c>
      <c r="U491" s="68">
        <v>0</v>
      </c>
      <c r="V491" s="68">
        <v>0</v>
      </c>
      <c r="W491" s="68">
        <v>0</v>
      </c>
      <c r="X491" s="68">
        <v>1</v>
      </c>
      <c r="Y491" s="68">
        <v>2</v>
      </c>
      <c r="Z491" s="68">
        <v>0</v>
      </c>
      <c r="AA491" s="68">
        <v>0</v>
      </c>
      <c r="AB491" s="69">
        <v>0</v>
      </c>
      <c r="AC491" s="69">
        <v>0</v>
      </c>
      <c r="AD491" s="70">
        <f>IFERROR(tblTarget[[#This Row],[Cluster Target]]/tblTarget[[#This Row],[Cluster PiN]],0)</f>
        <v>8.1299792986638223E-4</v>
      </c>
      <c r="AE491" s="79">
        <f>_xlfn.XLOOKUP(tblTarget[[#This Row],[ID]],tblResponse[ID],tblResponse[2024 Projected reached (Dec 2024)])</f>
        <v>0</v>
      </c>
      <c r="AF491" s="79">
        <f>_xlfn.XLOOKUP(tblTarget[[#This Row],[ID]],tblResponse[ID],tblResponse[2024 Intercluster reached -August RPM])</f>
        <v>135.57950169496348</v>
      </c>
      <c r="AG491" s="79">
        <v>1</v>
      </c>
      <c r="AH491" s="79"/>
      <c r="AI491" s="79"/>
      <c r="AJ491" s="70" t="str">
        <f>IF(tblTarget[[#This Row],[Target to PiN (%)]]&gt;Targ_vs_PiN,"Flagged","")</f>
        <v/>
      </c>
      <c r="AK491" s="69" t="str">
        <f>IF(AND(tblTarget[[#This Row],[Qualifies for exception]]="Flagged",tblTarget[[#This Row],[Target to PiN (%)]]&gt;Targ_severity5),"Flagged","")</f>
        <v/>
      </c>
      <c r="AL491" s="68" t="str">
        <f>IFERROR(IF(AND(tblTarget[[#This Row],[Intercluser Severity]]=4,tblTarget[[#This Row],[Qualifies for exception]]="Flagged",(tblTarget[[#This Row],[Cluster Target]]-tblTarget[[#This Row],[2024 Response capacity up to December]])/tblTarget[[#This Row],[Cluster Target]]&gt;Diff_severity4),"Flagged",""),"No target")</f>
        <v/>
      </c>
      <c r="AM491" s="68" t="str">
        <f>IFERROR(IF(AND(tblTarget[[#This Row],[Intercluser Severity]]=3,tblTarget[[#This Row],[Qualifies for exception]]="Flagged",(tblTarget[[#This Row],[Cluster Target]]-tblTarget[[#This Row],[2024 Response capacity up to December]])/tblTarget[[#This Row],[Cluster Target]]&gt;Diff_severity3),"Flagged",""),"No target")</f>
        <v>Flagged</v>
      </c>
      <c r="AN491" s="81" t="s">
        <v>1099</v>
      </c>
      <c r="AO491" s="81"/>
      <c r="AP491" s="81" t="s">
        <v>1099</v>
      </c>
      <c r="AQ491" s="81" t="s">
        <v>1107</v>
      </c>
    </row>
    <row r="492" spans="1:43" ht="15.95" hidden="1" customHeight="1" x14ac:dyDescent="0.2">
      <c r="A492" s="62" t="s">
        <v>929</v>
      </c>
      <c r="B492" s="63" t="s">
        <v>252</v>
      </c>
      <c r="C492" s="64" t="s">
        <v>253</v>
      </c>
      <c r="D492" s="63" t="s">
        <v>264</v>
      </c>
      <c r="E492" s="64" t="s">
        <v>265</v>
      </c>
      <c r="F492" s="65">
        <v>99558</v>
      </c>
      <c r="G492" s="66" t="s">
        <v>437</v>
      </c>
      <c r="H492" s="67">
        <v>1511</v>
      </c>
      <c r="I492" s="68">
        <v>3</v>
      </c>
      <c r="J492" s="68">
        <v>3</v>
      </c>
      <c r="K492" s="91">
        <v>171.9</v>
      </c>
      <c r="L492" s="91">
        <v>81.681795975642501</v>
      </c>
      <c r="M492" s="91">
        <v>90.218204024357505</v>
      </c>
      <c r="N492" s="91">
        <v>85.95</v>
      </c>
      <c r="O492" s="91">
        <v>75.63600000000001</v>
      </c>
      <c r="P492" s="91">
        <v>10.314</v>
      </c>
      <c r="Q492" s="85">
        <v>25.785</v>
      </c>
      <c r="R492" s="68" t="s">
        <v>1107</v>
      </c>
      <c r="S492" s="86">
        <v>25</v>
      </c>
      <c r="T492" s="68">
        <v>6</v>
      </c>
      <c r="U492" s="68">
        <v>0</v>
      </c>
      <c r="V492" s="68">
        <v>0</v>
      </c>
      <c r="W492" s="68">
        <v>2</v>
      </c>
      <c r="X492" s="68">
        <v>3</v>
      </c>
      <c r="Y492" s="68">
        <v>12</v>
      </c>
      <c r="Z492" s="68">
        <v>0</v>
      </c>
      <c r="AA492" s="68">
        <v>0</v>
      </c>
      <c r="AB492" s="69">
        <v>0</v>
      </c>
      <c r="AC492" s="69">
        <v>0</v>
      </c>
      <c r="AD492" s="70">
        <f>IFERROR(tblTarget[[#This Row],[Cluster Target]]/tblTarget[[#This Row],[Cluster PiN]],0)</f>
        <v>0.11376571806750496</v>
      </c>
      <c r="AE492" s="79">
        <f>_xlfn.XLOOKUP(tblTarget[[#This Row],[ID]],tblResponse[ID],tblResponse[2024 Projected reached (Dec 2024)])</f>
        <v>0</v>
      </c>
      <c r="AF492" s="79">
        <f>_xlfn.XLOOKUP(tblTarget[[#This Row],[ID]],tblResponse[ID],tblResponse[2024 Intercluster reached -August RPM])</f>
        <v>304.07141865645792</v>
      </c>
      <c r="AG492" s="79">
        <v>2</v>
      </c>
      <c r="AH492" s="79"/>
      <c r="AI492" s="79"/>
      <c r="AJ492" s="70" t="str">
        <f>IF(tblTarget[[#This Row],[Target to PiN (%)]]&gt;Targ_vs_PiN,"Flagged","")</f>
        <v/>
      </c>
      <c r="AK492" s="69" t="str">
        <f>IF(AND(tblTarget[[#This Row],[Qualifies for exception]]="Flagged",tblTarget[[#This Row],[Target to PiN (%)]]&gt;Targ_severity5),"Flagged","")</f>
        <v/>
      </c>
      <c r="AL492" s="68" t="str">
        <f>IFERROR(IF(AND(tblTarget[[#This Row],[Intercluser Severity]]=4,tblTarget[[#This Row],[Qualifies for exception]]="Flagged",(tblTarget[[#This Row],[Cluster Target]]-tblTarget[[#This Row],[2024 Response capacity up to December]])/tblTarget[[#This Row],[Cluster Target]]&gt;Diff_severity4),"Flagged",""),"No target")</f>
        <v/>
      </c>
      <c r="AM492" s="68" t="str">
        <f>IFERROR(IF(AND(tblTarget[[#This Row],[Intercluser Severity]]=3,tblTarget[[#This Row],[Qualifies for exception]]="Flagged",(tblTarget[[#This Row],[Cluster Target]]-tblTarget[[#This Row],[2024 Response capacity up to December]])/tblTarget[[#This Row],[Cluster Target]]&gt;Diff_severity3),"Flagged",""),"No target")</f>
        <v>Flagged</v>
      </c>
      <c r="AN492" s="81" t="s">
        <v>1099</v>
      </c>
      <c r="AO492" s="81"/>
      <c r="AP492" s="81" t="s">
        <v>1099</v>
      </c>
      <c r="AQ492" s="81" t="s">
        <v>1107</v>
      </c>
    </row>
    <row r="493" spans="1:43" ht="15.95" hidden="1" customHeight="1" x14ac:dyDescent="0.2">
      <c r="A493" s="62" t="s">
        <v>930</v>
      </c>
      <c r="B493" s="63" t="s">
        <v>252</v>
      </c>
      <c r="C493" s="64" t="s">
        <v>253</v>
      </c>
      <c r="D493" s="63" t="s">
        <v>266</v>
      </c>
      <c r="E493" s="64" t="s">
        <v>267</v>
      </c>
      <c r="F493" s="65">
        <v>152066</v>
      </c>
      <c r="G493" s="66" t="s">
        <v>437</v>
      </c>
      <c r="H493" s="67">
        <v>5167</v>
      </c>
      <c r="I493" s="68">
        <v>3</v>
      </c>
      <c r="J493" s="68">
        <v>3</v>
      </c>
      <c r="K493" s="91">
        <v>22.86</v>
      </c>
      <c r="L493" s="91">
        <v>10.578327674580182</v>
      </c>
      <c r="M493" s="91">
        <v>12.281672325419818</v>
      </c>
      <c r="N493" s="91">
        <v>11.43</v>
      </c>
      <c r="O493" s="91">
        <v>10.058400000000001</v>
      </c>
      <c r="P493" s="91">
        <v>1.3715999999999999</v>
      </c>
      <c r="Q493" s="85">
        <v>3.4289999999999998</v>
      </c>
      <c r="R493" s="68" t="s">
        <v>1107</v>
      </c>
      <c r="S493" s="86">
        <v>3</v>
      </c>
      <c r="T493" s="68">
        <v>1</v>
      </c>
      <c r="U493" s="68">
        <v>0</v>
      </c>
      <c r="V493" s="68">
        <v>0</v>
      </c>
      <c r="W493" s="68">
        <v>0</v>
      </c>
      <c r="X493" s="68">
        <v>0</v>
      </c>
      <c r="Y493" s="68">
        <v>2</v>
      </c>
      <c r="Z493" s="68">
        <v>0</v>
      </c>
      <c r="AA493" s="68">
        <v>0</v>
      </c>
      <c r="AB493" s="69">
        <v>0</v>
      </c>
      <c r="AC493" s="69">
        <v>0</v>
      </c>
      <c r="AD493" s="70">
        <f>IFERROR(tblTarget[[#This Row],[Cluster Target]]/tblTarget[[#This Row],[Cluster PiN]],0)</f>
        <v>4.4242306947938842E-3</v>
      </c>
      <c r="AE493" s="79">
        <f>_xlfn.XLOOKUP(tblTarget[[#This Row],[ID]],tblResponse[ID],tblResponse[2024 Projected reached (Dec 2024)])</f>
        <v>0</v>
      </c>
      <c r="AF493" s="79">
        <f>_xlfn.XLOOKUP(tblTarget[[#This Row],[ID]],tblResponse[ID],tblResponse[2024 Intercluster reached -August RPM])</f>
        <v>1170.2142475566714</v>
      </c>
      <c r="AG493" s="79">
        <v>4</v>
      </c>
      <c r="AH493" s="79"/>
      <c r="AI493" s="79"/>
      <c r="AJ493" s="70" t="str">
        <f>IF(tblTarget[[#This Row],[Target to PiN (%)]]&gt;Targ_vs_PiN,"Flagged","")</f>
        <v/>
      </c>
      <c r="AK493" s="69" t="str">
        <f>IF(AND(tblTarget[[#This Row],[Qualifies for exception]]="Flagged",tblTarget[[#This Row],[Target to PiN (%)]]&gt;Targ_severity5),"Flagged","")</f>
        <v/>
      </c>
      <c r="AL493" s="68" t="str">
        <f>IFERROR(IF(AND(tblTarget[[#This Row],[Intercluser Severity]]=4,tblTarget[[#This Row],[Qualifies for exception]]="Flagged",(tblTarget[[#This Row],[Cluster Target]]-tblTarget[[#This Row],[2024 Response capacity up to December]])/tblTarget[[#This Row],[Cluster Target]]&gt;Diff_severity4),"Flagged",""),"No target")</f>
        <v/>
      </c>
      <c r="AM493" s="68" t="str">
        <f>IFERROR(IF(AND(tblTarget[[#This Row],[Intercluser Severity]]=3,tblTarget[[#This Row],[Qualifies for exception]]="Flagged",(tblTarget[[#This Row],[Cluster Target]]-tblTarget[[#This Row],[2024 Response capacity up to December]])/tblTarget[[#This Row],[Cluster Target]]&gt;Diff_severity3),"Flagged",""),"No target")</f>
        <v>Flagged</v>
      </c>
      <c r="AN493" s="81" t="s">
        <v>1099</v>
      </c>
      <c r="AO493" s="81"/>
      <c r="AP493" s="81" t="s">
        <v>1099</v>
      </c>
      <c r="AQ493" s="81" t="s">
        <v>1107</v>
      </c>
    </row>
    <row r="494" spans="1:43" ht="15.95" hidden="1" customHeight="1" x14ac:dyDescent="0.2">
      <c r="A494" s="62" t="s">
        <v>931</v>
      </c>
      <c r="B494" s="63" t="s">
        <v>252</v>
      </c>
      <c r="C494" s="64" t="s">
        <v>253</v>
      </c>
      <c r="D494" s="63" t="s">
        <v>268</v>
      </c>
      <c r="E494" s="64" t="s">
        <v>269</v>
      </c>
      <c r="F494" s="65">
        <v>351047</v>
      </c>
      <c r="G494" s="66" t="s">
        <v>437</v>
      </c>
      <c r="H494" s="67">
        <v>26640</v>
      </c>
      <c r="I494" s="68">
        <v>3</v>
      </c>
      <c r="J494" s="68">
        <v>3</v>
      </c>
      <c r="K494" s="91">
        <v>0</v>
      </c>
      <c r="L494" s="91">
        <v>0</v>
      </c>
      <c r="M494" s="91">
        <v>0</v>
      </c>
      <c r="N494" s="91">
        <v>0</v>
      </c>
      <c r="O494" s="91">
        <v>0</v>
      </c>
      <c r="P494" s="91">
        <v>0</v>
      </c>
      <c r="Q494" s="85">
        <v>0</v>
      </c>
      <c r="R494" s="68" t="s">
        <v>1107</v>
      </c>
      <c r="S494" s="86">
        <v>0</v>
      </c>
      <c r="T494" s="68">
        <v>0</v>
      </c>
      <c r="U494" s="68">
        <v>0</v>
      </c>
      <c r="V494" s="68">
        <v>0</v>
      </c>
      <c r="W494" s="68">
        <v>0</v>
      </c>
      <c r="X494" s="68">
        <v>0</v>
      </c>
      <c r="Y494" s="68">
        <v>0</v>
      </c>
      <c r="Z494" s="68">
        <v>0</v>
      </c>
      <c r="AA494" s="68">
        <v>0</v>
      </c>
      <c r="AB494" s="69">
        <v>0</v>
      </c>
      <c r="AC494" s="69">
        <v>0</v>
      </c>
      <c r="AD494" s="70">
        <f>IFERROR(tblTarget[[#This Row],[Cluster Target]]/tblTarget[[#This Row],[Cluster PiN]],0)</f>
        <v>0</v>
      </c>
      <c r="AE494" s="79">
        <f>_xlfn.XLOOKUP(tblTarget[[#This Row],[ID]],tblResponse[ID],tblResponse[2024 Projected reached (Dec 2024)])</f>
        <v>0</v>
      </c>
      <c r="AF494" s="79">
        <f>_xlfn.XLOOKUP(tblTarget[[#This Row],[ID]],tblResponse[ID],tblResponse[2024 Intercluster reached -August RPM])</f>
        <v>590.81581272212338</v>
      </c>
      <c r="AG494" s="79">
        <v>1</v>
      </c>
      <c r="AH494" s="79"/>
      <c r="AI494" s="79"/>
      <c r="AJ494" s="70" t="str">
        <f>IF(tblTarget[[#This Row],[Target to PiN (%)]]&gt;Targ_vs_PiN,"Flagged","")</f>
        <v/>
      </c>
      <c r="AK494" s="69" t="str">
        <f>IF(AND(tblTarget[[#This Row],[Qualifies for exception]]="Flagged",tblTarget[[#This Row],[Target to PiN (%)]]&gt;Targ_severity5),"Flagged","")</f>
        <v/>
      </c>
      <c r="AL494" s="68" t="str">
        <f>IFERROR(IF(AND(tblTarget[[#This Row],[Intercluser Severity]]=4,tblTarget[[#This Row],[Qualifies for exception]]="Flagged",(tblTarget[[#This Row],[Cluster Target]]-tblTarget[[#This Row],[2024 Response capacity up to December]])/tblTarget[[#This Row],[Cluster Target]]&gt;Diff_severity4),"Flagged",""),"No target")</f>
        <v>No target</v>
      </c>
      <c r="AM494" s="68" t="str">
        <f>IFERROR(IF(AND(tblTarget[[#This Row],[Intercluser Severity]]=3,tblTarget[[#This Row],[Qualifies for exception]]="Flagged",(tblTarget[[#This Row],[Cluster Target]]-tblTarget[[#This Row],[2024 Response capacity up to December]])/tblTarget[[#This Row],[Cluster Target]]&gt;Diff_severity3),"Flagged",""),"No target")</f>
        <v>No target</v>
      </c>
      <c r="AN494" s="81" t="s">
        <v>1099</v>
      </c>
      <c r="AO494" s="81"/>
      <c r="AP494" s="81" t="s">
        <v>1099</v>
      </c>
      <c r="AQ494" s="81" t="s">
        <v>1107</v>
      </c>
    </row>
    <row r="495" spans="1:43" ht="15.95" hidden="1" customHeight="1" x14ac:dyDescent="0.2">
      <c r="A495" s="62" t="s">
        <v>932</v>
      </c>
      <c r="B495" s="63" t="s">
        <v>252</v>
      </c>
      <c r="C495" s="64" t="s">
        <v>253</v>
      </c>
      <c r="D495" s="63" t="s">
        <v>270</v>
      </c>
      <c r="E495" s="64" t="s">
        <v>271</v>
      </c>
      <c r="F495" s="65">
        <v>221441</v>
      </c>
      <c r="G495" s="66" t="s">
        <v>437</v>
      </c>
      <c r="H495" s="67">
        <v>0</v>
      </c>
      <c r="I495" s="68">
        <v>3</v>
      </c>
      <c r="J495" s="68">
        <v>3</v>
      </c>
      <c r="K495" s="91">
        <v>0</v>
      </c>
      <c r="L495" s="91">
        <v>0</v>
      </c>
      <c r="M495" s="91">
        <v>0</v>
      </c>
      <c r="N495" s="91">
        <v>0</v>
      </c>
      <c r="O495" s="91">
        <v>0</v>
      </c>
      <c r="P495" s="91">
        <v>0</v>
      </c>
      <c r="Q495" s="85">
        <v>0</v>
      </c>
      <c r="R495" s="68" t="s">
        <v>1107</v>
      </c>
      <c r="S495" s="86">
        <v>0</v>
      </c>
      <c r="T495" s="68">
        <v>0</v>
      </c>
      <c r="U495" s="68">
        <v>0</v>
      </c>
      <c r="V495" s="68">
        <v>0</v>
      </c>
      <c r="W495" s="68">
        <v>0</v>
      </c>
      <c r="X495" s="68">
        <v>0</v>
      </c>
      <c r="Y495" s="68">
        <v>0</v>
      </c>
      <c r="Z495" s="68">
        <v>0</v>
      </c>
      <c r="AA495" s="68">
        <v>0</v>
      </c>
      <c r="AB495" s="69">
        <v>0</v>
      </c>
      <c r="AC495" s="69">
        <v>0</v>
      </c>
      <c r="AD495" s="70">
        <f>IFERROR(tblTarget[[#This Row],[Cluster Target]]/tblTarget[[#This Row],[Cluster PiN]],0)</f>
        <v>0</v>
      </c>
      <c r="AE495" s="79">
        <f>_xlfn.XLOOKUP(tblTarget[[#This Row],[ID]],tblResponse[ID],tblResponse[2024 Projected reached (Dec 2024)])</f>
        <v>0</v>
      </c>
      <c r="AF495" s="79">
        <f>_xlfn.XLOOKUP(tblTarget[[#This Row],[ID]],tblResponse[ID],tblResponse[2024 Intercluster reached -August RPM])</f>
        <v>475.43628728979343</v>
      </c>
      <c r="AG495" s="79">
        <v>2</v>
      </c>
      <c r="AH495" s="79"/>
      <c r="AI495" s="79"/>
      <c r="AJ495" s="70" t="str">
        <f>IF(tblTarget[[#This Row],[Target to PiN (%)]]&gt;Targ_vs_PiN,"Flagged","")</f>
        <v/>
      </c>
      <c r="AK495" s="69" t="str">
        <f>IF(AND(tblTarget[[#This Row],[Qualifies for exception]]="Flagged",tblTarget[[#This Row],[Target to PiN (%)]]&gt;Targ_severity5),"Flagged","")</f>
        <v/>
      </c>
      <c r="AL495" s="68" t="str">
        <f>IFERROR(IF(AND(tblTarget[[#This Row],[Intercluser Severity]]=4,tblTarget[[#This Row],[Qualifies for exception]]="Flagged",(tblTarget[[#This Row],[Cluster Target]]-tblTarget[[#This Row],[2024 Response capacity up to December]])/tblTarget[[#This Row],[Cluster Target]]&gt;Diff_severity4),"Flagged",""),"No target")</f>
        <v>No target</v>
      </c>
      <c r="AM495" s="68" t="str">
        <f>IFERROR(IF(AND(tblTarget[[#This Row],[Intercluser Severity]]=3,tblTarget[[#This Row],[Qualifies for exception]]="Flagged",(tblTarget[[#This Row],[Cluster Target]]-tblTarget[[#This Row],[2024 Response capacity up to December]])/tblTarget[[#This Row],[Cluster Target]]&gt;Diff_severity3),"Flagged",""),"No target")</f>
        <v>No target</v>
      </c>
      <c r="AN495" s="81" t="s">
        <v>1099</v>
      </c>
      <c r="AO495" s="81"/>
      <c r="AP495" s="81" t="s">
        <v>1099</v>
      </c>
      <c r="AQ495" s="81" t="s">
        <v>1107</v>
      </c>
    </row>
    <row r="496" spans="1:43" ht="15.95" hidden="1" customHeight="1" x14ac:dyDescent="0.2">
      <c r="A496" s="62" t="s">
        <v>933</v>
      </c>
      <c r="B496" s="63" t="s">
        <v>252</v>
      </c>
      <c r="C496" s="64" t="s">
        <v>253</v>
      </c>
      <c r="D496" s="63" t="s">
        <v>272</v>
      </c>
      <c r="E496" s="64" t="s">
        <v>273</v>
      </c>
      <c r="F496" s="65">
        <v>102649</v>
      </c>
      <c r="G496" s="66" t="s">
        <v>437</v>
      </c>
      <c r="H496" s="67">
        <v>21757</v>
      </c>
      <c r="I496" s="68">
        <v>4</v>
      </c>
      <c r="J496" s="68">
        <v>4</v>
      </c>
      <c r="K496" s="91">
        <v>4.1399999999999997</v>
      </c>
      <c r="L496" s="91">
        <v>1.9825244732199971</v>
      </c>
      <c r="M496" s="91">
        <v>2.1574755267800025</v>
      </c>
      <c r="N496" s="91">
        <v>2.0699999999999998</v>
      </c>
      <c r="O496" s="91">
        <v>1.8215999999999999</v>
      </c>
      <c r="P496" s="91">
        <v>0.24839999999999998</v>
      </c>
      <c r="Q496" s="85">
        <v>0.62099999999999989</v>
      </c>
      <c r="R496" s="68" t="s">
        <v>1107</v>
      </c>
      <c r="S496" s="86">
        <v>1</v>
      </c>
      <c r="T496" s="68">
        <v>0</v>
      </c>
      <c r="U496" s="68">
        <v>0</v>
      </c>
      <c r="V496" s="68">
        <v>0</v>
      </c>
      <c r="W496" s="68">
        <v>0</v>
      </c>
      <c r="X496" s="68">
        <v>0</v>
      </c>
      <c r="Y496" s="68">
        <v>0</v>
      </c>
      <c r="Z496" s="68">
        <v>0</v>
      </c>
      <c r="AA496" s="68">
        <v>0</v>
      </c>
      <c r="AB496" s="69">
        <v>0</v>
      </c>
      <c r="AC496" s="69">
        <v>0</v>
      </c>
      <c r="AD496" s="70">
        <f>IFERROR(tblTarget[[#This Row],[Cluster Target]]/tblTarget[[#This Row],[Cluster PiN]],0)</f>
        <v>1.902835868915751E-4</v>
      </c>
      <c r="AE496" s="79">
        <f>_xlfn.XLOOKUP(tblTarget[[#This Row],[ID]],tblResponse[ID],tblResponse[2024 Projected reached (Dec 2024)])</f>
        <v>0</v>
      </c>
      <c r="AF496" s="79">
        <f>_xlfn.XLOOKUP(tblTarget[[#This Row],[ID]],tblResponse[ID],tblResponse[2024 Intercluster reached -August RPM])</f>
        <v>544.93790053241355</v>
      </c>
      <c r="AG496" s="79">
        <v>1</v>
      </c>
      <c r="AH496" s="79"/>
      <c r="AI496" s="79"/>
      <c r="AJ496" s="70" t="str">
        <f>IF(tblTarget[[#This Row],[Target to PiN (%)]]&gt;Targ_vs_PiN,"Flagged","")</f>
        <v/>
      </c>
      <c r="AK496" s="69" t="str">
        <f>IF(AND(tblTarget[[#This Row],[Qualifies for exception]]="Flagged",tblTarget[[#This Row],[Target to PiN (%)]]&gt;Targ_severity5),"Flagged","")</f>
        <v/>
      </c>
      <c r="AL496" s="68" t="str">
        <f>IFERROR(IF(AND(tblTarget[[#This Row],[Intercluser Severity]]=4,tblTarget[[#This Row],[Qualifies for exception]]="Flagged",(tblTarget[[#This Row],[Cluster Target]]-tblTarget[[#This Row],[2024 Response capacity up to December]])/tblTarget[[#This Row],[Cluster Target]]&gt;Diff_severity4),"Flagged",""),"No target")</f>
        <v>Flagged</v>
      </c>
      <c r="AM496" s="68" t="str">
        <f>IFERROR(IF(AND(tblTarget[[#This Row],[Intercluser Severity]]=3,tblTarget[[#This Row],[Qualifies for exception]]="Flagged",(tblTarget[[#This Row],[Cluster Target]]-tblTarget[[#This Row],[2024 Response capacity up to December]])/tblTarget[[#This Row],[Cluster Target]]&gt;Diff_severity3),"Flagged",""),"No target")</f>
        <v/>
      </c>
      <c r="AN496" s="81" t="s">
        <v>1099</v>
      </c>
      <c r="AO496" s="81"/>
      <c r="AP496" s="81" t="s">
        <v>1099</v>
      </c>
      <c r="AQ496" s="81" t="s">
        <v>1107</v>
      </c>
    </row>
    <row r="497" spans="1:43" ht="15.95" hidden="1" customHeight="1" x14ac:dyDescent="0.2">
      <c r="A497" s="62" t="s">
        <v>934</v>
      </c>
      <c r="B497" s="63" t="s">
        <v>274</v>
      </c>
      <c r="C497" s="64" t="s">
        <v>275</v>
      </c>
      <c r="D497" s="63" t="s">
        <v>276</v>
      </c>
      <c r="E497" s="64" t="s">
        <v>277</v>
      </c>
      <c r="F497" s="65">
        <v>247045</v>
      </c>
      <c r="G497" s="66" t="s">
        <v>437</v>
      </c>
      <c r="H497" s="67">
        <v>16302</v>
      </c>
      <c r="I497" s="68">
        <v>3</v>
      </c>
      <c r="J497" s="68">
        <v>3</v>
      </c>
      <c r="K497" s="91">
        <v>1012.68</v>
      </c>
      <c r="L497" s="91">
        <v>528.12355076007054</v>
      </c>
      <c r="M497" s="91">
        <v>484.55644923992941</v>
      </c>
      <c r="N497" s="91">
        <v>506.34</v>
      </c>
      <c r="O497" s="91">
        <v>445.57919999999996</v>
      </c>
      <c r="P497" s="91">
        <v>60.760799999999996</v>
      </c>
      <c r="Q497" s="85">
        <v>151.90199999999999</v>
      </c>
      <c r="R497" s="68" t="s">
        <v>1107</v>
      </c>
      <c r="S497" s="86">
        <v>146</v>
      </c>
      <c r="T497" s="68">
        <v>36</v>
      </c>
      <c r="U497" s="68">
        <v>0</v>
      </c>
      <c r="V497" s="68">
        <v>0</v>
      </c>
      <c r="W497" s="68">
        <v>10</v>
      </c>
      <c r="X497" s="68">
        <v>20</v>
      </c>
      <c r="Y497" s="68">
        <v>71</v>
      </c>
      <c r="Z497" s="68">
        <v>0</v>
      </c>
      <c r="AA497" s="68">
        <v>0</v>
      </c>
      <c r="AB497" s="69">
        <v>0</v>
      </c>
      <c r="AC497" s="69">
        <v>0</v>
      </c>
      <c r="AD497" s="70">
        <f>IFERROR(tblTarget[[#This Row],[Cluster Target]]/tblTarget[[#This Row],[Cluster PiN]],0)</f>
        <v>6.2119985277880013E-2</v>
      </c>
      <c r="AE497" s="79">
        <f>_xlfn.XLOOKUP(tblTarget[[#This Row],[ID]],tblResponse[ID],tblResponse[2024 Projected reached (Dec 2024)])</f>
        <v>0</v>
      </c>
      <c r="AF497" s="79">
        <f>_xlfn.XLOOKUP(tblTarget[[#This Row],[ID]],tblResponse[ID],tblResponse[2024 Intercluster reached -August RPM])</f>
        <v>1455.7380093058034</v>
      </c>
      <c r="AG497" s="79">
        <v>3</v>
      </c>
      <c r="AH497" s="79"/>
      <c r="AI497" s="79"/>
      <c r="AJ497" s="70" t="str">
        <f>IF(tblTarget[[#This Row],[Target to PiN (%)]]&gt;Targ_vs_PiN,"Flagged","")</f>
        <v/>
      </c>
      <c r="AK497" s="69" t="str">
        <f>IF(AND(tblTarget[[#This Row],[Qualifies for exception]]="Flagged",tblTarget[[#This Row],[Target to PiN (%)]]&gt;Targ_severity5),"Flagged","")</f>
        <v/>
      </c>
      <c r="AL497" s="68" t="str">
        <f>IFERROR(IF(AND(tblTarget[[#This Row],[Intercluser Severity]]=4,tblTarget[[#This Row],[Qualifies for exception]]="Flagged",(tblTarget[[#This Row],[Cluster Target]]-tblTarget[[#This Row],[2024 Response capacity up to December]])/tblTarget[[#This Row],[Cluster Target]]&gt;Diff_severity4),"Flagged",""),"No target")</f>
        <v/>
      </c>
      <c r="AM497" s="68" t="str">
        <f>IFERROR(IF(AND(tblTarget[[#This Row],[Intercluser Severity]]=3,tblTarget[[#This Row],[Qualifies for exception]]="Flagged",(tblTarget[[#This Row],[Cluster Target]]-tblTarget[[#This Row],[2024 Response capacity up to December]])/tblTarget[[#This Row],[Cluster Target]]&gt;Diff_severity3),"Flagged",""),"No target")</f>
        <v>Flagged</v>
      </c>
      <c r="AN497" s="81" t="s">
        <v>1099</v>
      </c>
      <c r="AO497" s="81"/>
      <c r="AP497" s="81" t="s">
        <v>1099</v>
      </c>
      <c r="AQ497" s="81" t="s">
        <v>1107</v>
      </c>
    </row>
    <row r="498" spans="1:43" ht="15.95" hidden="1" customHeight="1" x14ac:dyDescent="0.2">
      <c r="A498" s="62" t="s">
        <v>935</v>
      </c>
      <c r="B498" s="63" t="s">
        <v>274</v>
      </c>
      <c r="C498" s="64" t="s">
        <v>275</v>
      </c>
      <c r="D498" s="63" t="s">
        <v>278</v>
      </c>
      <c r="E498" s="64" t="s">
        <v>279</v>
      </c>
      <c r="F498" s="65">
        <v>242374</v>
      </c>
      <c r="G498" s="66" t="s">
        <v>437</v>
      </c>
      <c r="H498" s="67">
        <v>22792</v>
      </c>
      <c r="I498" s="68">
        <v>3</v>
      </c>
      <c r="J498" s="68">
        <v>3</v>
      </c>
      <c r="K498" s="91">
        <v>5433.3</v>
      </c>
      <c r="L498" s="91">
        <v>2811.6427480981079</v>
      </c>
      <c r="M498" s="91">
        <v>2621.6572519018923</v>
      </c>
      <c r="N498" s="91">
        <v>2716.65</v>
      </c>
      <c r="O498" s="91">
        <v>2390.652</v>
      </c>
      <c r="P498" s="91">
        <v>325.99799999999999</v>
      </c>
      <c r="Q498" s="85">
        <v>814.995</v>
      </c>
      <c r="R498" s="68" t="s">
        <v>1107</v>
      </c>
      <c r="S498" s="86">
        <v>782</v>
      </c>
      <c r="T498" s="68">
        <v>196</v>
      </c>
      <c r="U498" s="68">
        <v>0</v>
      </c>
      <c r="V498" s="68">
        <v>0</v>
      </c>
      <c r="W498" s="68">
        <v>54</v>
      </c>
      <c r="X498" s="68">
        <v>109</v>
      </c>
      <c r="Y498" s="68">
        <v>380</v>
      </c>
      <c r="Z498" s="68">
        <v>0</v>
      </c>
      <c r="AA498" s="68">
        <v>26.880105831277419</v>
      </c>
      <c r="AB498" s="69">
        <v>0</v>
      </c>
      <c r="AC498" s="69">
        <v>0</v>
      </c>
      <c r="AD498" s="70">
        <f>IFERROR(tblTarget[[#This Row],[Cluster Target]]/tblTarget[[#This Row],[Cluster PiN]],0)</f>
        <v>0.23838627588627589</v>
      </c>
      <c r="AE498" s="79">
        <f>_xlfn.XLOOKUP(tblTarget[[#This Row],[ID]],tblResponse[ID],tblResponse[2024 Projected reached (Dec 2024)])</f>
        <v>0</v>
      </c>
      <c r="AF498" s="79">
        <f>_xlfn.XLOOKUP(tblTarget[[#This Row],[ID]],tblResponse[ID],tblResponse[2024 Intercluster reached -August RPM])</f>
        <v>1932.9159305106507</v>
      </c>
      <c r="AG498" s="79">
        <v>7</v>
      </c>
      <c r="AH498" s="79"/>
      <c r="AI498" s="79"/>
      <c r="AJ498" s="70" t="str">
        <f>IF(tblTarget[[#This Row],[Target to PiN (%)]]&gt;Targ_vs_PiN,"Flagged","")</f>
        <v/>
      </c>
      <c r="AK498" s="69" t="str">
        <f>IF(AND(tblTarget[[#This Row],[Qualifies for exception]]="Flagged",tblTarget[[#This Row],[Target to PiN (%)]]&gt;Targ_severity5),"Flagged","")</f>
        <v/>
      </c>
      <c r="AL498" s="68" t="str">
        <f>IFERROR(IF(AND(tblTarget[[#This Row],[Intercluser Severity]]=4,tblTarget[[#This Row],[Qualifies for exception]]="Flagged",(tblTarget[[#This Row],[Cluster Target]]-tblTarget[[#This Row],[2024 Response capacity up to December]])/tblTarget[[#This Row],[Cluster Target]]&gt;Diff_severity4),"Flagged",""),"No target")</f>
        <v/>
      </c>
      <c r="AM498" s="68" t="str">
        <f>IFERROR(IF(AND(tblTarget[[#This Row],[Intercluser Severity]]=3,tblTarget[[#This Row],[Qualifies for exception]]="Flagged",(tblTarget[[#This Row],[Cluster Target]]-tblTarget[[#This Row],[2024 Response capacity up to December]])/tblTarget[[#This Row],[Cluster Target]]&gt;Diff_severity3),"Flagged",""),"No target")</f>
        <v>Flagged</v>
      </c>
      <c r="AN498" s="81" t="s">
        <v>1099</v>
      </c>
      <c r="AO498" s="81"/>
      <c r="AP498" s="81" t="s">
        <v>1099</v>
      </c>
      <c r="AQ498" s="81" t="s">
        <v>1107</v>
      </c>
    </row>
    <row r="499" spans="1:43" ht="15.95" hidden="1" customHeight="1" x14ac:dyDescent="0.2">
      <c r="A499" s="62" t="s">
        <v>936</v>
      </c>
      <c r="B499" s="63" t="s">
        <v>274</v>
      </c>
      <c r="C499" s="64" t="s">
        <v>275</v>
      </c>
      <c r="D499" s="63" t="s">
        <v>280</v>
      </c>
      <c r="E499" s="64" t="s">
        <v>281</v>
      </c>
      <c r="F499" s="65">
        <v>117423</v>
      </c>
      <c r="G499" s="66" t="s">
        <v>437</v>
      </c>
      <c r="H499" s="67">
        <v>5259</v>
      </c>
      <c r="I499" s="68">
        <v>3</v>
      </c>
      <c r="J499" s="68">
        <v>3</v>
      </c>
      <c r="K499" s="91">
        <v>0</v>
      </c>
      <c r="L499" s="91">
        <v>0</v>
      </c>
      <c r="M499" s="91">
        <v>0</v>
      </c>
      <c r="N499" s="91">
        <v>0</v>
      </c>
      <c r="O499" s="91">
        <v>0</v>
      </c>
      <c r="P499" s="91">
        <v>0</v>
      </c>
      <c r="Q499" s="85">
        <v>0</v>
      </c>
      <c r="R499" s="68" t="s">
        <v>1107</v>
      </c>
      <c r="S499" s="86">
        <v>0</v>
      </c>
      <c r="T499" s="68">
        <v>0</v>
      </c>
      <c r="U499" s="68">
        <v>0</v>
      </c>
      <c r="V499" s="68">
        <v>0</v>
      </c>
      <c r="W499" s="68">
        <v>0</v>
      </c>
      <c r="X499" s="68">
        <v>0</v>
      </c>
      <c r="Y499" s="68">
        <v>0</v>
      </c>
      <c r="Z499" s="68">
        <v>0</v>
      </c>
      <c r="AA499" s="68">
        <v>0</v>
      </c>
      <c r="AB499" s="69">
        <v>0</v>
      </c>
      <c r="AC499" s="69">
        <v>0</v>
      </c>
      <c r="AD499" s="70">
        <f>IFERROR(tblTarget[[#This Row],[Cluster Target]]/tblTarget[[#This Row],[Cluster PiN]],0)</f>
        <v>0</v>
      </c>
      <c r="AE499" s="79">
        <f>_xlfn.XLOOKUP(tblTarget[[#This Row],[ID]],tblResponse[ID],tblResponse[2024 Projected reached (Dec 2024)])</f>
        <v>0</v>
      </c>
      <c r="AF499" s="79">
        <f>_xlfn.XLOOKUP(tblTarget[[#This Row],[ID]],tblResponse[ID],tblResponse[2024 Intercluster reached -August RPM])</f>
        <v>293.78535852566966</v>
      </c>
      <c r="AG499" s="79">
        <v>1</v>
      </c>
      <c r="AH499" s="79"/>
      <c r="AI499" s="79"/>
      <c r="AJ499" s="70" t="str">
        <f>IF(tblTarget[[#This Row],[Target to PiN (%)]]&gt;Targ_vs_PiN,"Flagged","")</f>
        <v/>
      </c>
      <c r="AK499" s="69" t="str">
        <f>IF(AND(tblTarget[[#This Row],[Qualifies for exception]]="Flagged",tblTarget[[#This Row],[Target to PiN (%)]]&gt;Targ_severity5),"Flagged","")</f>
        <v/>
      </c>
      <c r="AL499" s="68" t="str">
        <f>IFERROR(IF(AND(tblTarget[[#This Row],[Intercluser Severity]]=4,tblTarget[[#This Row],[Qualifies for exception]]="Flagged",(tblTarget[[#This Row],[Cluster Target]]-tblTarget[[#This Row],[2024 Response capacity up to December]])/tblTarget[[#This Row],[Cluster Target]]&gt;Diff_severity4),"Flagged",""),"No target")</f>
        <v>No target</v>
      </c>
      <c r="AM499" s="68" t="str">
        <f>IFERROR(IF(AND(tblTarget[[#This Row],[Intercluser Severity]]=3,tblTarget[[#This Row],[Qualifies for exception]]="Flagged",(tblTarget[[#This Row],[Cluster Target]]-tblTarget[[#This Row],[2024 Response capacity up to December]])/tblTarget[[#This Row],[Cluster Target]]&gt;Diff_severity3),"Flagged",""),"No target")</f>
        <v>No target</v>
      </c>
      <c r="AN499" s="81" t="s">
        <v>1099</v>
      </c>
      <c r="AO499" s="81"/>
      <c r="AP499" s="81" t="s">
        <v>1099</v>
      </c>
      <c r="AQ499" s="81" t="s">
        <v>1107</v>
      </c>
    </row>
    <row r="500" spans="1:43" ht="15.95" hidden="1" customHeight="1" x14ac:dyDescent="0.2">
      <c r="A500" s="62" t="s">
        <v>937</v>
      </c>
      <c r="B500" s="63" t="s">
        <v>274</v>
      </c>
      <c r="C500" s="64" t="s">
        <v>275</v>
      </c>
      <c r="D500" s="63" t="s">
        <v>282</v>
      </c>
      <c r="E500" s="64" t="s">
        <v>283</v>
      </c>
      <c r="F500" s="65">
        <v>139771</v>
      </c>
      <c r="G500" s="66" t="s">
        <v>437</v>
      </c>
      <c r="H500" s="67">
        <v>2233</v>
      </c>
      <c r="I500" s="68">
        <v>3</v>
      </c>
      <c r="J500" s="68">
        <v>3</v>
      </c>
      <c r="K500" s="91">
        <v>78.11999999999999</v>
      </c>
      <c r="L500" s="91">
        <v>36.865415533858439</v>
      </c>
      <c r="M500" s="91">
        <v>41.254584466141552</v>
      </c>
      <c r="N500" s="91">
        <v>39.059999999999995</v>
      </c>
      <c r="O500" s="91">
        <v>34.372799999999998</v>
      </c>
      <c r="P500" s="91">
        <v>4.6871999999999989</v>
      </c>
      <c r="Q500" s="85">
        <v>11.717999999999998</v>
      </c>
      <c r="R500" s="68" t="s">
        <v>1107</v>
      </c>
      <c r="S500" s="86">
        <v>11</v>
      </c>
      <c r="T500" s="68">
        <v>3</v>
      </c>
      <c r="U500" s="68">
        <v>0</v>
      </c>
      <c r="V500" s="68">
        <v>0</v>
      </c>
      <c r="W500" s="68">
        <v>1</v>
      </c>
      <c r="X500" s="68">
        <v>2</v>
      </c>
      <c r="Y500" s="68">
        <v>5</v>
      </c>
      <c r="Z500" s="68">
        <v>0</v>
      </c>
      <c r="AA500" s="68">
        <v>0</v>
      </c>
      <c r="AB500" s="69">
        <v>0</v>
      </c>
      <c r="AC500" s="69">
        <v>0</v>
      </c>
      <c r="AD500" s="70">
        <f>IFERROR(tblTarget[[#This Row],[Cluster Target]]/tblTarget[[#This Row],[Cluster PiN]],0)</f>
        <v>3.498432601880877E-2</v>
      </c>
      <c r="AE500" s="79">
        <f>_xlfn.XLOOKUP(tblTarget[[#This Row],[ID]],tblResponse[ID],tblResponse[2024 Projected reached (Dec 2024)])</f>
        <v>0</v>
      </c>
      <c r="AF500" s="79">
        <f>_xlfn.XLOOKUP(tblTarget[[#This Row],[ID]],tblResponse[ID],tblResponse[2024 Intercluster reached -August RPM])</f>
        <v>176.30694093930032</v>
      </c>
      <c r="AG500" s="79">
        <v>1</v>
      </c>
      <c r="AH500" s="79"/>
      <c r="AI500" s="79"/>
      <c r="AJ500" s="70" t="str">
        <f>IF(tblTarget[[#This Row],[Target to PiN (%)]]&gt;Targ_vs_PiN,"Flagged","")</f>
        <v/>
      </c>
      <c r="AK500" s="69" t="str">
        <f>IF(AND(tblTarget[[#This Row],[Qualifies for exception]]="Flagged",tblTarget[[#This Row],[Target to PiN (%)]]&gt;Targ_severity5),"Flagged","")</f>
        <v/>
      </c>
      <c r="AL500" s="68" t="str">
        <f>IFERROR(IF(AND(tblTarget[[#This Row],[Intercluser Severity]]=4,tblTarget[[#This Row],[Qualifies for exception]]="Flagged",(tblTarget[[#This Row],[Cluster Target]]-tblTarget[[#This Row],[2024 Response capacity up to December]])/tblTarget[[#This Row],[Cluster Target]]&gt;Diff_severity4),"Flagged",""),"No target")</f>
        <v/>
      </c>
      <c r="AM500" s="68" t="str">
        <f>IFERROR(IF(AND(tblTarget[[#This Row],[Intercluser Severity]]=3,tblTarget[[#This Row],[Qualifies for exception]]="Flagged",(tblTarget[[#This Row],[Cluster Target]]-tblTarget[[#This Row],[2024 Response capacity up to December]])/tblTarget[[#This Row],[Cluster Target]]&gt;Diff_severity3),"Flagged",""),"No target")</f>
        <v>Flagged</v>
      </c>
      <c r="AN500" s="81" t="s">
        <v>1099</v>
      </c>
      <c r="AO500" s="81"/>
      <c r="AP500" s="81" t="s">
        <v>1099</v>
      </c>
      <c r="AQ500" s="81" t="s">
        <v>1107</v>
      </c>
    </row>
    <row r="501" spans="1:43" ht="15.95" hidden="1" customHeight="1" x14ac:dyDescent="0.2">
      <c r="A501" s="62" t="s">
        <v>938</v>
      </c>
      <c r="B501" s="63" t="s">
        <v>274</v>
      </c>
      <c r="C501" s="64" t="s">
        <v>275</v>
      </c>
      <c r="D501" s="63" t="s">
        <v>284</v>
      </c>
      <c r="E501" s="64" t="s">
        <v>285</v>
      </c>
      <c r="F501" s="65">
        <v>204328</v>
      </c>
      <c r="G501" s="66" t="s">
        <v>437</v>
      </c>
      <c r="H501" s="67">
        <v>26783</v>
      </c>
      <c r="I501" s="68">
        <v>3</v>
      </c>
      <c r="J501" s="68">
        <v>3</v>
      </c>
      <c r="K501" s="91">
        <v>368.46</v>
      </c>
      <c r="L501" s="91">
        <v>176.26998314719333</v>
      </c>
      <c r="M501" s="91">
        <v>192.19001685280665</v>
      </c>
      <c r="N501" s="91">
        <v>184.23</v>
      </c>
      <c r="O501" s="91">
        <v>162.1224</v>
      </c>
      <c r="P501" s="91">
        <v>22.107599999999998</v>
      </c>
      <c r="Q501" s="85">
        <v>55.268999999999998</v>
      </c>
      <c r="R501" s="68" t="s">
        <v>1107</v>
      </c>
      <c r="S501" s="86">
        <v>53</v>
      </c>
      <c r="T501" s="68">
        <v>13</v>
      </c>
      <c r="U501" s="68">
        <v>0</v>
      </c>
      <c r="V501" s="68">
        <v>0</v>
      </c>
      <c r="W501" s="68">
        <v>4</v>
      </c>
      <c r="X501" s="68">
        <v>7</v>
      </c>
      <c r="Y501" s="68">
        <v>26</v>
      </c>
      <c r="Z501" s="68">
        <v>0</v>
      </c>
      <c r="AA501" s="68">
        <v>0</v>
      </c>
      <c r="AB501" s="69">
        <v>0</v>
      </c>
      <c r="AC501" s="69">
        <v>0</v>
      </c>
      <c r="AD501" s="70">
        <f>IFERROR(tblTarget[[#This Row],[Cluster Target]]/tblTarget[[#This Row],[Cluster PiN]],0)</f>
        <v>1.3757234066385392E-2</v>
      </c>
      <c r="AE501" s="79">
        <f>_xlfn.XLOOKUP(tblTarget[[#This Row],[ID]],tblResponse[ID],tblResponse[2024 Projected reached (Dec 2024)])</f>
        <v>0</v>
      </c>
      <c r="AF501" s="79">
        <f>_xlfn.XLOOKUP(tblTarget[[#This Row],[ID]],tblResponse[ID],tblResponse[2024 Intercluster reached -August RPM])</f>
        <v>286.5211076662996</v>
      </c>
      <c r="AG501" s="79">
        <v>2</v>
      </c>
      <c r="AH501" s="79"/>
      <c r="AI501" s="79"/>
      <c r="AJ501" s="70" t="str">
        <f>IF(tblTarget[[#This Row],[Target to PiN (%)]]&gt;Targ_vs_PiN,"Flagged","")</f>
        <v/>
      </c>
      <c r="AK501" s="69" t="str">
        <f>IF(AND(tblTarget[[#This Row],[Qualifies for exception]]="Flagged",tblTarget[[#This Row],[Target to PiN (%)]]&gt;Targ_severity5),"Flagged","")</f>
        <v/>
      </c>
      <c r="AL501" s="68" t="str">
        <f>IFERROR(IF(AND(tblTarget[[#This Row],[Intercluser Severity]]=4,tblTarget[[#This Row],[Qualifies for exception]]="Flagged",(tblTarget[[#This Row],[Cluster Target]]-tblTarget[[#This Row],[2024 Response capacity up to December]])/tblTarget[[#This Row],[Cluster Target]]&gt;Diff_severity4),"Flagged",""),"No target")</f>
        <v/>
      </c>
      <c r="AM501" s="68" t="str">
        <f>IFERROR(IF(AND(tblTarget[[#This Row],[Intercluser Severity]]=3,tblTarget[[#This Row],[Qualifies for exception]]="Flagged",(tblTarget[[#This Row],[Cluster Target]]-tblTarget[[#This Row],[2024 Response capacity up to December]])/tblTarget[[#This Row],[Cluster Target]]&gt;Diff_severity3),"Flagged",""),"No target")</f>
        <v>Flagged</v>
      </c>
      <c r="AN501" s="81" t="s">
        <v>1099</v>
      </c>
      <c r="AO501" s="81"/>
      <c r="AP501" s="81" t="s">
        <v>1099</v>
      </c>
      <c r="AQ501" s="81" t="s">
        <v>1107</v>
      </c>
    </row>
    <row r="502" spans="1:43" ht="15.95" hidden="1" customHeight="1" x14ac:dyDescent="0.2">
      <c r="A502" s="62" t="s">
        <v>939</v>
      </c>
      <c r="B502" s="63" t="s">
        <v>274</v>
      </c>
      <c r="C502" s="64" t="s">
        <v>275</v>
      </c>
      <c r="D502" s="63" t="s">
        <v>286</v>
      </c>
      <c r="E502" s="64" t="s">
        <v>287</v>
      </c>
      <c r="F502" s="65">
        <v>119528</v>
      </c>
      <c r="G502" s="66" t="s">
        <v>437</v>
      </c>
      <c r="H502" s="67">
        <v>0</v>
      </c>
      <c r="I502" s="68">
        <v>2</v>
      </c>
      <c r="J502" s="68">
        <v>3</v>
      </c>
      <c r="K502" s="91">
        <v>0</v>
      </c>
      <c r="L502" s="91">
        <v>0</v>
      </c>
      <c r="M502" s="91">
        <v>0</v>
      </c>
      <c r="N502" s="91">
        <v>0</v>
      </c>
      <c r="O502" s="91">
        <v>0</v>
      </c>
      <c r="P502" s="91">
        <v>0</v>
      </c>
      <c r="Q502" s="85">
        <v>0</v>
      </c>
      <c r="R502" s="68" t="s">
        <v>1107</v>
      </c>
      <c r="S502" s="86">
        <v>0</v>
      </c>
      <c r="T502" s="68">
        <v>0</v>
      </c>
      <c r="U502" s="68">
        <v>0</v>
      </c>
      <c r="V502" s="68">
        <v>0</v>
      </c>
      <c r="W502" s="68">
        <v>0</v>
      </c>
      <c r="X502" s="68">
        <v>0</v>
      </c>
      <c r="Y502" s="68">
        <v>0</v>
      </c>
      <c r="Z502" s="68">
        <v>0</v>
      </c>
      <c r="AA502" s="68">
        <v>0</v>
      </c>
      <c r="AB502" s="69">
        <v>0</v>
      </c>
      <c r="AC502" s="69">
        <v>0</v>
      </c>
      <c r="AD502" s="70">
        <f>IFERROR(tblTarget[[#This Row],[Cluster Target]]/tblTarget[[#This Row],[Cluster PiN]],0)</f>
        <v>0</v>
      </c>
      <c r="AE502" s="79">
        <f>_xlfn.XLOOKUP(tblTarget[[#This Row],[ID]],tblResponse[ID],tblResponse[2024 Projected reached (Dec 2024)])</f>
        <v>0</v>
      </c>
      <c r="AF502" s="79">
        <f>_xlfn.XLOOKUP(tblTarget[[#This Row],[ID]],tblResponse[ID],tblResponse[2024 Intercluster reached -August RPM])</f>
        <v>1295.1355451219035</v>
      </c>
      <c r="AG502" s="79">
        <v>1</v>
      </c>
      <c r="AH502" s="79"/>
      <c r="AI502" s="79"/>
      <c r="AJ502" s="70" t="str">
        <f>IF(tblTarget[[#This Row],[Target to PiN (%)]]&gt;Targ_vs_PiN,"Flagged","")</f>
        <v/>
      </c>
      <c r="AK502" s="69" t="str">
        <f>IF(AND(tblTarget[[#This Row],[Qualifies for exception]]="Flagged",tblTarget[[#This Row],[Target to PiN (%)]]&gt;Targ_severity5),"Flagged","")</f>
        <v/>
      </c>
      <c r="AL502" s="68" t="str">
        <f>IFERROR(IF(AND(tblTarget[[#This Row],[Intercluser Severity]]=4,tblTarget[[#This Row],[Qualifies for exception]]="Flagged",(tblTarget[[#This Row],[Cluster Target]]-tblTarget[[#This Row],[2024 Response capacity up to December]])/tblTarget[[#This Row],[Cluster Target]]&gt;Diff_severity4),"Flagged",""),"No target")</f>
        <v>No target</v>
      </c>
      <c r="AM502" s="68" t="str">
        <f>IFERROR(IF(AND(tblTarget[[#This Row],[Intercluser Severity]]=3,tblTarget[[#This Row],[Qualifies for exception]]="Flagged",(tblTarget[[#This Row],[Cluster Target]]-tblTarget[[#This Row],[2024 Response capacity up to December]])/tblTarget[[#This Row],[Cluster Target]]&gt;Diff_severity3),"Flagged",""),"No target")</f>
        <v>No target</v>
      </c>
      <c r="AN502" s="81" t="s">
        <v>1099</v>
      </c>
      <c r="AO502" s="81"/>
      <c r="AP502" s="81" t="s">
        <v>1099</v>
      </c>
      <c r="AQ502" s="81" t="s">
        <v>1107</v>
      </c>
    </row>
    <row r="503" spans="1:43" ht="15.95" hidden="1" customHeight="1" x14ac:dyDescent="0.2">
      <c r="A503" s="62" t="s">
        <v>940</v>
      </c>
      <c r="B503" s="63" t="s">
        <v>274</v>
      </c>
      <c r="C503" s="64" t="s">
        <v>275</v>
      </c>
      <c r="D503" s="63" t="s">
        <v>288</v>
      </c>
      <c r="E503" s="64" t="s">
        <v>289</v>
      </c>
      <c r="F503" s="65">
        <v>311316</v>
      </c>
      <c r="G503" s="66" t="s">
        <v>437</v>
      </c>
      <c r="H503" s="67">
        <v>7208</v>
      </c>
      <c r="I503" s="68">
        <v>3</v>
      </c>
      <c r="J503" s="68">
        <v>4</v>
      </c>
      <c r="K503" s="91">
        <v>3.42</v>
      </c>
      <c r="L503" s="91">
        <v>1.4060884410286576</v>
      </c>
      <c r="M503" s="91">
        <v>2.0139115589713423</v>
      </c>
      <c r="N503" s="91">
        <v>1.71</v>
      </c>
      <c r="O503" s="91">
        <v>1.5047999999999999</v>
      </c>
      <c r="P503" s="91">
        <v>0.20519999999999999</v>
      </c>
      <c r="Q503" s="85">
        <v>0.51300000000000001</v>
      </c>
      <c r="R503" s="68" t="s">
        <v>1107</v>
      </c>
      <c r="S503" s="86">
        <v>0</v>
      </c>
      <c r="T503" s="68">
        <v>0</v>
      </c>
      <c r="U503" s="68">
        <v>0</v>
      </c>
      <c r="V503" s="68">
        <v>0</v>
      </c>
      <c r="W503" s="68">
        <v>0</v>
      </c>
      <c r="X503" s="68">
        <v>0</v>
      </c>
      <c r="Y503" s="68">
        <v>0</v>
      </c>
      <c r="Z503" s="68">
        <v>0</v>
      </c>
      <c r="AA503" s="68">
        <v>0</v>
      </c>
      <c r="AB503" s="69">
        <v>0</v>
      </c>
      <c r="AC503" s="69">
        <v>0</v>
      </c>
      <c r="AD503" s="70">
        <f>IFERROR(tblTarget[[#This Row],[Cluster Target]]/tblTarget[[#This Row],[Cluster PiN]],0)</f>
        <v>4.7447280799112098E-4</v>
      </c>
      <c r="AE503" s="79">
        <f>_xlfn.XLOOKUP(tblTarget[[#This Row],[ID]],tblResponse[ID],tblResponse[2024 Projected reached (Dec 2024)])</f>
        <v>0</v>
      </c>
      <c r="AF503" s="79">
        <f>_xlfn.XLOOKUP(tblTarget[[#This Row],[ID]],tblResponse[ID],tblResponse[2024 Intercluster reached -August RPM])</f>
        <v>2261.9209970962988</v>
      </c>
      <c r="AG503" s="79">
        <v>1</v>
      </c>
      <c r="AH503" s="79"/>
      <c r="AI503" s="79"/>
      <c r="AJ503" s="70" t="str">
        <f>IF(tblTarget[[#This Row],[Target to PiN (%)]]&gt;Targ_vs_PiN,"Flagged","")</f>
        <v/>
      </c>
      <c r="AK503" s="69" t="str">
        <f>IF(AND(tblTarget[[#This Row],[Qualifies for exception]]="Flagged",tblTarget[[#This Row],[Target to PiN (%)]]&gt;Targ_severity5),"Flagged","")</f>
        <v/>
      </c>
      <c r="AL503" s="68" t="str">
        <f>IFERROR(IF(AND(tblTarget[[#This Row],[Intercluser Severity]]=4,tblTarget[[#This Row],[Qualifies for exception]]="Flagged",(tblTarget[[#This Row],[Cluster Target]]-tblTarget[[#This Row],[2024 Response capacity up to December]])/tblTarget[[#This Row],[Cluster Target]]&gt;Diff_severity4),"Flagged",""),"No target")</f>
        <v>Flagged</v>
      </c>
      <c r="AM503" s="68" t="str">
        <f>IFERROR(IF(AND(tblTarget[[#This Row],[Intercluser Severity]]=3,tblTarget[[#This Row],[Qualifies for exception]]="Flagged",(tblTarget[[#This Row],[Cluster Target]]-tblTarget[[#This Row],[2024 Response capacity up to December]])/tblTarget[[#This Row],[Cluster Target]]&gt;Diff_severity3),"Flagged",""),"No target")</f>
        <v/>
      </c>
      <c r="AN503" s="81" t="s">
        <v>1099</v>
      </c>
      <c r="AO503" s="81"/>
      <c r="AP503" s="81" t="s">
        <v>1099</v>
      </c>
      <c r="AQ503" s="81" t="s">
        <v>1107</v>
      </c>
    </row>
    <row r="504" spans="1:43" ht="15.95" hidden="1" customHeight="1" x14ac:dyDescent="0.2">
      <c r="A504" s="62" t="s">
        <v>941</v>
      </c>
      <c r="B504" s="63" t="s">
        <v>274</v>
      </c>
      <c r="C504" s="64" t="s">
        <v>275</v>
      </c>
      <c r="D504" s="63" t="s">
        <v>290</v>
      </c>
      <c r="E504" s="64" t="s">
        <v>291</v>
      </c>
      <c r="F504" s="65">
        <v>345502</v>
      </c>
      <c r="G504" s="66" t="s">
        <v>437</v>
      </c>
      <c r="H504" s="67">
        <v>0</v>
      </c>
      <c r="I504" s="68">
        <v>3</v>
      </c>
      <c r="J504" s="68">
        <v>3</v>
      </c>
      <c r="K504" s="91">
        <v>0</v>
      </c>
      <c r="L504" s="91">
        <v>0</v>
      </c>
      <c r="M504" s="91">
        <v>0</v>
      </c>
      <c r="N504" s="91">
        <v>0</v>
      </c>
      <c r="O504" s="91">
        <v>0</v>
      </c>
      <c r="P504" s="91">
        <v>0</v>
      </c>
      <c r="Q504" s="85">
        <v>0</v>
      </c>
      <c r="R504" s="68" t="s">
        <v>1107</v>
      </c>
      <c r="S504" s="86">
        <v>0</v>
      </c>
      <c r="T504" s="68">
        <v>0</v>
      </c>
      <c r="U504" s="68">
        <v>0</v>
      </c>
      <c r="V504" s="68">
        <v>0</v>
      </c>
      <c r="W504" s="68">
        <v>0</v>
      </c>
      <c r="X504" s="68">
        <v>0</v>
      </c>
      <c r="Y504" s="68">
        <v>0</v>
      </c>
      <c r="Z504" s="68">
        <v>0</v>
      </c>
      <c r="AA504" s="68">
        <v>0</v>
      </c>
      <c r="AB504" s="69">
        <v>0</v>
      </c>
      <c r="AC504" s="69">
        <v>0</v>
      </c>
      <c r="AD504" s="70">
        <f>IFERROR(tblTarget[[#This Row],[Cluster Target]]/tblTarget[[#This Row],[Cluster PiN]],0)</f>
        <v>0</v>
      </c>
      <c r="AE504" s="79">
        <f>_xlfn.XLOOKUP(tblTarget[[#This Row],[ID]],tblResponse[ID],tblResponse[2024 Projected reached (Dec 2024)])</f>
        <v>0</v>
      </c>
      <c r="AF504" s="79">
        <f>_xlfn.XLOOKUP(tblTarget[[#This Row],[ID]],tblResponse[ID],tblResponse[2024 Intercluster reached -August RPM])</f>
        <v>1069.3036808032505</v>
      </c>
      <c r="AG504" s="79">
        <v>1</v>
      </c>
      <c r="AH504" s="79"/>
      <c r="AI504" s="79"/>
      <c r="AJ504" s="70" t="str">
        <f>IF(tblTarget[[#This Row],[Target to PiN (%)]]&gt;Targ_vs_PiN,"Flagged","")</f>
        <v/>
      </c>
      <c r="AK504" s="69" t="str">
        <f>IF(AND(tblTarget[[#This Row],[Qualifies for exception]]="Flagged",tblTarget[[#This Row],[Target to PiN (%)]]&gt;Targ_severity5),"Flagged","")</f>
        <v/>
      </c>
      <c r="AL504" s="68" t="str">
        <f>IFERROR(IF(AND(tblTarget[[#This Row],[Intercluser Severity]]=4,tblTarget[[#This Row],[Qualifies for exception]]="Flagged",(tblTarget[[#This Row],[Cluster Target]]-tblTarget[[#This Row],[2024 Response capacity up to December]])/tblTarget[[#This Row],[Cluster Target]]&gt;Diff_severity4),"Flagged",""),"No target")</f>
        <v>No target</v>
      </c>
      <c r="AM504" s="68" t="str">
        <f>IFERROR(IF(AND(tblTarget[[#This Row],[Intercluser Severity]]=3,tblTarget[[#This Row],[Qualifies for exception]]="Flagged",(tblTarget[[#This Row],[Cluster Target]]-tblTarget[[#This Row],[2024 Response capacity up to December]])/tblTarget[[#This Row],[Cluster Target]]&gt;Diff_severity3),"Flagged",""),"No target")</f>
        <v>No target</v>
      </c>
      <c r="AN504" s="81" t="s">
        <v>1099</v>
      </c>
      <c r="AO504" s="81"/>
      <c r="AP504" s="81" t="s">
        <v>1099</v>
      </c>
      <c r="AQ504" s="81" t="s">
        <v>1107</v>
      </c>
    </row>
    <row r="505" spans="1:43" ht="15.95" hidden="1" customHeight="1" x14ac:dyDescent="0.2">
      <c r="A505" s="62" t="s">
        <v>942</v>
      </c>
      <c r="B505" s="63" t="s">
        <v>274</v>
      </c>
      <c r="C505" s="64" t="s">
        <v>275</v>
      </c>
      <c r="D505" s="63" t="s">
        <v>292</v>
      </c>
      <c r="E505" s="64" t="s">
        <v>293</v>
      </c>
      <c r="F505" s="65">
        <v>99211</v>
      </c>
      <c r="G505" s="66" t="s">
        <v>437</v>
      </c>
      <c r="H505" s="67">
        <v>729</v>
      </c>
      <c r="I505" s="68">
        <v>2</v>
      </c>
      <c r="J505" s="68">
        <v>3</v>
      </c>
      <c r="K505" s="91">
        <v>0</v>
      </c>
      <c r="L505" s="91">
        <v>0</v>
      </c>
      <c r="M505" s="91">
        <v>0</v>
      </c>
      <c r="N505" s="91">
        <v>0</v>
      </c>
      <c r="O505" s="91">
        <v>0</v>
      </c>
      <c r="P505" s="91">
        <v>0</v>
      </c>
      <c r="Q505" s="85">
        <v>0</v>
      </c>
      <c r="R505" s="68" t="s">
        <v>1107</v>
      </c>
      <c r="S505" s="86">
        <v>0</v>
      </c>
      <c r="T505" s="68">
        <v>0</v>
      </c>
      <c r="U505" s="68">
        <v>0</v>
      </c>
      <c r="V505" s="68">
        <v>0</v>
      </c>
      <c r="W505" s="68">
        <v>0</v>
      </c>
      <c r="X505" s="68">
        <v>0</v>
      </c>
      <c r="Y505" s="68">
        <v>0</v>
      </c>
      <c r="Z505" s="68">
        <v>0</v>
      </c>
      <c r="AA505" s="68">
        <v>0</v>
      </c>
      <c r="AB505" s="69">
        <v>0</v>
      </c>
      <c r="AC505" s="69">
        <v>0</v>
      </c>
      <c r="AD505" s="70">
        <f>IFERROR(tblTarget[[#This Row],[Cluster Target]]/tblTarget[[#This Row],[Cluster PiN]],0)</f>
        <v>0</v>
      </c>
      <c r="AE505" s="79">
        <f>_xlfn.XLOOKUP(tblTarget[[#This Row],[ID]],tblResponse[ID],tblResponse[2024 Projected reached (Dec 2024)])</f>
        <v>0</v>
      </c>
      <c r="AF505" s="79">
        <f>_xlfn.XLOOKUP(tblTarget[[#This Row],[ID]],tblResponse[ID],tblResponse[2024 Intercluster reached -August RPM])</f>
        <v>378.27693204571932</v>
      </c>
      <c r="AG505" s="79">
        <v>5</v>
      </c>
      <c r="AH505" s="79"/>
      <c r="AI505" s="79"/>
      <c r="AJ505" s="70" t="str">
        <f>IF(tblTarget[[#This Row],[Target to PiN (%)]]&gt;Targ_vs_PiN,"Flagged","")</f>
        <v/>
      </c>
      <c r="AK505" s="69" t="str">
        <f>IF(AND(tblTarget[[#This Row],[Qualifies for exception]]="Flagged",tblTarget[[#This Row],[Target to PiN (%)]]&gt;Targ_severity5),"Flagged","")</f>
        <v/>
      </c>
      <c r="AL505" s="68" t="str">
        <f>IFERROR(IF(AND(tblTarget[[#This Row],[Intercluser Severity]]=4,tblTarget[[#This Row],[Qualifies for exception]]="Flagged",(tblTarget[[#This Row],[Cluster Target]]-tblTarget[[#This Row],[2024 Response capacity up to December]])/tblTarget[[#This Row],[Cluster Target]]&gt;Diff_severity4),"Flagged",""),"No target")</f>
        <v>No target</v>
      </c>
      <c r="AM505" s="68" t="str">
        <f>IFERROR(IF(AND(tblTarget[[#This Row],[Intercluser Severity]]=3,tblTarget[[#This Row],[Qualifies for exception]]="Flagged",(tblTarget[[#This Row],[Cluster Target]]-tblTarget[[#This Row],[2024 Response capacity up to December]])/tblTarget[[#This Row],[Cluster Target]]&gt;Diff_severity3),"Flagged",""),"No target")</f>
        <v>No target</v>
      </c>
      <c r="AN505" s="81" t="s">
        <v>1099</v>
      </c>
      <c r="AO505" s="81"/>
      <c r="AP505" s="81" t="s">
        <v>1099</v>
      </c>
      <c r="AQ505" s="81" t="s">
        <v>1107</v>
      </c>
    </row>
    <row r="506" spans="1:43" ht="15.95" hidden="1" customHeight="1" x14ac:dyDescent="0.2">
      <c r="A506" s="62" t="s">
        <v>943</v>
      </c>
      <c r="B506" s="63" t="s">
        <v>274</v>
      </c>
      <c r="C506" s="64" t="s">
        <v>275</v>
      </c>
      <c r="D506" s="63" t="s">
        <v>294</v>
      </c>
      <c r="E506" s="64" t="s">
        <v>295</v>
      </c>
      <c r="F506" s="65">
        <v>0</v>
      </c>
      <c r="G506" s="66" t="s">
        <v>437</v>
      </c>
      <c r="H506" s="67">
        <v>0</v>
      </c>
      <c r="I506" s="68">
        <v>3</v>
      </c>
      <c r="J506" s="68">
        <v>3</v>
      </c>
      <c r="K506" s="91">
        <v>0</v>
      </c>
      <c r="L506" s="91">
        <v>0</v>
      </c>
      <c r="M506" s="91">
        <v>0</v>
      </c>
      <c r="N506" s="91">
        <v>0</v>
      </c>
      <c r="O506" s="91">
        <v>0</v>
      </c>
      <c r="P506" s="91">
        <v>0</v>
      </c>
      <c r="Q506" s="85">
        <v>0</v>
      </c>
      <c r="R506" s="68" t="s">
        <v>1107</v>
      </c>
      <c r="S506" s="86">
        <v>0</v>
      </c>
      <c r="T506" s="68">
        <v>0</v>
      </c>
      <c r="U506" s="68">
        <v>0</v>
      </c>
      <c r="V506" s="68">
        <v>0</v>
      </c>
      <c r="W506" s="68">
        <v>0</v>
      </c>
      <c r="X506" s="68">
        <v>0</v>
      </c>
      <c r="Y506" s="68">
        <v>0</v>
      </c>
      <c r="Z506" s="68">
        <v>0</v>
      </c>
      <c r="AA506" s="68">
        <v>0</v>
      </c>
      <c r="AB506" s="69">
        <v>0</v>
      </c>
      <c r="AC506" s="69">
        <v>0</v>
      </c>
      <c r="AD506" s="70">
        <f>IFERROR(tblTarget[[#This Row],[Cluster Target]]/tblTarget[[#This Row],[Cluster PiN]],0)</f>
        <v>0</v>
      </c>
      <c r="AE506" s="79">
        <f>_xlfn.XLOOKUP(tblTarget[[#This Row],[ID]],tblResponse[ID],tblResponse[2024 Projected reached (Dec 2024)])</f>
        <v>0</v>
      </c>
      <c r="AF506" s="79">
        <f>_xlfn.XLOOKUP(tblTarget[[#This Row],[ID]],tblResponse[ID],tblResponse[2024 Intercluster reached -August RPM])</f>
        <v>1231.7519792219084</v>
      </c>
      <c r="AG506" s="79">
        <v>4</v>
      </c>
      <c r="AH506" s="79"/>
      <c r="AI506" s="79"/>
      <c r="AJ506" s="70" t="str">
        <f>IF(tblTarget[[#This Row],[Target to PiN (%)]]&gt;Targ_vs_PiN,"Flagged","")</f>
        <v/>
      </c>
      <c r="AK506" s="69" t="str">
        <f>IF(AND(tblTarget[[#This Row],[Qualifies for exception]]="Flagged",tblTarget[[#This Row],[Target to PiN (%)]]&gt;Targ_severity5),"Flagged","")</f>
        <v/>
      </c>
      <c r="AL506" s="68" t="str">
        <f>IFERROR(IF(AND(tblTarget[[#This Row],[Intercluser Severity]]=4,tblTarget[[#This Row],[Qualifies for exception]]="Flagged",(tblTarget[[#This Row],[Cluster Target]]-tblTarget[[#This Row],[2024 Response capacity up to December]])/tblTarget[[#This Row],[Cluster Target]]&gt;Diff_severity4),"Flagged",""),"No target")</f>
        <v>No target</v>
      </c>
      <c r="AM506" s="68" t="str">
        <f>IFERROR(IF(AND(tblTarget[[#This Row],[Intercluser Severity]]=3,tblTarget[[#This Row],[Qualifies for exception]]="Flagged",(tblTarget[[#This Row],[Cluster Target]]-tblTarget[[#This Row],[2024 Response capacity up to December]])/tblTarget[[#This Row],[Cluster Target]]&gt;Diff_severity3),"Flagged",""),"No target")</f>
        <v>No target</v>
      </c>
      <c r="AN506" s="81" t="s">
        <v>1099</v>
      </c>
      <c r="AO506" s="81"/>
      <c r="AP506" s="81" t="s">
        <v>1099</v>
      </c>
      <c r="AQ506" s="81" t="s">
        <v>1107</v>
      </c>
    </row>
    <row r="507" spans="1:43" ht="15.95" hidden="1" customHeight="1" x14ac:dyDescent="0.2">
      <c r="A507" s="62" t="s">
        <v>944</v>
      </c>
      <c r="B507" s="63" t="s">
        <v>274</v>
      </c>
      <c r="C507" s="64" t="s">
        <v>275</v>
      </c>
      <c r="D507" s="63" t="s">
        <v>296</v>
      </c>
      <c r="E507" s="64" t="s">
        <v>297</v>
      </c>
      <c r="F507" s="65">
        <v>199129</v>
      </c>
      <c r="G507" s="66" t="s">
        <v>437</v>
      </c>
      <c r="H507" s="67">
        <v>37375</v>
      </c>
      <c r="I507" s="68">
        <v>4</v>
      </c>
      <c r="J507" s="68">
        <v>3</v>
      </c>
      <c r="K507" s="91">
        <v>252.35999999999999</v>
      </c>
      <c r="L507" s="91">
        <v>131.44422207533421</v>
      </c>
      <c r="M507" s="91">
        <v>120.91577792466576</v>
      </c>
      <c r="N507" s="91">
        <v>126.17999999999999</v>
      </c>
      <c r="O507" s="91">
        <v>111.0384</v>
      </c>
      <c r="P507" s="91">
        <v>15.141599999999999</v>
      </c>
      <c r="Q507" s="85">
        <v>37.853999999999999</v>
      </c>
      <c r="R507" s="68" t="s">
        <v>1107</v>
      </c>
      <c r="S507" s="86">
        <v>36</v>
      </c>
      <c r="T507" s="68">
        <v>9</v>
      </c>
      <c r="U507" s="68">
        <v>0</v>
      </c>
      <c r="V507" s="68">
        <v>0</v>
      </c>
      <c r="W507" s="68">
        <v>3</v>
      </c>
      <c r="X507" s="68">
        <v>5</v>
      </c>
      <c r="Y507" s="68">
        <v>18</v>
      </c>
      <c r="Z507" s="68">
        <v>0</v>
      </c>
      <c r="AA507" s="68">
        <v>0</v>
      </c>
      <c r="AB507" s="69">
        <v>0</v>
      </c>
      <c r="AC507" s="69">
        <v>0</v>
      </c>
      <c r="AD507" s="70">
        <f>IFERROR(tblTarget[[#This Row],[Cluster Target]]/tblTarget[[#This Row],[Cluster PiN]],0)</f>
        <v>6.7521070234113712E-3</v>
      </c>
      <c r="AE507" s="79">
        <f>_xlfn.XLOOKUP(tblTarget[[#This Row],[ID]],tblResponse[ID],tblResponse[2024 Projected reached (Dec 2024)])</f>
        <v>0</v>
      </c>
      <c r="AF507" s="79">
        <f>_xlfn.XLOOKUP(tblTarget[[#This Row],[ID]],tblResponse[ID],tblResponse[2024 Intercluster reached -August RPM])</f>
        <v>993.19279013940024</v>
      </c>
      <c r="AG507" s="79">
        <v>1</v>
      </c>
      <c r="AH507" s="79"/>
      <c r="AI507" s="79"/>
      <c r="AJ507" s="70" t="str">
        <f>IF(tblTarget[[#This Row],[Target to PiN (%)]]&gt;Targ_vs_PiN,"Flagged","")</f>
        <v/>
      </c>
      <c r="AK507" s="69" t="str">
        <f>IF(AND(tblTarget[[#This Row],[Qualifies for exception]]="Flagged",tblTarget[[#This Row],[Target to PiN (%)]]&gt;Targ_severity5),"Flagged","")</f>
        <v/>
      </c>
      <c r="AL507" s="68" t="str">
        <f>IFERROR(IF(AND(tblTarget[[#This Row],[Intercluser Severity]]=4,tblTarget[[#This Row],[Qualifies for exception]]="Flagged",(tblTarget[[#This Row],[Cluster Target]]-tblTarget[[#This Row],[2024 Response capacity up to December]])/tblTarget[[#This Row],[Cluster Target]]&gt;Diff_severity4),"Flagged",""),"No target")</f>
        <v/>
      </c>
      <c r="AM507" s="68" t="str">
        <f>IFERROR(IF(AND(tblTarget[[#This Row],[Intercluser Severity]]=3,tblTarget[[#This Row],[Qualifies for exception]]="Flagged",(tblTarget[[#This Row],[Cluster Target]]-tblTarget[[#This Row],[2024 Response capacity up to December]])/tblTarget[[#This Row],[Cluster Target]]&gt;Diff_severity3),"Flagged",""),"No target")</f>
        <v>Flagged</v>
      </c>
      <c r="AN507" s="81" t="s">
        <v>1099</v>
      </c>
      <c r="AO507" s="81"/>
      <c r="AP507" s="81" t="s">
        <v>1099</v>
      </c>
      <c r="AQ507" s="81" t="s">
        <v>1107</v>
      </c>
    </row>
    <row r="508" spans="1:43" ht="15.95" hidden="1" customHeight="1" x14ac:dyDescent="0.2">
      <c r="A508" s="62" t="s">
        <v>945</v>
      </c>
      <c r="B508" s="63" t="s">
        <v>298</v>
      </c>
      <c r="C508" s="64" t="s">
        <v>299</v>
      </c>
      <c r="D508" s="63" t="s">
        <v>300</v>
      </c>
      <c r="E508" s="64" t="s">
        <v>301</v>
      </c>
      <c r="F508" s="65">
        <v>116926</v>
      </c>
      <c r="G508" s="66" t="s">
        <v>437</v>
      </c>
      <c r="H508" s="67">
        <v>0</v>
      </c>
      <c r="I508" s="68">
        <v>3</v>
      </c>
      <c r="J508" s="68">
        <v>3</v>
      </c>
      <c r="K508" s="91">
        <v>0</v>
      </c>
      <c r="L508" s="91">
        <v>0</v>
      </c>
      <c r="M508" s="91">
        <v>0</v>
      </c>
      <c r="N508" s="91">
        <v>0</v>
      </c>
      <c r="O508" s="91">
        <v>0</v>
      </c>
      <c r="P508" s="91">
        <v>0</v>
      </c>
      <c r="Q508" s="85">
        <v>0</v>
      </c>
      <c r="R508" s="68" t="s">
        <v>1107</v>
      </c>
      <c r="S508" s="86">
        <v>0</v>
      </c>
      <c r="T508" s="68">
        <v>0</v>
      </c>
      <c r="U508" s="68">
        <v>0</v>
      </c>
      <c r="V508" s="68">
        <v>0</v>
      </c>
      <c r="W508" s="68">
        <v>0</v>
      </c>
      <c r="X508" s="68">
        <v>0</v>
      </c>
      <c r="Y508" s="68">
        <v>0</v>
      </c>
      <c r="Z508" s="68">
        <v>0</v>
      </c>
      <c r="AA508" s="68">
        <v>0</v>
      </c>
      <c r="AB508" s="69">
        <v>0</v>
      </c>
      <c r="AC508" s="69">
        <v>0</v>
      </c>
      <c r="AD508" s="70">
        <f>IFERROR(tblTarget[[#This Row],[Cluster Target]]/tblTarget[[#This Row],[Cluster PiN]],0)</f>
        <v>0</v>
      </c>
      <c r="AE508" s="79">
        <f>_xlfn.XLOOKUP(tblTarget[[#This Row],[ID]],tblResponse[ID],tblResponse[2024 Projected reached (Dec 2024)])</f>
        <v>0</v>
      </c>
      <c r="AF508" s="79">
        <f>_xlfn.XLOOKUP(tblTarget[[#This Row],[ID]],tblResponse[ID],tblResponse[2024 Intercluster reached -August RPM])</f>
        <v>829.56851668408206</v>
      </c>
      <c r="AG508" s="79">
        <v>2</v>
      </c>
      <c r="AH508" s="79"/>
      <c r="AI508" s="79"/>
      <c r="AJ508" s="70" t="str">
        <f>IF(tblTarget[[#This Row],[Target to PiN (%)]]&gt;Targ_vs_PiN,"Flagged","")</f>
        <v/>
      </c>
      <c r="AK508" s="69" t="str">
        <f>IF(AND(tblTarget[[#This Row],[Qualifies for exception]]="Flagged",tblTarget[[#This Row],[Target to PiN (%)]]&gt;Targ_severity5),"Flagged","")</f>
        <v/>
      </c>
      <c r="AL508" s="68" t="str">
        <f>IFERROR(IF(AND(tblTarget[[#This Row],[Intercluser Severity]]=4,tblTarget[[#This Row],[Qualifies for exception]]="Flagged",(tblTarget[[#This Row],[Cluster Target]]-tblTarget[[#This Row],[2024 Response capacity up to December]])/tblTarget[[#This Row],[Cluster Target]]&gt;Diff_severity4),"Flagged",""),"No target")</f>
        <v>No target</v>
      </c>
      <c r="AM508" s="68" t="str">
        <f>IFERROR(IF(AND(tblTarget[[#This Row],[Intercluser Severity]]=3,tblTarget[[#This Row],[Qualifies for exception]]="Flagged",(tblTarget[[#This Row],[Cluster Target]]-tblTarget[[#This Row],[2024 Response capacity up to December]])/tblTarget[[#This Row],[Cluster Target]]&gt;Diff_severity3),"Flagged",""),"No target")</f>
        <v>No target</v>
      </c>
      <c r="AN508" s="81" t="s">
        <v>1099</v>
      </c>
      <c r="AO508" s="81"/>
      <c r="AP508" s="81" t="s">
        <v>1099</v>
      </c>
      <c r="AQ508" s="81" t="s">
        <v>1107</v>
      </c>
    </row>
    <row r="509" spans="1:43" ht="15.95" hidden="1" customHeight="1" x14ac:dyDescent="0.2">
      <c r="A509" s="62" t="s">
        <v>946</v>
      </c>
      <c r="B509" s="63" t="s">
        <v>298</v>
      </c>
      <c r="C509" s="64" t="s">
        <v>299</v>
      </c>
      <c r="D509" s="63" t="s">
        <v>302</v>
      </c>
      <c r="E509" s="64" t="s">
        <v>303</v>
      </c>
      <c r="F509" s="65">
        <v>270964</v>
      </c>
      <c r="G509" s="66" t="s">
        <v>437</v>
      </c>
      <c r="H509" s="67">
        <v>0</v>
      </c>
      <c r="I509" s="68">
        <v>3</v>
      </c>
      <c r="J509" s="68">
        <v>3</v>
      </c>
      <c r="K509" s="91">
        <v>0</v>
      </c>
      <c r="L509" s="91">
        <v>0</v>
      </c>
      <c r="M509" s="91">
        <v>0</v>
      </c>
      <c r="N509" s="91">
        <v>0</v>
      </c>
      <c r="O509" s="91">
        <v>0</v>
      </c>
      <c r="P509" s="91">
        <v>0</v>
      </c>
      <c r="Q509" s="85">
        <v>0</v>
      </c>
      <c r="R509" s="68" t="s">
        <v>1107</v>
      </c>
      <c r="S509" s="86">
        <v>0</v>
      </c>
      <c r="T509" s="68">
        <v>0</v>
      </c>
      <c r="U509" s="68">
        <v>0</v>
      </c>
      <c r="V509" s="68">
        <v>0</v>
      </c>
      <c r="W509" s="68">
        <v>0</v>
      </c>
      <c r="X509" s="68">
        <v>0</v>
      </c>
      <c r="Y509" s="68">
        <v>0</v>
      </c>
      <c r="Z509" s="68">
        <v>0</v>
      </c>
      <c r="AA509" s="68">
        <v>0</v>
      </c>
      <c r="AB509" s="69">
        <v>0</v>
      </c>
      <c r="AC509" s="69">
        <v>0</v>
      </c>
      <c r="AD509" s="70">
        <f>IFERROR(tblTarget[[#This Row],[Cluster Target]]/tblTarget[[#This Row],[Cluster PiN]],0)</f>
        <v>0</v>
      </c>
      <c r="AE509" s="79">
        <f>_xlfn.XLOOKUP(tblTarget[[#This Row],[ID]],tblResponse[ID],tblResponse[2024 Projected reached (Dec 2024)])</f>
        <v>0</v>
      </c>
      <c r="AF509" s="79">
        <f>_xlfn.XLOOKUP(tblTarget[[#This Row],[ID]],tblResponse[ID],tblResponse[2024 Intercluster reached -August RPM])</f>
        <v>2916.9390925160919</v>
      </c>
      <c r="AG509" s="79">
        <v>2</v>
      </c>
      <c r="AH509" s="79"/>
      <c r="AI509" s="79"/>
      <c r="AJ509" s="70" t="str">
        <f>IF(tblTarget[[#This Row],[Target to PiN (%)]]&gt;Targ_vs_PiN,"Flagged","")</f>
        <v/>
      </c>
      <c r="AK509" s="69" t="str">
        <f>IF(AND(tblTarget[[#This Row],[Qualifies for exception]]="Flagged",tblTarget[[#This Row],[Target to PiN (%)]]&gt;Targ_severity5),"Flagged","")</f>
        <v/>
      </c>
      <c r="AL509" s="68" t="str">
        <f>IFERROR(IF(AND(tblTarget[[#This Row],[Intercluser Severity]]=4,tblTarget[[#This Row],[Qualifies for exception]]="Flagged",(tblTarget[[#This Row],[Cluster Target]]-tblTarget[[#This Row],[2024 Response capacity up to December]])/tblTarget[[#This Row],[Cluster Target]]&gt;Diff_severity4),"Flagged",""),"No target")</f>
        <v>No target</v>
      </c>
      <c r="AM509" s="68" t="str">
        <f>IFERROR(IF(AND(tblTarget[[#This Row],[Intercluser Severity]]=3,tblTarget[[#This Row],[Qualifies for exception]]="Flagged",(tblTarget[[#This Row],[Cluster Target]]-tblTarget[[#This Row],[2024 Response capacity up to December]])/tblTarget[[#This Row],[Cluster Target]]&gt;Diff_severity3),"Flagged",""),"No target")</f>
        <v>No target</v>
      </c>
      <c r="AN509" s="81" t="s">
        <v>1099</v>
      </c>
      <c r="AO509" s="81"/>
      <c r="AP509" s="81" t="s">
        <v>1099</v>
      </c>
      <c r="AQ509" s="81" t="s">
        <v>1107</v>
      </c>
    </row>
    <row r="510" spans="1:43" ht="15.95" hidden="1" customHeight="1" x14ac:dyDescent="0.2">
      <c r="A510" s="62" t="s">
        <v>947</v>
      </c>
      <c r="B510" s="63" t="s">
        <v>298</v>
      </c>
      <c r="C510" s="64" t="s">
        <v>299</v>
      </c>
      <c r="D510" s="63" t="s">
        <v>304</v>
      </c>
      <c r="E510" s="64" t="s">
        <v>305</v>
      </c>
      <c r="F510" s="65">
        <v>0</v>
      </c>
      <c r="G510" s="66" t="s">
        <v>437</v>
      </c>
      <c r="H510" s="67">
        <v>0</v>
      </c>
      <c r="I510" s="68">
        <v>3</v>
      </c>
      <c r="J510" s="68">
        <v>4</v>
      </c>
      <c r="K510" s="91">
        <v>0</v>
      </c>
      <c r="L510" s="91">
        <v>0</v>
      </c>
      <c r="M510" s="91">
        <v>0</v>
      </c>
      <c r="N510" s="91">
        <v>0</v>
      </c>
      <c r="O510" s="91">
        <v>0</v>
      </c>
      <c r="P510" s="91">
        <v>0</v>
      </c>
      <c r="Q510" s="85">
        <v>0</v>
      </c>
      <c r="R510" s="68" t="s">
        <v>1107</v>
      </c>
      <c r="S510" s="86">
        <v>0</v>
      </c>
      <c r="T510" s="68">
        <v>0</v>
      </c>
      <c r="U510" s="68">
        <v>0</v>
      </c>
      <c r="V510" s="68">
        <v>0</v>
      </c>
      <c r="W510" s="68">
        <v>0</v>
      </c>
      <c r="X510" s="68">
        <v>0</v>
      </c>
      <c r="Y510" s="68">
        <v>0</v>
      </c>
      <c r="Z510" s="68">
        <v>0</v>
      </c>
      <c r="AA510" s="68">
        <v>0</v>
      </c>
      <c r="AB510" s="69">
        <v>0</v>
      </c>
      <c r="AC510" s="69">
        <v>0</v>
      </c>
      <c r="AD510" s="70">
        <f>IFERROR(tblTarget[[#This Row],[Cluster Target]]/tblTarget[[#This Row],[Cluster PiN]],0)</f>
        <v>0</v>
      </c>
      <c r="AE510" s="79">
        <f>_xlfn.XLOOKUP(tblTarget[[#This Row],[ID]],tblResponse[ID],tblResponse[2024 Projected reached (Dec 2024)])</f>
        <v>0</v>
      </c>
      <c r="AF510" s="79">
        <f>_xlfn.XLOOKUP(tblTarget[[#This Row],[ID]],tblResponse[ID],tblResponse[2024 Intercluster reached -August RPM])</f>
        <v>1096.3362208864801</v>
      </c>
      <c r="AG510" s="79">
        <v>3</v>
      </c>
      <c r="AH510" s="79"/>
      <c r="AI510" s="79"/>
      <c r="AJ510" s="70" t="str">
        <f>IF(tblTarget[[#This Row],[Target to PiN (%)]]&gt;Targ_vs_PiN,"Flagged","")</f>
        <v/>
      </c>
      <c r="AK510" s="69" t="str">
        <f>IF(AND(tblTarget[[#This Row],[Qualifies for exception]]="Flagged",tblTarget[[#This Row],[Target to PiN (%)]]&gt;Targ_severity5),"Flagged","")</f>
        <v/>
      </c>
      <c r="AL510" s="68" t="str">
        <f>IFERROR(IF(AND(tblTarget[[#This Row],[Intercluser Severity]]=4,tblTarget[[#This Row],[Qualifies for exception]]="Flagged",(tblTarget[[#This Row],[Cluster Target]]-tblTarget[[#This Row],[2024 Response capacity up to December]])/tblTarget[[#This Row],[Cluster Target]]&gt;Diff_severity4),"Flagged",""),"No target")</f>
        <v>No target</v>
      </c>
      <c r="AM510" s="68" t="str">
        <f>IFERROR(IF(AND(tblTarget[[#This Row],[Intercluser Severity]]=3,tblTarget[[#This Row],[Qualifies for exception]]="Flagged",(tblTarget[[#This Row],[Cluster Target]]-tblTarget[[#This Row],[2024 Response capacity up to December]])/tblTarget[[#This Row],[Cluster Target]]&gt;Diff_severity3),"Flagged",""),"No target")</f>
        <v>No target</v>
      </c>
      <c r="AN510" s="81" t="s">
        <v>1099</v>
      </c>
      <c r="AO510" s="81"/>
      <c r="AP510" s="81" t="s">
        <v>1099</v>
      </c>
      <c r="AQ510" s="81" t="s">
        <v>1107</v>
      </c>
    </row>
    <row r="511" spans="1:43" ht="15.95" hidden="1" customHeight="1" x14ac:dyDescent="0.2">
      <c r="A511" s="62" t="s">
        <v>948</v>
      </c>
      <c r="B511" s="63" t="s">
        <v>298</v>
      </c>
      <c r="C511" s="64" t="s">
        <v>299</v>
      </c>
      <c r="D511" s="63" t="s">
        <v>306</v>
      </c>
      <c r="E511" s="64" t="s">
        <v>307</v>
      </c>
      <c r="F511" s="65">
        <v>107308</v>
      </c>
      <c r="G511" s="66" t="s">
        <v>437</v>
      </c>
      <c r="H511" s="67">
        <v>2308</v>
      </c>
      <c r="I511" s="68">
        <v>3</v>
      </c>
      <c r="J511" s="68">
        <v>3</v>
      </c>
      <c r="K511" s="91">
        <v>223.38</v>
      </c>
      <c r="L511" s="91">
        <v>117.14692764268524</v>
      </c>
      <c r="M511" s="91">
        <v>106.23307235731474</v>
      </c>
      <c r="N511" s="91">
        <v>111.69</v>
      </c>
      <c r="O511" s="91">
        <v>98.287199999999999</v>
      </c>
      <c r="P511" s="91">
        <v>13.402799999999999</v>
      </c>
      <c r="Q511" s="85">
        <v>33.506999999999998</v>
      </c>
      <c r="R511" s="68" t="s">
        <v>1107</v>
      </c>
      <c r="S511" s="86">
        <v>32</v>
      </c>
      <c r="T511" s="68">
        <v>8</v>
      </c>
      <c r="U511" s="68">
        <v>0</v>
      </c>
      <c r="V511" s="68">
        <v>0</v>
      </c>
      <c r="W511" s="68">
        <v>2</v>
      </c>
      <c r="X511" s="68">
        <v>4</v>
      </c>
      <c r="Y511" s="68">
        <v>16</v>
      </c>
      <c r="Z511" s="68">
        <v>0</v>
      </c>
      <c r="AA511" s="68">
        <v>0</v>
      </c>
      <c r="AB511" s="69">
        <v>0</v>
      </c>
      <c r="AC511" s="69">
        <v>0</v>
      </c>
      <c r="AD511" s="70">
        <f>IFERROR(tblTarget[[#This Row],[Cluster Target]]/tblTarget[[#This Row],[Cluster PiN]],0)</f>
        <v>9.6785095320623918E-2</v>
      </c>
      <c r="AE511" s="79">
        <f>_xlfn.XLOOKUP(tblTarget[[#This Row],[ID]],tblResponse[ID],tblResponse[2024 Projected reached (Dec 2024)])</f>
        <v>0</v>
      </c>
      <c r="AF511" s="79">
        <f>_xlfn.XLOOKUP(tblTarget[[#This Row],[ID]],tblResponse[ID],tblResponse[2024 Intercluster reached -August RPM])</f>
        <v>698.51428601626708</v>
      </c>
      <c r="AG511" s="79">
        <v>2</v>
      </c>
      <c r="AH511" s="79"/>
      <c r="AI511" s="79"/>
      <c r="AJ511" s="70" t="str">
        <f>IF(tblTarget[[#This Row],[Target to PiN (%)]]&gt;Targ_vs_PiN,"Flagged","")</f>
        <v/>
      </c>
      <c r="AK511" s="69" t="str">
        <f>IF(AND(tblTarget[[#This Row],[Qualifies for exception]]="Flagged",tblTarget[[#This Row],[Target to PiN (%)]]&gt;Targ_severity5),"Flagged","")</f>
        <v/>
      </c>
      <c r="AL511" s="68" t="str">
        <f>IFERROR(IF(AND(tblTarget[[#This Row],[Intercluser Severity]]=4,tblTarget[[#This Row],[Qualifies for exception]]="Flagged",(tblTarget[[#This Row],[Cluster Target]]-tblTarget[[#This Row],[2024 Response capacity up to December]])/tblTarget[[#This Row],[Cluster Target]]&gt;Diff_severity4),"Flagged",""),"No target")</f>
        <v/>
      </c>
      <c r="AM511" s="68" t="str">
        <f>IFERROR(IF(AND(tblTarget[[#This Row],[Intercluser Severity]]=3,tblTarget[[#This Row],[Qualifies for exception]]="Flagged",(tblTarget[[#This Row],[Cluster Target]]-tblTarget[[#This Row],[2024 Response capacity up to December]])/tblTarget[[#This Row],[Cluster Target]]&gt;Diff_severity3),"Flagged",""),"No target")</f>
        <v>Flagged</v>
      </c>
      <c r="AN511" s="81" t="s">
        <v>1099</v>
      </c>
      <c r="AO511" s="81"/>
      <c r="AP511" s="81" t="s">
        <v>1099</v>
      </c>
      <c r="AQ511" s="81" t="s">
        <v>1107</v>
      </c>
    </row>
    <row r="512" spans="1:43" ht="15.95" hidden="1" customHeight="1" x14ac:dyDescent="0.2">
      <c r="A512" s="62" t="s">
        <v>949</v>
      </c>
      <c r="B512" s="63" t="s">
        <v>298</v>
      </c>
      <c r="C512" s="64" t="s">
        <v>299</v>
      </c>
      <c r="D512" s="63" t="s">
        <v>308</v>
      </c>
      <c r="E512" s="64" t="s">
        <v>309</v>
      </c>
      <c r="F512" s="65">
        <v>32481</v>
      </c>
      <c r="G512" s="66" t="s">
        <v>437</v>
      </c>
      <c r="H512" s="67">
        <v>5100</v>
      </c>
      <c r="I512" s="68">
        <v>3</v>
      </c>
      <c r="J512" s="68">
        <v>3</v>
      </c>
      <c r="K512" s="91">
        <v>1530</v>
      </c>
      <c r="L512" s="91">
        <v>797.56729371337951</v>
      </c>
      <c r="M512" s="91">
        <v>732.4327062866206</v>
      </c>
      <c r="N512" s="91">
        <v>765</v>
      </c>
      <c r="O512" s="91">
        <v>673.2</v>
      </c>
      <c r="P512" s="91">
        <v>91.8</v>
      </c>
      <c r="Q512" s="85">
        <v>229.5</v>
      </c>
      <c r="R512" s="68" t="s">
        <v>1107</v>
      </c>
      <c r="S512" s="86">
        <v>220</v>
      </c>
      <c r="T512" s="68">
        <v>55</v>
      </c>
      <c r="U512" s="68">
        <v>0</v>
      </c>
      <c r="V512" s="68">
        <v>0</v>
      </c>
      <c r="W512" s="68">
        <v>15</v>
      </c>
      <c r="X512" s="68">
        <v>31</v>
      </c>
      <c r="Y512" s="68">
        <v>107</v>
      </c>
      <c r="Z512" s="68">
        <v>0</v>
      </c>
      <c r="AA512" s="68">
        <v>0</v>
      </c>
      <c r="AB512" s="69">
        <v>0</v>
      </c>
      <c r="AC512" s="69">
        <v>0</v>
      </c>
      <c r="AD512" s="70">
        <f>IFERROR(tblTarget[[#This Row],[Cluster Target]]/tblTarget[[#This Row],[Cluster PiN]],0)</f>
        <v>0.3</v>
      </c>
      <c r="AE512" s="79">
        <f>_xlfn.XLOOKUP(tblTarget[[#This Row],[ID]],tblResponse[ID],tblResponse[2024 Projected reached (Dec 2024)])</f>
        <v>0</v>
      </c>
      <c r="AF512" s="79">
        <f>_xlfn.XLOOKUP(tblTarget[[#This Row],[ID]],tblResponse[ID],tblResponse[2024 Intercluster reached -August RPM])</f>
        <v>995.85734117183313</v>
      </c>
      <c r="AG512" s="79">
        <v>2</v>
      </c>
      <c r="AH512" s="79"/>
      <c r="AI512" s="79"/>
      <c r="AJ512" s="70" t="str">
        <f>IF(tblTarget[[#This Row],[Target to PiN (%)]]&gt;Targ_vs_PiN,"Flagged","")</f>
        <v/>
      </c>
      <c r="AK512" s="69" t="str">
        <f>IF(AND(tblTarget[[#This Row],[Qualifies for exception]]="Flagged",tblTarget[[#This Row],[Target to PiN (%)]]&gt;Targ_severity5),"Flagged","")</f>
        <v/>
      </c>
      <c r="AL512" s="68" t="str">
        <f>IFERROR(IF(AND(tblTarget[[#This Row],[Intercluser Severity]]=4,tblTarget[[#This Row],[Qualifies for exception]]="Flagged",(tblTarget[[#This Row],[Cluster Target]]-tblTarget[[#This Row],[2024 Response capacity up to December]])/tblTarget[[#This Row],[Cluster Target]]&gt;Diff_severity4),"Flagged",""),"No target")</f>
        <v/>
      </c>
      <c r="AM512" s="68" t="str">
        <f>IFERROR(IF(AND(tblTarget[[#This Row],[Intercluser Severity]]=3,tblTarget[[#This Row],[Qualifies for exception]]="Flagged",(tblTarget[[#This Row],[Cluster Target]]-tblTarget[[#This Row],[2024 Response capacity up to December]])/tblTarget[[#This Row],[Cluster Target]]&gt;Diff_severity3),"Flagged",""),"No target")</f>
        <v>Flagged</v>
      </c>
      <c r="AN512" s="81" t="s">
        <v>1099</v>
      </c>
      <c r="AO512" s="81"/>
      <c r="AP512" s="81" t="s">
        <v>1099</v>
      </c>
      <c r="AQ512" s="81" t="s">
        <v>1107</v>
      </c>
    </row>
    <row r="513" spans="1:43" ht="15.95" hidden="1" customHeight="1" x14ac:dyDescent="0.2">
      <c r="A513" s="62" t="s">
        <v>950</v>
      </c>
      <c r="B513" s="63" t="s">
        <v>298</v>
      </c>
      <c r="C513" s="64" t="s">
        <v>299</v>
      </c>
      <c r="D513" s="63" t="s">
        <v>310</v>
      </c>
      <c r="E513" s="64" t="s">
        <v>311</v>
      </c>
      <c r="F513" s="65">
        <v>158588</v>
      </c>
      <c r="G513" s="66" t="s">
        <v>437</v>
      </c>
      <c r="H513" s="67">
        <v>1224</v>
      </c>
      <c r="I513" s="68">
        <v>3</v>
      </c>
      <c r="J513" s="68">
        <v>4</v>
      </c>
      <c r="K513" s="91">
        <v>245</v>
      </c>
      <c r="L513" s="91">
        <v>126.8800591491931</v>
      </c>
      <c r="M513" s="91">
        <v>118.1199408508069</v>
      </c>
      <c r="N513" s="91">
        <v>122.5</v>
      </c>
      <c r="O513" s="91">
        <v>107.8</v>
      </c>
      <c r="P513" s="91">
        <v>14.7</v>
      </c>
      <c r="Q513" s="85">
        <v>36.75</v>
      </c>
      <c r="R513" s="68" t="s">
        <v>1107</v>
      </c>
      <c r="S513" s="86">
        <v>35</v>
      </c>
      <c r="T513" s="68">
        <v>9</v>
      </c>
      <c r="U513" s="68">
        <v>0</v>
      </c>
      <c r="V513" s="68">
        <v>0</v>
      </c>
      <c r="W513" s="68">
        <v>2</v>
      </c>
      <c r="X513" s="68">
        <v>5</v>
      </c>
      <c r="Y513" s="68">
        <v>17</v>
      </c>
      <c r="Z513" s="68">
        <v>0</v>
      </c>
      <c r="AA513" s="68">
        <v>0</v>
      </c>
      <c r="AB513" s="69">
        <v>0</v>
      </c>
      <c r="AC513" s="69">
        <v>0</v>
      </c>
      <c r="AD513" s="70">
        <f>IFERROR(tblTarget[[#This Row],[Cluster Target]]/tblTarget[[#This Row],[Cluster PiN]],0)</f>
        <v>0.20016339869281047</v>
      </c>
      <c r="AE513" s="79">
        <f>_xlfn.XLOOKUP(tblTarget[[#This Row],[ID]],tblResponse[ID],tblResponse[2024 Projected reached (Dec 2024)])</f>
        <v>0</v>
      </c>
      <c r="AF513" s="79">
        <f>_xlfn.XLOOKUP(tblTarget[[#This Row],[ID]],tblResponse[ID],tblResponse[2024 Intercluster reached -August RPM])</f>
        <v>1460.2037372931211</v>
      </c>
      <c r="AG513" s="79">
        <v>7</v>
      </c>
      <c r="AH513" s="79"/>
      <c r="AI513" s="79"/>
      <c r="AJ513" s="70" t="str">
        <f>IF(tblTarget[[#This Row],[Target to PiN (%)]]&gt;Targ_vs_PiN,"Flagged","")</f>
        <v/>
      </c>
      <c r="AK513" s="69" t="str">
        <f>IF(AND(tblTarget[[#This Row],[Qualifies for exception]]="Flagged",tblTarget[[#This Row],[Target to PiN (%)]]&gt;Targ_severity5),"Flagged","")</f>
        <v/>
      </c>
      <c r="AL513" s="68" t="str">
        <f>IFERROR(IF(AND(tblTarget[[#This Row],[Intercluser Severity]]=4,tblTarget[[#This Row],[Qualifies for exception]]="Flagged",(tblTarget[[#This Row],[Cluster Target]]-tblTarget[[#This Row],[2024 Response capacity up to December]])/tblTarget[[#This Row],[Cluster Target]]&gt;Diff_severity4),"Flagged",""),"No target")</f>
        <v>Flagged</v>
      </c>
      <c r="AM513" s="68" t="str">
        <f>IFERROR(IF(AND(tblTarget[[#This Row],[Intercluser Severity]]=3,tblTarget[[#This Row],[Qualifies for exception]]="Flagged",(tblTarget[[#This Row],[Cluster Target]]-tblTarget[[#This Row],[2024 Response capacity up to December]])/tblTarget[[#This Row],[Cluster Target]]&gt;Diff_severity3),"Flagged",""),"No target")</f>
        <v/>
      </c>
      <c r="AN513" s="81" t="s">
        <v>1099</v>
      </c>
      <c r="AO513" s="81"/>
      <c r="AP513" s="81" t="s">
        <v>1099</v>
      </c>
      <c r="AQ513" s="81" t="s">
        <v>1107</v>
      </c>
    </row>
    <row r="514" spans="1:43" ht="15.95" hidden="1" customHeight="1" x14ac:dyDescent="0.2">
      <c r="A514" s="62" t="s">
        <v>951</v>
      </c>
      <c r="B514" s="63" t="s">
        <v>298</v>
      </c>
      <c r="C514" s="64" t="s">
        <v>299</v>
      </c>
      <c r="D514" s="63" t="s">
        <v>312</v>
      </c>
      <c r="E514" s="64" t="s">
        <v>313</v>
      </c>
      <c r="F514" s="65">
        <v>116487</v>
      </c>
      <c r="G514" s="66" t="s">
        <v>437</v>
      </c>
      <c r="H514" s="67">
        <v>13458</v>
      </c>
      <c r="I514" s="68">
        <v>3</v>
      </c>
      <c r="J514" s="68">
        <v>3</v>
      </c>
      <c r="K514" s="91">
        <v>412.02</v>
      </c>
      <c r="L514" s="91">
        <v>215.79646563655589</v>
      </c>
      <c r="M514" s="91">
        <v>196.22353436344406</v>
      </c>
      <c r="N514" s="91">
        <v>206.01</v>
      </c>
      <c r="O514" s="91">
        <v>181.28879999999998</v>
      </c>
      <c r="P514" s="91">
        <v>24.7212</v>
      </c>
      <c r="Q514" s="85">
        <v>61.802999999999997</v>
      </c>
      <c r="R514" s="68" t="s">
        <v>1107</v>
      </c>
      <c r="S514" s="86">
        <v>59</v>
      </c>
      <c r="T514" s="68">
        <v>15</v>
      </c>
      <c r="U514" s="68">
        <v>0</v>
      </c>
      <c r="V514" s="68">
        <v>0</v>
      </c>
      <c r="W514" s="68">
        <v>4</v>
      </c>
      <c r="X514" s="68">
        <v>8</v>
      </c>
      <c r="Y514" s="68">
        <v>29</v>
      </c>
      <c r="Z514" s="68">
        <v>0</v>
      </c>
      <c r="AA514" s="68">
        <v>0</v>
      </c>
      <c r="AB514" s="69">
        <v>0</v>
      </c>
      <c r="AC514" s="69">
        <v>0</v>
      </c>
      <c r="AD514" s="70">
        <f>IFERROR(tblTarget[[#This Row],[Cluster Target]]/tblTarget[[#This Row],[Cluster PiN]],0)</f>
        <v>3.0615247436469012E-2</v>
      </c>
      <c r="AE514" s="79">
        <f>_xlfn.XLOOKUP(tblTarget[[#This Row],[ID]],tblResponse[ID],tblResponse[2024 Projected reached (Dec 2024)])</f>
        <v>0</v>
      </c>
      <c r="AF514" s="79">
        <f>_xlfn.XLOOKUP(tblTarget[[#This Row],[ID]],tblResponse[ID],tblResponse[2024 Intercluster reached -August RPM])</f>
        <v>766.92923878197337</v>
      </c>
      <c r="AG514" s="79">
        <v>2</v>
      </c>
      <c r="AH514" s="79"/>
      <c r="AI514" s="79"/>
      <c r="AJ514" s="70" t="str">
        <f>IF(tblTarget[[#This Row],[Target to PiN (%)]]&gt;Targ_vs_PiN,"Flagged","")</f>
        <v/>
      </c>
      <c r="AK514" s="69" t="str">
        <f>IF(AND(tblTarget[[#This Row],[Qualifies for exception]]="Flagged",tblTarget[[#This Row],[Target to PiN (%)]]&gt;Targ_severity5),"Flagged","")</f>
        <v/>
      </c>
      <c r="AL514" s="68" t="str">
        <f>IFERROR(IF(AND(tblTarget[[#This Row],[Intercluser Severity]]=4,tblTarget[[#This Row],[Qualifies for exception]]="Flagged",(tblTarget[[#This Row],[Cluster Target]]-tblTarget[[#This Row],[2024 Response capacity up to December]])/tblTarget[[#This Row],[Cluster Target]]&gt;Diff_severity4),"Flagged",""),"No target")</f>
        <v/>
      </c>
      <c r="AM514" s="68" t="str">
        <f>IFERROR(IF(AND(tblTarget[[#This Row],[Intercluser Severity]]=3,tblTarget[[#This Row],[Qualifies for exception]]="Flagged",(tblTarget[[#This Row],[Cluster Target]]-tblTarget[[#This Row],[2024 Response capacity up to December]])/tblTarget[[#This Row],[Cluster Target]]&gt;Diff_severity3),"Flagged",""),"No target")</f>
        <v>Flagged</v>
      </c>
      <c r="AN514" s="81" t="s">
        <v>1099</v>
      </c>
      <c r="AO514" s="81"/>
      <c r="AP514" s="81" t="s">
        <v>1099</v>
      </c>
      <c r="AQ514" s="81" t="s">
        <v>1107</v>
      </c>
    </row>
    <row r="515" spans="1:43" ht="15.95" hidden="1" customHeight="1" x14ac:dyDescent="0.2">
      <c r="A515" s="62" t="s">
        <v>952</v>
      </c>
      <c r="B515" s="63" t="s">
        <v>298</v>
      </c>
      <c r="C515" s="64" t="s">
        <v>299</v>
      </c>
      <c r="D515" s="63" t="s">
        <v>314</v>
      </c>
      <c r="E515" s="64" t="s">
        <v>315</v>
      </c>
      <c r="F515" s="65">
        <v>396010</v>
      </c>
      <c r="G515" s="66" t="s">
        <v>437</v>
      </c>
      <c r="H515" s="67">
        <v>8941</v>
      </c>
      <c r="I515" s="68">
        <v>3</v>
      </c>
      <c r="J515" s="68">
        <v>3</v>
      </c>
      <c r="K515" s="91">
        <v>2682.5</v>
      </c>
      <c r="L515" s="91">
        <v>1375.0589170439587</v>
      </c>
      <c r="M515" s="91">
        <v>1307.4410829560413</v>
      </c>
      <c r="N515" s="91">
        <v>1341.25</v>
      </c>
      <c r="O515" s="91">
        <v>1180.3</v>
      </c>
      <c r="P515" s="91">
        <v>160.94999999999999</v>
      </c>
      <c r="Q515" s="85">
        <v>402.375</v>
      </c>
      <c r="R515" s="68" t="s">
        <v>1107</v>
      </c>
      <c r="S515" s="86">
        <v>386</v>
      </c>
      <c r="T515" s="68">
        <v>97</v>
      </c>
      <c r="U515" s="68">
        <v>0</v>
      </c>
      <c r="V515" s="68">
        <v>0</v>
      </c>
      <c r="W515" s="68">
        <v>27</v>
      </c>
      <c r="X515" s="68">
        <v>54</v>
      </c>
      <c r="Y515" s="68">
        <v>188</v>
      </c>
      <c r="Z515" s="68">
        <v>0</v>
      </c>
      <c r="AA515" s="68">
        <v>0</v>
      </c>
      <c r="AB515" s="69">
        <v>0</v>
      </c>
      <c r="AC515" s="69">
        <v>0</v>
      </c>
      <c r="AD515" s="70">
        <f>IFERROR(tblTarget[[#This Row],[Cluster Target]]/tblTarget[[#This Row],[Cluster PiN]],0)</f>
        <v>0.30002236886254335</v>
      </c>
      <c r="AE515" s="79">
        <f>_xlfn.XLOOKUP(tblTarget[[#This Row],[ID]],tblResponse[ID],tblResponse[2024 Projected reached (Dec 2024)])</f>
        <v>0</v>
      </c>
      <c r="AF515" s="79">
        <f>_xlfn.XLOOKUP(tblTarget[[#This Row],[ID]],tblResponse[ID],tblResponse[2024 Intercluster reached -August RPM])</f>
        <v>1642.1821527763148</v>
      </c>
      <c r="AG515" s="79">
        <v>10</v>
      </c>
      <c r="AH515" s="79"/>
      <c r="AI515" s="79"/>
      <c r="AJ515" s="70" t="str">
        <f>IF(tblTarget[[#This Row],[Target to PiN (%)]]&gt;Targ_vs_PiN,"Flagged","")</f>
        <v/>
      </c>
      <c r="AK515" s="69" t="str">
        <f>IF(AND(tblTarget[[#This Row],[Qualifies for exception]]="Flagged",tblTarget[[#This Row],[Target to PiN (%)]]&gt;Targ_severity5),"Flagged","")</f>
        <v/>
      </c>
      <c r="AL515" s="68" t="str">
        <f>IFERROR(IF(AND(tblTarget[[#This Row],[Intercluser Severity]]=4,tblTarget[[#This Row],[Qualifies for exception]]="Flagged",(tblTarget[[#This Row],[Cluster Target]]-tblTarget[[#This Row],[2024 Response capacity up to December]])/tblTarget[[#This Row],[Cluster Target]]&gt;Diff_severity4),"Flagged",""),"No target")</f>
        <v/>
      </c>
      <c r="AM515" s="68" t="str">
        <f>IFERROR(IF(AND(tblTarget[[#This Row],[Intercluser Severity]]=3,tblTarget[[#This Row],[Qualifies for exception]]="Flagged",(tblTarget[[#This Row],[Cluster Target]]-tblTarget[[#This Row],[2024 Response capacity up to December]])/tblTarget[[#This Row],[Cluster Target]]&gt;Diff_severity3),"Flagged",""),"No target")</f>
        <v>Flagged</v>
      </c>
      <c r="AN515" s="81" t="s">
        <v>1099</v>
      </c>
      <c r="AO515" s="81"/>
      <c r="AP515" s="81" t="s">
        <v>1099</v>
      </c>
      <c r="AQ515" s="81" t="s">
        <v>1107</v>
      </c>
    </row>
    <row r="516" spans="1:43" ht="15.95" hidden="1" customHeight="1" x14ac:dyDescent="0.2">
      <c r="A516" s="62" t="s">
        <v>953</v>
      </c>
      <c r="B516" s="63" t="s">
        <v>298</v>
      </c>
      <c r="C516" s="64" t="s">
        <v>299</v>
      </c>
      <c r="D516" s="63" t="s">
        <v>316</v>
      </c>
      <c r="E516" s="64" t="s">
        <v>317</v>
      </c>
      <c r="F516" s="65">
        <v>177476</v>
      </c>
      <c r="G516" s="66" t="s">
        <v>437</v>
      </c>
      <c r="H516" s="67">
        <v>13782</v>
      </c>
      <c r="I516" s="68">
        <v>3</v>
      </c>
      <c r="J516" s="68">
        <v>3</v>
      </c>
      <c r="K516" s="91">
        <v>351.9</v>
      </c>
      <c r="L516" s="91">
        <v>179.53574601785255</v>
      </c>
      <c r="M516" s="91">
        <v>172.36425398214743</v>
      </c>
      <c r="N516" s="91">
        <v>175.95</v>
      </c>
      <c r="O516" s="91">
        <v>154.83599999999998</v>
      </c>
      <c r="P516" s="91">
        <v>21.113999999999997</v>
      </c>
      <c r="Q516" s="85">
        <v>52.784999999999997</v>
      </c>
      <c r="R516" s="68" t="s">
        <v>1107</v>
      </c>
      <c r="S516" s="86">
        <v>51</v>
      </c>
      <c r="T516" s="68">
        <v>13</v>
      </c>
      <c r="U516" s="68">
        <v>0</v>
      </c>
      <c r="V516" s="68">
        <v>0</v>
      </c>
      <c r="W516" s="68">
        <v>4</v>
      </c>
      <c r="X516" s="68">
        <v>7</v>
      </c>
      <c r="Y516" s="68">
        <v>25</v>
      </c>
      <c r="Z516" s="68">
        <v>0</v>
      </c>
      <c r="AA516" s="68">
        <v>0</v>
      </c>
      <c r="AB516" s="69">
        <v>0</v>
      </c>
      <c r="AC516" s="69">
        <v>0</v>
      </c>
      <c r="AD516" s="70">
        <f>IFERROR(tblTarget[[#This Row],[Cluster Target]]/tblTarget[[#This Row],[Cluster PiN]],0)</f>
        <v>2.5533304309969525E-2</v>
      </c>
      <c r="AE516" s="79">
        <f>_xlfn.XLOOKUP(tblTarget[[#This Row],[ID]],tblResponse[ID],tblResponse[2024 Projected reached (Dec 2024)])</f>
        <v>0</v>
      </c>
      <c r="AF516" s="79">
        <f>_xlfn.XLOOKUP(tblTarget[[#This Row],[ID]],tblResponse[ID],tblResponse[2024 Intercluster reached -August RPM])</f>
        <v>1765.6744173856052</v>
      </c>
      <c r="AG516" s="79">
        <v>5</v>
      </c>
      <c r="AH516" s="79"/>
      <c r="AI516" s="79"/>
      <c r="AJ516" s="70" t="str">
        <f>IF(tblTarget[[#This Row],[Target to PiN (%)]]&gt;Targ_vs_PiN,"Flagged","")</f>
        <v/>
      </c>
      <c r="AK516" s="69" t="str">
        <f>IF(AND(tblTarget[[#This Row],[Qualifies for exception]]="Flagged",tblTarget[[#This Row],[Target to PiN (%)]]&gt;Targ_severity5),"Flagged","")</f>
        <v/>
      </c>
      <c r="AL516" s="68" t="str">
        <f>IFERROR(IF(AND(tblTarget[[#This Row],[Intercluser Severity]]=4,tblTarget[[#This Row],[Qualifies for exception]]="Flagged",(tblTarget[[#This Row],[Cluster Target]]-tblTarget[[#This Row],[2024 Response capacity up to December]])/tblTarget[[#This Row],[Cluster Target]]&gt;Diff_severity4),"Flagged",""),"No target")</f>
        <v/>
      </c>
      <c r="AM516" s="68" t="str">
        <f>IFERROR(IF(AND(tblTarget[[#This Row],[Intercluser Severity]]=3,tblTarget[[#This Row],[Qualifies for exception]]="Flagged",(tblTarget[[#This Row],[Cluster Target]]-tblTarget[[#This Row],[2024 Response capacity up to December]])/tblTarget[[#This Row],[Cluster Target]]&gt;Diff_severity3),"Flagged",""),"No target")</f>
        <v>Flagged</v>
      </c>
      <c r="AN516" s="81" t="s">
        <v>1099</v>
      </c>
      <c r="AO516" s="81"/>
      <c r="AP516" s="81" t="s">
        <v>1099</v>
      </c>
      <c r="AQ516" s="81" t="s">
        <v>1107</v>
      </c>
    </row>
    <row r="517" spans="1:43" ht="15.95" hidden="1" customHeight="1" x14ac:dyDescent="0.2">
      <c r="A517" s="62" t="s">
        <v>954</v>
      </c>
      <c r="B517" s="63" t="s">
        <v>298</v>
      </c>
      <c r="C517" s="64" t="s">
        <v>299</v>
      </c>
      <c r="D517" s="63" t="s">
        <v>318</v>
      </c>
      <c r="E517" s="64" t="s">
        <v>319</v>
      </c>
      <c r="F517" s="65">
        <v>0</v>
      </c>
      <c r="G517" s="66" t="s">
        <v>437</v>
      </c>
      <c r="H517" s="67">
        <v>0</v>
      </c>
      <c r="I517" s="68">
        <v>3</v>
      </c>
      <c r="J517" s="68">
        <v>3</v>
      </c>
      <c r="K517" s="91">
        <v>0</v>
      </c>
      <c r="L517" s="91">
        <v>0</v>
      </c>
      <c r="M517" s="91">
        <v>0</v>
      </c>
      <c r="N517" s="91">
        <v>0</v>
      </c>
      <c r="O517" s="91">
        <v>0</v>
      </c>
      <c r="P517" s="91">
        <v>0</v>
      </c>
      <c r="Q517" s="85">
        <v>0</v>
      </c>
      <c r="R517" s="68" t="s">
        <v>1107</v>
      </c>
      <c r="S517" s="86">
        <v>0</v>
      </c>
      <c r="T517" s="68">
        <v>0</v>
      </c>
      <c r="U517" s="68">
        <v>0</v>
      </c>
      <c r="V517" s="68">
        <v>0</v>
      </c>
      <c r="W517" s="68">
        <v>0</v>
      </c>
      <c r="X517" s="68">
        <v>0</v>
      </c>
      <c r="Y517" s="68">
        <v>0</v>
      </c>
      <c r="Z517" s="68">
        <v>0</v>
      </c>
      <c r="AA517" s="68">
        <v>0</v>
      </c>
      <c r="AB517" s="69">
        <v>0</v>
      </c>
      <c r="AC517" s="69">
        <v>0</v>
      </c>
      <c r="AD517" s="70">
        <f>IFERROR(tblTarget[[#This Row],[Cluster Target]]/tblTarget[[#This Row],[Cluster PiN]],0)</f>
        <v>0</v>
      </c>
      <c r="AE517" s="79">
        <f>_xlfn.XLOOKUP(tblTarget[[#This Row],[ID]],tblResponse[ID],tblResponse[2024 Projected reached (Dec 2024)])</f>
        <v>0</v>
      </c>
      <c r="AF517" s="79">
        <f>_xlfn.XLOOKUP(tblTarget[[#This Row],[ID]],tblResponse[ID],tblResponse[2024 Intercluster reached -August RPM])</f>
        <v>244.90052282449923</v>
      </c>
      <c r="AG517" s="79">
        <v>6</v>
      </c>
      <c r="AH517" s="79"/>
      <c r="AI517" s="79"/>
      <c r="AJ517" s="70" t="str">
        <f>IF(tblTarget[[#This Row],[Target to PiN (%)]]&gt;Targ_vs_PiN,"Flagged","")</f>
        <v/>
      </c>
      <c r="AK517" s="69" t="str">
        <f>IF(AND(tblTarget[[#This Row],[Qualifies for exception]]="Flagged",tblTarget[[#This Row],[Target to PiN (%)]]&gt;Targ_severity5),"Flagged","")</f>
        <v/>
      </c>
      <c r="AL517" s="68" t="str">
        <f>IFERROR(IF(AND(tblTarget[[#This Row],[Intercluser Severity]]=4,tblTarget[[#This Row],[Qualifies for exception]]="Flagged",(tblTarget[[#This Row],[Cluster Target]]-tblTarget[[#This Row],[2024 Response capacity up to December]])/tblTarget[[#This Row],[Cluster Target]]&gt;Diff_severity4),"Flagged",""),"No target")</f>
        <v>No target</v>
      </c>
      <c r="AM517" s="68" t="str">
        <f>IFERROR(IF(AND(tblTarget[[#This Row],[Intercluser Severity]]=3,tblTarget[[#This Row],[Qualifies for exception]]="Flagged",(tblTarget[[#This Row],[Cluster Target]]-tblTarget[[#This Row],[2024 Response capacity up to December]])/tblTarget[[#This Row],[Cluster Target]]&gt;Diff_severity3),"Flagged",""),"No target")</f>
        <v>No target</v>
      </c>
      <c r="AN517" s="81" t="s">
        <v>1099</v>
      </c>
      <c r="AO517" s="81"/>
      <c r="AP517" s="81" t="s">
        <v>1099</v>
      </c>
      <c r="AQ517" s="81" t="s">
        <v>1107</v>
      </c>
    </row>
    <row r="518" spans="1:43" ht="15.95" hidden="1" customHeight="1" x14ac:dyDescent="0.2">
      <c r="A518" s="62" t="s">
        <v>955</v>
      </c>
      <c r="B518" s="63" t="s">
        <v>298</v>
      </c>
      <c r="C518" s="64" t="s">
        <v>299</v>
      </c>
      <c r="D518" s="63" t="s">
        <v>320</v>
      </c>
      <c r="E518" s="64" t="s">
        <v>321</v>
      </c>
      <c r="F518" s="65">
        <v>135437</v>
      </c>
      <c r="G518" s="66" t="s">
        <v>437</v>
      </c>
      <c r="H518" s="67">
        <v>0</v>
      </c>
      <c r="I518" s="68">
        <v>3</v>
      </c>
      <c r="J518" s="68">
        <v>3</v>
      </c>
      <c r="K518" s="91">
        <v>0</v>
      </c>
      <c r="L518" s="91">
        <v>0</v>
      </c>
      <c r="M518" s="91">
        <v>0</v>
      </c>
      <c r="N518" s="91">
        <v>0</v>
      </c>
      <c r="O518" s="91">
        <v>0</v>
      </c>
      <c r="P518" s="91">
        <v>0</v>
      </c>
      <c r="Q518" s="85">
        <v>0</v>
      </c>
      <c r="R518" s="68" t="s">
        <v>1107</v>
      </c>
      <c r="S518" s="86">
        <v>0</v>
      </c>
      <c r="T518" s="68">
        <v>0</v>
      </c>
      <c r="U518" s="68">
        <v>0</v>
      </c>
      <c r="V518" s="68">
        <v>0</v>
      </c>
      <c r="W518" s="68">
        <v>0</v>
      </c>
      <c r="X518" s="68">
        <v>0</v>
      </c>
      <c r="Y518" s="68">
        <v>0</v>
      </c>
      <c r="Z518" s="68">
        <v>0</v>
      </c>
      <c r="AA518" s="68">
        <v>0</v>
      </c>
      <c r="AB518" s="69">
        <v>0</v>
      </c>
      <c r="AC518" s="69">
        <v>0</v>
      </c>
      <c r="AD518" s="70">
        <f>IFERROR(tblTarget[[#This Row],[Cluster Target]]/tblTarget[[#This Row],[Cluster PiN]],0)</f>
        <v>0</v>
      </c>
      <c r="AE518" s="79">
        <f>_xlfn.XLOOKUP(tblTarget[[#This Row],[ID]],tblResponse[ID],tblResponse[2024 Projected reached (Dec 2024)])</f>
        <v>0</v>
      </c>
      <c r="AF518" s="79">
        <f>_xlfn.XLOOKUP(tblTarget[[#This Row],[ID]],tblResponse[ID],tblResponse[2024 Intercluster reached -August RPM])</f>
        <v>1276.8558318938167</v>
      </c>
      <c r="AG518" s="79">
        <v>2</v>
      </c>
      <c r="AH518" s="79"/>
      <c r="AI518" s="79"/>
      <c r="AJ518" s="70" t="str">
        <f>IF(tblTarget[[#This Row],[Target to PiN (%)]]&gt;Targ_vs_PiN,"Flagged","")</f>
        <v/>
      </c>
      <c r="AK518" s="69" t="str">
        <f>IF(AND(tblTarget[[#This Row],[Qualifies for exception]]="Flagged",tblTarget[[#This Row],[Target to PiN (%)]]&gt;Targ_severity5),"Flagged","")</f>
        <v/>
      </c>
      <c r="AL518" s="68" t="str">
        <f>IFERROR(IF(AND(tblTarget[[#This Row],[Intercluser Severity]]=4,tblTarget[[#This Row],[Qualifies for exception]]="Flagged",(tblTarget[[#This Row],[Cluster Target]]-tblTarget[[#This Row],[2024 Response capacity up to December]])/tblTarget[[#This Row],[Cluster Target]]&gt;Diff_severity4),"Flagged",""),"No target")</f>
        <v>No target</v>
      </c>
      <c r="AM518" s="68" t="str">
        <f>IFERROR(IF(AND(tblTarget[[#This Row],[Intercluser Severity]]=3,tblTarget[[#This Row],[Qualifies for exception]]="Flagged",(tblTarget[[#This Row],[Cluster Target]]-tblTarget[[#This Row],[2024 Response capacity up to December]])/tblTarget[[#This Row],[Cluster Target]]&gt;Diff_severity3),"Flagged",""),"No target")</f>
        <v>No target</v>
      </c>
      <c r="AN518" s="81" t="s">
        <v>1099</v>
      </c>
      <c r="AO518" s="81"/>
      <c r="AP518" s="81" t="s">
        <v>1099</v>
      </c>
      <c r="AQ518" s="81" t="s">
        <v>1107</v>
      </c>
    </row>
    <row r="519" spans="1:43" ht="15.95" hidden="1" customHeight="1" x14ac:dyDescent="0.2">
      <c r="A519" s="62" t="s">
        <v>956</v>
      </c>
      <c r="B519" s="63" t="s">
        <v>298</v>
      </c>
      <c r="C519" s="64" t="s">
        <v>299</v>
      </c>
      <c r="D519" s="63" t="s">
        <v>322</v>
      </c>
      <c r="E519" s="64" t="s">
        <v>323</v>
      </c>
      <c r="F519" s="65">
        <v>203193</v>
      </c>
      <c r="G519" s="66" t="s">
        <v>437</v>
      </c>
      <c r="H519" s="67">
        <v>4948</v>
      </c>
      <c r="I519" s="68">
        <v>3</v>
      </c>
      <c r="J519" s="68">
        <v>3</v>
      </c>
      <c r="K519" s="91">
        <v>989.5</v>
      </c>
      <c r="L519" s="91">
        <v>512.60010463373669</v>
      </c>
      <c r="M519" s="91">
        <v>476.89989536626331</v>
      </c>
      <c r="N519" s="91">
        <v>494.75</v>
      </c>
      <c r="O519" s="91">
        <v>435.38</v>
      </c>
      <c r="P519" s="91">
        <v>59.37</v>
      </c>
      <c r="Q519" s="85">
        <v>148.42499999999998</v>
      </c>
      <c r="R519" s="68" t="s">
        <v>1107</v>
      </c>
      <c r="S519" s="86">
        <v>142</v>
      </c>
      <c r="T519" s="68">
        <v>36</v>
      </c>
      <c r="U519" s="68">
        <v>0</v>
      </c>
      <c r="V519" s="68">
        <v>0</v>
      </c>
      <c r="W519" s="68">
        <v>10</v>
      </c>
      <c r="X519" s="68">
        <v>20</v>
      </c>
      <c r="Y519" s="68">
        <v>69</v>
      </c>
      <c r="Z519" s="68">
        <v>0</v>
      </c>
      <c r="AA519" s="68">
        <v>0</v>
      </c>
      <c r="AB519" s="69">
        <v>0</v>
      </c>
      <c r="AC519" s="69">
        <v>0</v>
      </c>
      <c r="AD519" s="70">
        <f>IFERROR(tblTarget[[#This Row],[Cluster Target]]/tblTarget[[#This Row],[Cluster PiN]],0)</f>
        <v>0.19997978981406628</v>
      </c>
      <c r="AE519" s="79">
        <f>_xlfn.XLOOKUP(tblTarget[[#This Row],[ID]],tblResponse[ID],tblResponse[2024 Projected reached (Dec 2024)])</f>
        <v>0</v>
      </c>
      <c r="AF519" s="79">
        <f>_xlfn.XLOOKUP(tblTarget[[#This Row],[ID]],tblResponse[ID],tblResponse[2024 Intercluster reached -August RPM])</f>
        <v>417.09899401546733</v>
      </c>
      <c r="AG519" s="79">
        <v>2</v>
      </c>
      <c r="AH519" s="79"/>
      <c r="AI519" s="79"/>
      <c r="AJ519" s="70" t="str">
        <f>IF(tblTarget[[#This Row],[Target to PiN (%)]]&gt;Targ_vs_PiN,"Flagged","")</f>
        <v/>
      </c>
      <c r="AK519" s="69" t="str">
        <f>IF(AND(tblTarget[[#This Row],[Qualifies for exception]]="Flagged",tblTarget[[#This Row],[Target to PiN (%)]]&gt;Targ_severity5),"Flagged","")</f>
        <v/>
      </c>
      <c r="AL519" s="68" t="str">
        <f>IFERROR(IF(AND(tblTarget[[#This Row],[Intercluser Severity]]=4,tblTarget[[#This Row],[Qualifies for exception]]="Flagged",(tblTarget[[#This Row],[Cluster Target]]-tblTarget[[#This Row],[2024 Response capacity up to December]])/tblTarget[[#This Row],[Cluster Target]]&gt;Diff_severity4),"Flagged",""),"No target")</f>
        <v/>
      </c>
      <c r="AM519" s="68" t="str">
        <f>IFERROR(IF(AND(tblTarget[[#This Row],[Intercluser Severity]]=3,tblTarget[[#This Row],[Qualifies for exception]]="Flagged",(tblTarget[[#This Row],[Cluster Target]]-tblTarget[[#This Row],[2024 Response capacity up to December]])/tblTarget[[#This Row],[Cluster Target]]&gt;Diff_severity3),"Flagged",""),"No target")</f>
        <v>Flagged</v>
      </c>
      <c r="AN519" s="81" t="s">
        <v>1099</v>
      </c>
      <c r="AO519" s="81"/>
      <c r="AP519" s="81" t="s">
        <v>1099</v>
      </c>
      <c r="AQ519" s="81" t="s">
        <v>1107</v>
      </c>
    </row>
    <row r="520" spans="1:43" ht="15.95" customHeight="1" x14ac:dyDescent="0.2">
      <c r="A520" s="62" t="s">
        <v>957</v>
      </c>
      <c r="B520" s="63" t="s">
        <v>324</v>
      </c>
      <c r="C520" s="64" t="s">
        <v>325</v>
      </c>
      <c r="D520" s="63" t="s">
        <v>326</v>
      </c>
      <c r="E520" s="64" t="s">
        <v>327</v>
      </c>
      <c r="F520" s="65">
        <v>521374</v>
      </c>
      <c r="G520" s="66" t="s">
        <v>437</v>
      </c>
      <c r="H520" s="67">
        <v>3043</v>
      </c>
      <c r="I520" s="68">
        <v>3</v>
      </c>
      <c r="J520" s="68">
        <v>4</v>
      </c>
      <c r="K520" s="91">
        <v>76</v>
      </c>
      <c r="L520" s="91">
        <v>40.327535715699071</v>
      </c>
      <c r="M520" s="91">
        <v>35.672464284300922</v>
      </c>
      <c r="N520" s="91">
        <v>38</v>
      </c>
      <c r="O520" s="91">
        <v>33.44</v>
      </c>
      <c r="P520" s="91">
        <v>4.5599999999999996</v>
      </c>
      <c r="Q520" s="85">
        <v>11.4</v>
      </c>
      <c r="R520" s="68" t="s">
        <v>15</v>
      </c>
      <c r="S520" s="86">
        <v>11</v>
      </c>
      <c r="T520" s="68">
        <v>3</v>
      </c>
      <c r="U520" s="68">
        <v>0</v>
      </c>
      <c r="V520" s="68">
        <v>0</v>
      </c>
      <c r="W520" s="68">
        <v>1</v>
      </c>
      <c r="X520" s="68">
        <v>2</v>
      </c>
      <c r="Y520" s="68">
        <v>5</v>
      </c>
      <c r="Z520" s="68">
        <v>0</v>
      </c>
      <c r="AA520" s="68">
        <v>0</v>
      </c>
      <c r="AB520" s="69">
        <v>0</v>
      </c>
      <c r="AC520" s="69">
        <v>0</v>
      </c>
      <c r="AD520" s="70">
        <f>IFERROR(tblTarget[[#This Row],[Cluster Target]]/tblTarget[[#This Row],[Cluster PiN]],0)</f>
        <v>2.4975353269799539E-2</v>
      </c>
      <c r="AE520" s="79">
        <f>_xlfn.XLOOKUP(tblTarget[[#This Row],[ID]],tblResponse[ID],tblResponse[2024 Projected reached (Dec 2024)])</f>
        <v>0</v>
      </c>
      <c r="AF520" s="79">
        <f>_xlfn.XLOOKUP(tblTarget[[#This Row],[ID]],tblResponse[ID],tblResponse[2024 Intercluster reached -August RPM])</f>
        <v>16.761365712398867</v>
      </c>
      <c r="AG520" s="79">
        <v>1</v>
      </c>
      <c r="AH520" s="79"/>
      <c r="AI520" s="79"/>
      <c r="AJ520" s="70" t="str">
        <f>IF(tblTarget[[#This Row],[Target to PiN (%)]]&gt;Targ_vs_PiN,"Flagged","")</f>
        <v/>
      </c>
      <c r="AK520" s="69" t="str">
        <f>IF(AND(tblTarget[[#This Row],[Qualifies for exception]]="Flagged",tblTarget[[#This Row],[Target to PiN (%)]]&gt;Targ_severity5),"Flagged","")</f>
        <v/>
      </c>
      <c r="AL520" s="68" t="str">
        <f>IFERROR(IF(AND(tblTarget[[#This Row],[Intercluser Severity]]=4,tblTarget[[#This Row],[Qualifies for exception]]="Flagged",(tblTarget[[#This Row],[Cluster Target]]-tblTarget[[#This Row],[2024 Response capacity up to December]])/tblTarget[[#This Row],[Cluster Target]]&gt;Diff_severity4),"Flagged",""),"No target")</f>
        <v/>
      </c>
      <c r="AM520" s="68" t="str">
        <f>IFERROR(IF(AND(tblTarget[[#This Row],[Intercluser Severity]]=3,tblTarget[[#This Row],[Qualifies for exception]]="Flagged",(tblTarget[[#This Row],[Cluster Target]]-tblTarget[[#This Row],[2024 Response capacity up to December]])/tblTarget[[#This Row],[Cluster Target]]&gt;Diff_severity3),"Flagged",""),"No target")</f>
        <v/>
      </c>
      <c r="AN520" s="81" t="s">
        <v>1099</v>
      </c>
      <c r="AO520" s="81"/>
      <c r="AP520" s="81" t="s">
        <v>15</v>
      </c>
      <c r="AQ520" s="81" t="s">
        <v>1098</v>
      </c>
    </row>
    <row r="521" spans="1:43" ht="15.95" customHeight="1" x14ac:dyDescent="0.2">
      <c r="A521" s="62" t="s">
        <v>958</v>
      </c>
      <c r="B521" s="63" t="s">
        <v>324</v>
      </c>
      <c r="C521" s="64" t="s">
        <v>325</v>
      </c>
      <c r="D521" s="63" t="s">
        <v>328</v>
      </c>
      <c r="E521" s="64" t="s">
        <v>329</v>
      </c>
      <c r="F521" s="65">
        <v>782222</v>
      </c>
      <c r="G521" s="66" t="s">
        <v>437</v>
      </c>
      <c r="H521" s="67">
        <v>78126</v>
      </c>
      <c r="I521" s="68">
        <v>3</v>
      </c>
      <c r="J521" s="68">
        <v>4</v>
      </c>
      <c r="K521" s="91">
        <v>1503.36</v>
      </c>
      <c r="L521" s="91">
        <v>774.22815903277046</v>
      </c>
      <c r="M521" s="91">
        <v>729.13184096722932</v>
      </c>
      <c r="N521" s="91">
        <v>751.68</v>
      </c>
      <c r="O521" s="91">
        <v>661.47839999999997</v>
      </c>
      <c r="P521" s="91">
        <v>90.201599999999985</v>
      </c>
      <c r="Q521" s="85">
        <v>225.50399999999999</v>
      </c>
      <c r="R521" s="68" t="s">
        <v>15</v>
      </c>
      <c r="S521" s="86">
        <v>216</v>
      </c>
      <c r="T521" s="68">
        <v>54</v>
      </c>
      <c r="U521" s="68">
        <v>0</v>
      </c>
      <c r="V521" s="68">
        <v>0</v>
      </c>
      <c r="W521" s="68">
        <v>15</v>
      </c>
      <c r="X521" s="68">
        <v>30</v>
      </c>
      <c r="Y521" s="68">
        <v>105</v>
      </c>
      <c r="Z521" s="68">
        <v>0</v>
      </c>
      <c r="AA521" s="68">
        <v>0</v>
      </c>
      <c r="AB521" s="69">
        <v>0</v>
      </c>
      <c r="AC521" s="69">
        <v>0</v>
      </c>
      <c r="AD521" s="70">
        <f>IFERROR(tblTarget[[#This Row],[Cluster Target]]/tblTarget[[#This Row],[Cluster PiN]],0)</f>
        <v>1.9242761692650334E-2</v>
      </c>
      <c r="AE521" s="79">
        <f>_xlfn.XLOOKUP(tblTarget[[#This Row],[ID]],tblResponse[ID],tblResponse[2024 Projected reached (Dec 2024)])</f>
        <v>0</v>
      </c>
      <c r="AF521" s="79">
        <f>_xlfn.XLOOKUP(tblTarget[[#This Row],[ID]],tblResponse[ID],tblResponse[2024 Intercluster reached -August RPM])</f>
        <v>673.78903872648516</v>
      </c>
      <c r="AG521" s="79">
        <v>2</v>
      </c>
      <c r="AH521" s="79"/>
      <c r="AI521" s="79"/>
      <c r="AJ521" s="70" t="str">
        <f>IF(tblTarget[[#This Row],[Target to PiN (%)]]&gt;Targ_vs_PiN,"Flagged","")</f>
        <v/>
      </c>
      <c r="AK521" s="69" t="str">
        <f>IF(AND(tblTarget[[#This Row],[Qualifies for exception]]="Flagged",tblTarget[[#This Row],[Target to PiN (%)]]&gt;Targ_severity5),"Flagged","")</f>
        <v/>
      </c>
      <c r="AL521" s="68" t="str">
        <f>IFERROR(IF(AND(tblTarget[[#This Row],[Intercluser Severity]]=4,tblTarget[[#This Row],[Qualifies for exception]]="Flagged",(tblTarget[[#This Row],[Cluster Target]]-tblTarget[[#This Row],[2024 Response capacity up to December]])/tblTarget[[#This Row],[Cluster Target]]&gt;Diff_severity4),"Flagged",""),"No target")</f>
        <v/>
      </c>
      <c r="AM521" s="68" t="str">
        <f>IFERROR(IF(AND(tblTarget[[#This Row],[Intercluser Severity]]=3,tblTarget[[#This Row],[Qualifies for exception]]="Flagged",(tblTarget[[#This Row],[Cluster Target]]-tblTarget[[#This Row],[2024 Response capacity up to December]])/tblTarget[[#This Row],[Cluster Target]]&gt;Diff_severity3),"Flagged",""),"No target")</f>
        <v/>
      </c>
      <c r="AN521" s="81" t="s">
        <v>15</v>
      </c>
      <c r="AO521" s="81"/>
      <c r="AP521" s="81" t="s">
        <v>1099</v>
      </c>
      <c r="AQ521" s="81" t="s">
        <v>1098</v>
      </c>
    </row>
    <row r="522" spans="1:43" ht="15.95" hidden="1" customHeight="1" x14ac:dyDescent="0.2">
      <c r="A522" s="62" t="s">
        <v>959</v>
      </c>
      <c r="B522" s="63" t="s">
        <v>324</v>
      </c>
      <c r="C522" s="64" t="s">
        <v>325</v>
      </c>
      <c r="D522" s="63" t="s">
        <v>330</v>
      </c>
      <c r="E522" s="64" t="s">
        <v>331</v>
      </c>
      <c r="F522" s="65">
        <v>418610</v>
      </c>
      <c r="G522" s="66" t="s">
        <v>437</v>
      </c>
      <c r="H522" s="67">
        <v>0</v>
      </c>
      <c r="I522" s="68">
        <v>3</v>
      </c>
      <c r="J522" s="68">
        <v>3</v>
      </c>
      <c r="K522" s="91">
        <v>0</v>
      </c>
      <c r="L522" s="91">
        <v>0</v>
      </c>
      <c r="M522" s="91">
        <v>0</v>
      </c>
      <c r="N522" s="91">
        <v>0</v>
      </c>
      <c r="O522" s="91">
        <v>0</v>
      </c>
      <c r="P522" s="91">
        <v>0</v>
      </c>
      <c r="Q522" s="85">
        <v>0</v>
      </c>
      <c r="R522" s="68" t="s">
        <v>1107</v>
      </c>
      <c r="S522" s="86">
        <v>0</v>
      </c>
      <c r="T522" s="68">
        <v>0</v>
      </c>
      <c r="U522" s="68">
        <v>0</v>
      </c>
      <c r="V522" s="68">
        <v>0</v>
      </c>
      <c r="W522" s="68">
        <v>0</v>
      </c>
      <c r="X522" s="68">
        <v>0</v>
      </c>
      <c r="Y522" s="68">
        <v>0</v>
      </c>
      <c r="Z522" s="68">
        <v>0</v>
      </c>
      <c r="AA522" s="68">
        <v>0</v>
      </c>
      <c r="AB522" s="69">
        <v>0</v>
      </c>
      <c r="AC522" s="69">
        <v>0</v>
      </c>
      <c r="AD522" s="70">
        <f>IFERROR(tblTarget[[#This Row],[Cluster Target]]/tblTarget[[#This Row],[Cluster PiN]],0)</f>
        <v>0</v>
      </c>
      <c r="AE522" s="79">
        <f>_xlfn.XLOOKUP(tblTarget[[#This Row],[ID]],tblResponse[ID],tblResponse[2024 Projected reached (Dec 2024)])</f>
        <v>0</v>
      </c>
      <c r="AF522" s="79">
        <f>_xlfn.XLOOKUP(tblTarget[[#This Row],[ID]],tblResponse[ID],tblResponse[2024 Intercluster reached -August RPM])</f>
        <v>20.467919941872506</v>
      </c>
      <c r="AG522" s="79">
        <v>1</v>
      </c>
      <c r="AH522" s="79"/>
      <c r="AI522" s="79"/>
      <c r="AJ522" s="70" t="str">
        <f>IF(tblTarget[[#This Row],[Target to PiN (%)]]&gt;Targ_vs_PiN,"Flagged","")</f>
        <v/>
      </c>
      <c r="AK522" s="69" t="str">
        <f>IF(AND(tblTarget[[#This Row],[Qualifies for exception]]="Flagged",tblTarget[[#This Row],[Target to PiN (%)]]&gt;Targ_severity5),"Flagged","")</f>
        <v/>
      </c>
      <c r="AL522" s="68" t="str">
        <f>IFERROR(IF(AND(tblTarget[[#This Row],[Intercluser Severity]]=4,tblTarget[[#This Row],[Qualifies for exception]]="Flagged",(tblTarget[[#This Row],[Cluster Target]]-tblTarget[[#This Row],[2024 Response capacity up to December]])/tblTarget[[#This Row],[Cluster Target]]&gt;Diff_severity4),"Flagged",""),"No target")</f>
        <v>No target</v>
      </c>
      <c r="AM522" s="68" t="str">
        <f>IFERROR(IF(AND(tblTarget[[#This Row],[Intercluser Severity]]=3,tblTarget[[#This Row],[Qualifies for exception]]="Flagged",(tblTarget[[#This Row],[Cluster Target]]-tblTarget[[#This Row],[2024 Response capacity up to December]])/tblTarget[[#This Row],[Cluster Target]]&gt;Diff_severity3),"Flagged",""),"No target")</f>
        <v>No target</v>
      </c>
      <c r="AN522" s="81" t="s">
        <v>1099</v>
      </c>
      <c r="AO522" s="81"/>
      <c r="AP522" s="81" t="s">
        <v>1099</v>
      </c>
      <c r="AQ522" s="81" t="s">
        <v>1107</v>
      </c>
    </row>
    <row r="523" spans="1:43" ht="15.95" hidden="1" customHeight="1" x14ac:dyDescent="0.2">
      <c r="A523" s="62" t="s">
        <v>960</v>
      </c>
      <c r="B523" s="63" t="s">
        <v>324</v>
      </c>
      <c r="C523" s="64" t="s">
        <v>325</v>
      </c>
      <c r="D523" s="63" t="s">
        <v>332</v>
      </c>
      <c r="E523" s="64" t="s">
        <v>333</v>
      </c>
      <c r="F523" s="65">
        <v>270876</v>
      </c>
      <c r="G523" s="66" t="s">
        <v>437</v>
      </c>
      <c r="H523" s="67">
        <v>3499</v>
      </c>
      <c r="I523" s="68">
        <v>3</v>
      </c>
      <c r="J523" s="68">
        <v>4</v>
      </c>
      <c r="K523" s="91">
        <v>87.5</v>
      </c>
      <c r="L523" s="91">
        <v>46.695435494142565</v>
      </c>
      <c r="M523" s="91">
        <v>40.804564505857442</v>
      </c>
      <c r="N523" s="91">
        <v>43.75</v>
      </c>
      <c r="O523" s="91">
        <v>38.5</v>
      </c>
      <c r="P523" s="91">
        <v>5.25</v>
      </c>
      <c r="Q523" s="85">
        <v>13.125</v>
      </c>
      <c r="R523" s="68" t="s">
        <v>1107</v>
      </c>
      <c r="S523" s="86">
        <v>13</v>
      </c>
      <c r="T523" s="68">
        <v>3</v>
      </c>
      <c r="U523" s="68">
        <v>0</v>
      </c>
      <c r="V523" s="68">
        <v>0</v>
      </c>
      <c r="W523" s="68">
        <v>1</v>
      </c>
      <c r="X523" s="68">
        <v>2</v>
      </c>
      <c r="Y523" s="68">
        <v>6</v>
      </c>
      <c r="Z523" s="68">
        <v>0</v>
      </c>
      <c r="AA523" s="68">
        <v>0</v>
      </c>
      <c r="AB523" s="69">
        <v>0</v>
      </c>
      <c r="AC523" s="69">
        <v>0</v>
      </c>
      <c r="AD523" s="70">
        <f>IFERROR(tblTarget[[#This Row],[Cluster Target]]/tblTarget[[#This Row],[Cluster PiN]],0)</f>
        <v>2.500714489854244E-2</v>
      </c>
      <c r="AE523" s="79">
        <f>_xlfn.XLOOKUP(tblTarget[[#This Row],[ID]],tblResponse[ID],tblResponse[2024 Projected reached (Dec 2024)])</f>
        <v>0</v>
      </c>
      <c r="AF523" s="79">
        <f>_xlfn.XLOOKUP(tblTarget[[#This Row],[ID]],tblResponse[ID],tblResponse[2024 Intercluster reached -August RPM])</f>
        <v>297.71519915450915</v>
      </c>
      <c r="AG523" s="79">
        <v>1</v>
      </c>
      <c r="AH523" s="79"/>
      <c r="AI523" s="79"/>
      <c r="AJ523" s="70" t="str">
        <f>IF(tblTarget[[#This Row],[Target to PiN (%)]]&gt;Targ_vs_PiN,"Flagged","")</f>
        <v/>
      </c>
      <c r="AK523" s="69" t="str">
        <f>IF(AND(tblTarget[[#This Row],[Qualifies for exception]]="Flagged",tblTarget[[#This Row],[Target to PiN (%)]]&gt;Targ_severity5),"Flagged","")</f>
        <v/>
      </c>
      <c r="AL523" s="68" t="str">
        <f>IFERROR(IF(AND(tblTarget[[#This Row],[Intercluser Severity]]=4,tblTarget[[#This Row],[Qualifies for exception]]="Flagged",(tblTarget[[#This Row],[Cluster Target]]-tblTarget[[#This Row],[2024 Response capacity up to December]])/tblTarget[[#This Row],[Cluster Target]]&gt;Diff_severity4),"Flagged",""),"No target")</f>
        <v>Flagged</v>
      </c>
      <c r="AM523" s="68" t="str">
        <f>IFERROR(IF(AND(tblTarget[[#This Row],[Intercluser Severity]]=3,tblTarget[[#This Row],[Qualifies for exception]]="Flagged",(tblTarget[[#This Row],[Cluster Target]]-tblTarget[[#This Row],[2024 Response capacity up to December]])/tblTarget[[#This Row],[Cluster Target]]&gt;Diff_severity3),"Flagged",""),"No target")</f>
        <v/>
      </c>
      <c r="AN523" s="81" t="s">
        <v>1099</v>
      </c>
      <c r="AO523" s="81"/>
      <c r="AP523" s="81" t="s">
        <v>1099</v>
      </c>
      <c r="AQ523" s="81" t="s">
        <v>1107</v>
      </c>
    </row>
    <row r="524" spans="1:43" ht="15.95" customHeight="1" x14ac:dyDescent="0.2">
      <c r="A524" s="62" t="s">
        <v>961</v>
      </c>
      <c r="B524" s="63" t="s">
        <v>324</v>
      </c>
      <c r="C524" s="64" t="s">
        <v>325</v>
      </c>
      <c r="D524" s="63" t="s">
        <v>334</v>
      </c>
      <c r="E524" s="64" t="s">
        <v>335</v>
      </c>
      <c r="F524" s="65">
        <v>342808</v>
      </c>
      <c r="G524" s="66" t="s">
        <v>437</v>
      </c>
      <c r="H524" s="67">
        <v>0</v>
      </c>
      <c r="I524" s="68">
        <v>3</v>
      </c>
      <c r="J524" s="68">
        <v>3</v>
      </c>
      <c r="K524" s="91">
        <v>0</v>
      </c>
      <c r="L524" s="91">
        <v>0</v>
      </c>
      <c r="M524" s="91">
        <v>0</v>
      </c>
      <c r="N524" s="91">
        <v>0</v>
      </c>
      <c r="O524" s="91">
        <v>0</v>
      </c>
      <c r="P524" s="91">
        <v>0</v>
      </c>
      <c r="Q524" s="85">
        <v>0</v>
      </c>
      <c r="R524" s="68" t="s">
        <v>15</v>
      </c>
      <c r="S524" s="86">
        <v>0</v>
      </c>
      <c r="T524" s="68">
        <v>0</v>
      </c>
      <c r="U524" s="68">
        <v>0</v>
      </c>
      <c r="V524" s="68">
        <v>0</v>
      </c>
      <c r="W524" s="68">
        <v>0</v>
      </c>
      <c r="X524" s="68">
        <v>0</v>
      </c>
      <c r="Y524" s="68">
        <v>0</v>
      </c>
      <c r="Z524" s="68">
        <v>0</v>
      </c>
      <c r="AA524" s="68">
        <v>0</v>
      </c>
      <c r="AB524" s="69">
        <v>0</v>
      </c>
      <c r="AC524" s="69">
        <v>0</v>
      </c>
      <c r="AD524" s="70">
        <f>IFERROR(tblTarget[[#This Row],[Cluster Target]]/tblTarget[[#This Row],[Cluster PiN]],0)</f>
        <v>0</v>
      </c>
      <c r="AE524" s="79">
        <f>_xlfn.XLOOKUP(tblTarget[[#This Row],[ID]],tblResponse[ID],tblResponse[2024 Projected reached (Dec 2024)])</f>
        <v>0</v>
      </c>
      <c r="AF524" s="79">
        <f>_xlfn.XLOOKUP(tblTarget[[#This Row],[ID]],tblResponse[ID],tblResponse[2024 Intercluster reached -August RPM])</f>
        <v>0</v>
      </c>
      <c r="AG524" s="79">
        <v>1</v>
      </c>
      <c r="AH524" s="79"/>
      <c r="AI524" s="79"/>
      <c r="AJ524" s="70" t="str">
        <f>IF(tblTarget[[#This Row],[Target to PiN (%)]]&gt;Targ_vs_PiN,"Flagged","")</f>
        <v/>
      </c>
      <c r="AK524" s="69" t="str">
        <f>IF(AND(tblTarget[[#This Row],[Qualifies for exception]]="Flagged",tblTarget[[#This Row],[Target to PiN (%)]]&gt;Targ_severity5),"Flagged","")</f>
        <v/>
      </c>
      <c r="AL524" s="68" t="str">
        <f>IFERROR(IF(AND(tblTarget[[#This Row],[Intercluser Severity]]=4,tblTarget[[#This Row],[Qualifies for exception]]="Flagged",(tblTarget[[#This Row],[Cluster Target]]-tblTarget[[#This Row],[2024 Response capacity up to December]])/tblTarget[[#This Row],[Cluster Target]]&gt;Diff_severity4),"Flagged",""),"No target")</f>
        <v>No target</v>
      </c>
      <c r="AM524" s="68" t="str">
        <f>IFERROR(IF(AND(tblTarget[[#This Row],[Intercluser Severity]]=3,tblTarget[[#This Row],[Qualifies for exception]]="Flagged",(tblTarget[[#This Row],[Cluster Target]]-tblTarget[[#This Row],[2024 Response capacity up to December]])/tblTarget[[#This Row],[Cluster Target]]&gt;Diff_severity3),"Flagged",""),"No target")</f>
        <v>No target</v>
      </c>
      <c r="AN524" s="81" t="s">
        <v>1099</v>
      </c>
      <c r="AO524" s="81"/>
      <c r="AP524" s="81" t="s">
        <v>1099</v>
      </c>
      <c r="AQ524" s="81" t="s">
        <v>1107</v>
      </c>
    </row>
    <row r="525" spans="1:43" ht="15.95" hidden="1" customHeight="1" x14ac:dyDescent="0.2">
      <c r="A525" s="62" t="s">
        <v>962</v>
      </c>
      <c r="B525" s="63" t="s">
        <v>324</v>
      </c>
      <c r="C525" s="64" t="s">
        <v>325</v>
      </c>
      <c r="D525" s="63" t="s">
        <v>336</v>
      </c>
      <c r="E525" s="64" t="s">
        <v>337</v>
      </c>
      <c r="F525" s="65">
        <v>209716</v>
      </c>
      <c r="G525" s="66" t="s">
        <v>437</v>
      </c>
      <c r="H525" s="67">
        <v>2690</v>
      </c>
      <c r="I525" s="68">
        <v>3</v>
      </c>
      <c r="J525" s="68">
        <v>4</v>
      </c>
      <c r="K525" s="91">
        <v>39.42</v>
      </c>
      <c r="L525" s="91">
        <v>21.344261086206611</v>
      </c>
      <c r="M525" s="91">
        <v>18.075738913793391</v>
      </c>
      <c r="N525" s="91">
        <v>19.71</v>
      </c>
      <c r="O525" s="91">
        <v>17.344799999999999</v>
      </c>
      <c r="P525" s="91">
        <v>2.3652000000000002</v>
      </c>
      <c r="Q525" s="85">
        <v>5.9130000000000003</v>
      </c>
      <c r="R525" s="68" t="s">
        <v>1107</v>
      </c>
      <c r="S525" s="86">
        <v>6</v>
      </c>
      <c r="T525" s="68">
        <v>1</v>
      </c>
      <c r="U525" s="68">
        <v>0</v>
      </c>
      <c r="V525" s="68">
        <v>0</v>
      </c>
      <c r="W525" s="68">
        <v>0</v>
      </c>
      <c r="X525" s="68">
        <v>1</v>
      </c>
      <c r="Y525" s="68">
        <v>3</v>
      </c>
      <c r="Z525" s="68">
        <v>0</v>
      </c>
      <c r="AA525" s="68">
        <v>0</v>
      </c>
      <c r="AB525" s="69">
        <v>0</v>
      </c>
      <c r="AC525" s="69">
        <v>0</v>
      </c>
      <c r="AD525" s="70">
        <f>IFERROR(tblTarget[[#This Row],[Cluster Target]]/tblTarget[[#This Row],[Cluster PiN]],0)</f>
        <v>1.4654275092936804E-2</v>
      </c>
      <c r="AE525" s="79">
        <f>_xlfn.XLOOKUP(tblTarget[[#This Row],[ID]],tblResponse[ID],tblResponse[2024 Projected reached (Dec 2024)])</f>
        <v>0</v>
      </c>
      <c r="AF525" s="79">
        <f>_xlfn.XLOOKUP(tblTarget[[#This Row],[ID]],tblResponse[ID],tblResponse[2024 Intercluster reached -August RPM])</f>
        <v>347.28477981373493</v>
      </c>
      <c r="AG525" s="79">
        <v>1</v>
      </c>
      <c r="AH525" s="79"/>
      <c r="AI525" s="79"/>
      <c r="AJ525" s="70" t="str">
        <f>IF(tblTarget[[#This Row],[Target to PiN (%)]]&gt;Targ_vs_PiN,"Flagged","")</f>
        <v/>
      </c>
      <c r="AK525" s="69" t="str">
        <f>IF(AND(tblTarget[[#This Row],[Qualifies for exception]]="Flagged",tblTarget[[#This Row],[Target to PiN (%)]]&gt;Targ_severity5),"Flagged","")</f>
        <v/>
      </c>
      <c r="AL525" s="68" t="str">
        <f>IFERROR(IF(AND(tblTarget[[#This Row],[Intercluser Severity]]=4,tblTarget[[#This Row],[Qualifies for exception]]="Flagged",(tblTarget[[#This Row],[Cluster Target]]-tblTarget[[#This Row],[2024 Response capacity up to December]])/tblTarget[[#This Row],[Cluster Target]]&gt;Diff_severity4),"Flagged",""),"No target")</f>
        <v>Flagged</v>
      </c>
      <c r="AM525" s="68" t="str">
        <f>IFERROR(IF(AND(tblTarget[[#This Row],[Intercluser Severity]]=3,tblTarget[[#This Row],[Qualifies for exception]]="Flagged",(tblTarget[[#This Row],[Cluster Target]]-tblTarget[[#This Row],[2024 Response capacity up to December]])/tblTarget[[#This Row],[Cluster Target]]&gt;Diff_severity3),"Flagged",""),"No target")</f>
        <v/>
      </c>
      <c r="AN525" s="81" t="s">
        <v>1099</v>
      </c>
      <c r="AO525" s="81"/>
      <c r="AP525" s="81" t="s">
        <v>1099</v>
      </c>
      <c r="AQ525" s="81" t="s">
        <v>1107</v>
      </c>
    </row>
    <row r="526" spans="1:43" ht="15.95" hidden="1" customHeight="1" x14ac:dyDescent="0.2">
      <c r="A526" s="62" t="s">
        <v>963</v>
      </c>
      <c r="B526" s="63" t="s">
        <v>324</v>
      </c>
      <c r="C526" s="64" t="s">
        <v>325</v>
      </c>
      <c r="D526" s="63" t="s">
        <v>338</v>
      </c>
      <c r="E526" s="64" t="s">
        <v>339</v>
      </c>
      <c r="F526" s="65">
        <v>280767</v>
      </c>
      <c r="G526" s="66" t="s">
        <v>437</v>
      </c>
      <c r="H526" s="67">
        <v>6957</v>
      </c>
      <c r="I526" s="68">
        <v>3</v>
      </c>
      <c r="J526" s="68">
        <v>4</v>
      </c>
      <c r="K526" s="91">
        <v>22.5</v>
      </c>
      <c r="L526" s="91">
        <v>12.026094644661503</v>
      </c>
      <c r="M526" s="91">
        <v>10.473905355338498</v>
      </c>
      <c r="N526" s="91">
        <v>11.25</v>
      </c>
      <c r="O526" s="91">
        <v>9.9</v>
      </c>
      <c r="P526" s="91">
        <v>1.3499999999999999</v>
      </c>
      <c r="Q526" s="85">
        <v>3.375</v>
      </c>
      <c r="R526" s="68" t="s">
        <v>1107</v>
      </c>
      <c r="S526" s="86">
        <v>3</v>
      </c>
      <c r="T526" s="68">
        <v>1</v>
      </c>
      <c r="U526" s="68">
        <v>0</v>
      </c>
      <c r="V526" s="68">
        <v>0</v>
      </c>
      <c r="W526" s="68">
        <v>0</v>
      </c>
      <c r="X526" s="68">
        <v>0</v>
      </c>
      <c r="Y526" s="68">
        <v>2</v>
      </c>
      <c r="Z526" s="68">
        <v>0</v>
      </c>
      <c r="AA526" s="68">
        <v>0</v>
      </c>
      <c r="AB526" s="69">
        <v>0</v>
      </c>
      <c r="AC526" s="69">
        <v>0</v>
      </c>
      <c r="AD526" s="70">
        <f>IFERROR(tblTarget[[#This Row],[Cluster Target]]/tblTarget[[#This Row],[Cluster PiN]],0)</f>
        <v>3.2341526520051748E-3</v>
      </c>
      <c r="AE526" s="79">
        <f>_xlfn.XLOOKUP(tblTarget[[#This Row],[ID]],tblResponse[ID],tblResponse[2024 Projected reached (Dec 2024)])</f>
        <v>0</v>
      </c>
      <c r="AF526" s="79">
        <f>_xlfn.XLOOKUP(tblTarget[[#This Row],[ID]],tblResponse[ID],tblResponse[2024 Intercluster reached -August RPM])</f>
        <v>18.309484748002312</v>
      </c>
      <c r="AG526" s="79">
        <v>1</v>
      </c>
      <c r="AH526" s="79"/>
      <c r="AI526" s="79"/>
      <c r="AJ526" s="70" t="str">
        <f>IF(tblTarget[[#This Row],[Target to PiN (%)]]&gt;Targ_vs_PiN,"Flagged","")</f>
        <v/>
      </c>
      <c r="AK526" s="69" t="str">
        <f>IF(AND(tblTarget[[#This Row],[Qualifies for exception]]="Flagged",tblTarget[[#This Row],[Target to PiN (%)]]&gt;Targ_severity5),"Flagged","")</f>
        <v/>
      </c>
      <c r="AL526" s="68" t="str">
        <f>IFERROR(IF(AND(tblTarget[[#This Row],[Intercluser Severity]]=4,tblTarget[[#This Row],[Qualifies for exception]]="Flagged",(tblTarget[[#This Row],[Cluster Target]]-tblTarget[[#This Row],[2024 Response capacity up to December]])/tblTarget[[#This Row],[Cluster Target]]&gt;Diff_severity4),"Flagged",""),"No target")</f>
        <v>Flagged</v>
      </c>
      <c r="AM526" s="68" t="str">
        <f>IFERROR(IF(AND(tblTarget[[#This Row],[Intercluser Severity]]=3,tblTarget[[#This Row],[Qualifies for exception]]="Flagged",(tblTarget[[#This Row],[Cluster Target]]-tblTarget[[#This Row],[2024 Response capacity up to December]])/tblTarget[[#This Row],[Cluster Target]]&gt;Diff_severity3),"Flagged",""),"No target")</f>
        <v/>
      </c>
      <c r="AN526" s="81" t="s">
        <v>1099</v>
      </c>
      <c r="AO526" s="81"/>
      <c r="AP526" s="81" t="s">
        <v>1099</v>
      </c>
      <c r="AQ526" s="81" t="s">
        <v>1107</v>
      </c>
    </row>
    <row r="527" spans="1:43" ht="15.95" customHeight="1" x14ac:dyDescent="0.2">
      <c r="A527" s="62" t="s">
        <v>964</v>
      </c>
      <c r="B527" s="63" t="s">
        <v>324</v>
      </c>
      <c r="C527" s="64" t="s">
        <v>325</v>
      </c>
      <c r="D527" s="63" t="s">
        <v>322</v>
      </c>
      <c r="E527" s="64" t="s">
        <v>340</v>
      </c>
      <c r="F527" s="65">
        <v>197595</v>
      </c>
      <c r="G527" s="66" t="s">
        <v>437</v>
      </c>
      <c r="H527" s="67">
        <v>12583</v>
      </c>
      <c r="I527" s="68">
        <v>3</v>
      </c>
      <c r="J527" s="68">
        <v>5</v>
      </c>
      <c r="K527" s="91">
        <v>190.72799999999998</v>
      </c>
      <c r="L527" s="91">
        <v>101.15407464988064</v>
      </c>
      <c r="M527" s="91">
        <v>89.573925350119339</v>
      </c>
      <c r="N527" s="91">
        <v>95.36399999999999</v>
      </c>
      <c r="O527" s="91">
        <v>83.92031999999999</v>
      </c>
      <c r="P527" s="91">
        <v>11.443679999999999</v>
      </c>
      <c r="Q527" s="85">
        <v>28.609199999999998</v>
      </c>
      <c r="R527" s="68" t="s">
        <v>15</v>
      </c>
      <c r="S527" s="86">
        <v>27</v>
      </c>
      <c r="T527" s="68">
        <v>7</v>
      </c>
      <c r="U527" s="68">
        <v>0</v>
      </c>
      <c r="V527" s="68">
        <v>0</v>
      </c>
      <c r="W527" s="68">
        <v>2</v>
      </c>
      <c r="X527" s="68">
        <v>4</v>
      </c>
      <c r="Y527" s="68">
        <v>13</v>
      </c>
      <c r="Z527" s="68">
        <v>0</v>
      </c>
      <c r="AA527" s="68">
        <v>0</v>
      </c>
      <c r="AB527" s="69">
        <v>0</v>
      </c>
      <c r="AC527" s="69">
        <v>0</v>
      </c>
      <c r="AD527" s="70">
        <f>IFERROR(tblTarget[[#This Row],[Cluster Target]]/tblTarget[[#This Row],[Cluster PiN]],0)</f>
        <v>1.5157593578637843E-2</v>
      </c>
      <c r="AE527" s="79">
        <f>_xlfn.XLOOKUP(tblTarget[[#This Row],[ID]],tblResponse[ID],tblResponse[2024 Projected reached (Dec 2024)])</f>
        <v>0</v>
      </c>
      <c r="AF527" s="79">
        <f>_xlfn.XLOOKUP(tblTarget[[#This Row],[ID]],tblResponse[ID],tblResponse[2024 Intercluster reached -August RPM])</f>
        <v>549.28454244006946</v>
      </c>
      <c r="AG527" s="79">
        <v>0</v>
      </c>
      <c r="AH527" s="79"/>
      <c r="AI527" s="79"/>
      <c r="AJ527" s="70" t="str">
        <f>IF(tblTarget[[#This Row],[Target to PiN (%)]]&gt;Targ_vs_PiN,"Flagged","")</f>
        <v/>
      </c>
      <c r="AK527" s="69" t="str">
        <f>IF(AND(tblTarget[[#This Row],[Qualifies for exception]]="Flagged",tblTarget[[#This Row],[Target to PiN (%)]]&gt;Targ_severity5),"Flagged","")</f>
        <v/>
      </c>
      <c r="AL527" s="68" t="str">
        <f>IFERROR(IF(AND(tblTarget[[#This Row],[Intercluser Severity]]=4,tblTarget[[#This Row],[Qualifies for exception]]="Flagged",(tblTarget[[#This Row],[Cluster Target]]-tblTarget[[#This Row],[2024 Response capacity up to December]])/tblTarget[[#This Row],[Cluster Target]]&gt;Diff_severity4),"Flagged",""),"No target")</f>
        <v/>
      </c>
      <c r="AM527" s="68" t="str">
        <f>IFERROR(IF(AND(tblTarget[[#This Row],[Intercluser Severity]]=3,tblTarget[[#This Row],[Qualifies for exception]]="Flagged",(tblTarget[[#This Row],[Cluster Target]]-tblTarget[[#This Row],[2024 Response capacity up to December]])/tblTarget[[#This Row],[Cluster Target]]&gt;Diff_severity3),"Flagged",""),"No target")</f>
        <v/>
      </c>
      <c r="AN527" s="81" t="s">
        <v>1099</v>
      </c>
      <c r="AO527" s="81"/>
      <c r="AP527" s="81" t="s">
        <v>1099</v>
      </c>
      <c r="AQ527" s="81" t="s">
        <v>1098</v>
      </c>
    </row>
    <row r="528" spans="1:43" ht="15.95" hidden="1" customHeight="1" x14ac:dyDescent="0.2">
      <c r="A528" s="62" t="s">
        <v>965</v>
      </c>
      <c r="B528" s="63" t="s">
        <v>341</v>
      </c>
      <c r="C528" s="64" t="s">
        <v>342</v>
      </c>
      <c r="D528" s="63" t="s">
        <v>343</v>
      </c>
      <c r="E528" s="64" t="s">
        <v>344</v>
      </c>
      <c r="F528" s="65">
        <v>152131</v>
      </c>
      <c r="G528" s="66" t="s">
        <v>437</v>
      </c>
      <c r="H528" s="67">
        <v>6927</v>
      </c>
      <c r="I528" s="68">
        <v>3</v>
      </c>
      <c r="J528" s="68">
        <v>3</v>
      </c>
      <c r="K528" s="91">
        <v>20.52</v>
      </c>
      <c r="L528" s="91">
        <v>10.517679575120388</v>
      </c>
      <c r="M528" s="91">
        <v>10.002320424879612</v>
      </c>
      <c r="N528" s="91">
        <v>10.26</v>
      </c>
      <c r="O528" s="91">
        <v>9.0288000000000004</v>
      </c>
      <c r="P528" s="91">
        <v>1.2311999999999999</v>
      </c>
      <c r="Q528" s="85">
        <v>3.0779999999999998</v>
      </c>
      <c r="R528" s="68" t="s">
        <v>1107</v>
      </c>
      <c r="S528" s="86">
        <v>3</v>
      </c>
      <c r="T528" s="68">
        <v>1</v>
      </c>
      <c r="U528" s="68">
        <v>0</v>
      </c>
      <c r="V528" s="68">
        <v>0</v>
      </c>
      <c r="W528" s="68">
        <v>0</v>
      </c>
      <c r="X528" s="68">
        <v>0</v>
      </c>
      <c r="Y528" s="68">
        <v>1</v>
      </c>
      <c r="Z528" s="68">
        <v>0</v>
      </c>
      <c r="AA528" s="68">
        <v>0</v>
      </c>
      <c r="AB528" s="69">
        <v>0</v>
      </c>
      <c r="AC528" s="69">
        <v>0</v>
      </c>
      <c r="AD528" s="70">
        <f>IFERROR(tblTarget[[#This Row],[Cluster Target]]/tblTarget[[#This Row],[Cluster PiN]],0)</f>
        <v>2.9623213512343003E-3</v>
      </c>
      <c r="AE528" s="79">
        <f>_xlfn.XLOOKUP(tblTarget[[#This Row],[ID]],tblResponse[ID],tblResponse[2024 Projected reached (Dec 2024)])</f>
        <v>0</v>
      </c>
      <c r="AF528" s="79">
        <f>_xlfn.XLOOKUP(tblTarget[[#This Row],[ID]],tblResponse[ID],tblResponse[2024 Intercluster reached -August RPM])</f>
        <v>1473.6902358148204</v>
      </c>
      <c r="AG528" s="79">
        <v>3</v>
      </c>
      <c r="AH528" s="79"/>
      <c r="AI528" s="79"/>
      <c r="AJ528" s="70" t="str">
        <f>IF(tblTarget[[#This Row],[Target to PiN (%)]]&gt;Targ_vs_PiN,"Flagged","")</f>
        <v/>
      </c>
      <c r="AK528" s="69" t="str">
        <f>IF(AND(tblTarget[[#This Row],[Qualifies for exception]]="Flagged",tblTarget[[#This Row],[Target to PiN (%)]]&gt;Targ_severity5),"Flagged","")</f>
        <v/>
      </c>
      <c r="AL528" s="68" t="str">
        <f>IFERROR(IF(AND(tblTarget[[#This Row],[Intercluser Severity]]=4,tblTarget[[#This Row],[Qualifies for exception]]="Flagged",(tblTarget[[#This Row],[Cluster Target]]-tblTarget[[#This Row],[2024 Response capacity up to December]])/tblTarget[[#This Row],[Cluster Target]]&gt;Diff_severity4),"Flagged",""),"No target")</f>
        <v/>
      </c>
      <c r="AM528" s="68" t="str">
        <f>IFERROR(IF(AND(tblTarget[[#This Row],[Intercluser Severity]]=3,tblTarget[[#This Row],[Qualifies for exception]]="Flagged",(tblTarget[[#This Row],[Cluster Target]]-tblTarget[[#This Row],[2024 Response capacity up to December]])/tblTarget[[#This Row],[Cluster Target]]&gt;Diff_severity3),"Flagged",""),"No target")</f>
        <v>Flagged</v>
      </c>
      <c r="AN528" s="81" t="s">
        <v>1099</v>
      </c>
      <c r="AO528" s="81"/>
      <c r="AP528" s="81" t="s">
        <v>1099</v>
      </c>
      <c r="AQ528" s="81" t="s">
        <v>1107</v>
      </c>
    </row>
    <row r="529" spans="1:43" ht="15.95" hidden="1" customHeight="1" x14ac:dyDescent="0.2">
      <c r="A529" s="62" t="s">
        <v>966</v>
      </c>
      <c r="B529" s="63" t="s">
        <v>341</v>
      </c>
      <c r="C529" s="64" t="s">
        <v>342</v>
      </c>
      <c r="D529" s="63" t="s">
        <v>341</v>
      </c>
      <c r="E529" s="64" t="s">
        <v>345</v>
      </c>
      <c r="F529" s="65">
        <v>273531</v>
      </c>
      <c r="G529" s="66" t="s">
        <v>437</v>
      </c>
      <c r="H529" s="67">
        <v>49818</v>
      </c>
      <c r="I529" s="68">
        <v>4</v>
      </c>
      <c r="J529" s="68">
        <v>4</v>
      </c>
      <c r="K529" s="91">
        <v>480.78</v>
      </c>
      <c r="L529" s="91">
        <v>252.96147552301474</v>
      </c>
      <c r="M529" s="91">
        <v>227.81852447698523</v>
      </c>
      <c r="N529" s="91">
        <v>240.39</v>
      </c>
      <c r="O529" s="91">
        <v>211.54319999999998</v>
      </c>
      <c r="P529" s="91">
        <v>28.846799999999998</v>
      </c>
      <c r="Q529" s="85">
        <v>72.11699999999999</v>
      </c>
      <c r="R529" s="68" t="s">
        <v>1107</v>
      </c>
      <c r="S529" s="86">
        <v>69</v>
      </c>
      <c r="T529" s="68">
        <v>17</v>
      </c>
      <c r="U529" s="68">
        <v>0</v>
      </c>
      <c r="V529" s="68">
        <v>0</v>
      </c>
      <c r="W529" s="68">
        <v>5</v>
      </c>
      <c r="X529" s="68">
        <v>10</v>
      </c>
      <c r="Y529" s="68">
        <v>34</v>
      </c>
      <c r="Z529" s="68">
        <v>0</v>
      </c>
      <c r="AA529" s="68">
        <v>0</v>
      </c>
      <c r="AB529" s="69">
        <v>0</v>
      </c>
      <c r="AC529" s="69">
        <v>0</v>
      </c>
      <c r="AD529" s="70">
        <f>IFERROR(tblTarget[[#This Row],[Cluster Target]]/tblTarget[[#This Row],[Cluster PiN]],0)</f>
        <v>9.6507286522943513E-3</v>
      </c>
      <c r="AE529" s="79">
        <f>_xlfn.XLOOKUP(tblTarget[[#This Row],[ID]],tblResponse[ID],tblResponse[2024 Projected reached (Dec 2024)])</f>
        <v>0</v>
      </c>
      <c r="AF529" s="79">
        <f>_xlfn.XLOOKUP(tblTarget[[#This Row],[ID]],tblResponse[ID],tblResponse[2024 Intercluster reached -August RPM])</f>
        <v>2885.0091374067711</v>
      </c>
      <c r="AG529" s="79">
        <v>4</v>
      </c>
      <c r="AH529" s="79"/>
      <c r="AI529" s="79"/>
      <c r="AJ529" s="70" t="str">
        <f>IF(tblTarget[[#This Row],[Target to PiN (%)]]&gt;Targ_vs_PiN,"Flagged","")</f>
        <v/>
      </c>
      <c r="AK529" s="69" t="str">
        <f>IF(AND(tblTarget[[#This Row],[Qualifies for exception]]="Flagged",tblTarget[[#This Row],[Target to PiN (%)]]&gt;Targ_severity5),"Flagged","")</f>
        <v/>
      </c>
      <c r="AL529" s="68" t="str">
        <f>IFERROR(IF(AND(tblTarget[[#This Row],[Intercluser Severity]]=4,tblTarget[[#This Row],[Qualifies for exception]]="Flagged",(tblTarget[[#This Row],[Cluster Target]]-tblTarget[[#This Row],[2024 Response capacity up to December]])/tblTarget[[#This Row],[Cluster Target]]&gt;Diff_severity4),"Flagged",""),"No target")</f>
        <v>Flagged</v>
      </c>
      <c r="AM529" s="68" t="str">
        <f>IFERROR(IF(AND(tblTarget[[#This Row],[Intercluser Severity]]=3,tblTarget[[#This Row],[Qualifies for exception]]="Flagged",(tblTarget[[#This Row],[Cluster Target]]-tblTarget[[#This Row],[2024 Response capacity up to December]])/tblTarget[[#This Row],[Cluster Target]]&gt;Diff_severity3),"Flagged",""),"No target")</f>
        <v/>
      </c>
      <c r="AN529" s="81" t="s">
        <v>1099</v>
      </c>
      <c r="AO529" s="81"/>
      <c r="AP529" s="81" t="s">
        <v>1099</v>
      </c>
      <c r="AQ529" s="81" t="s">
        <v>1107</v>
      </c>
    </row>
    <row r="530" spans="1:43" ht="15.95" hidden="1" customHeight="1" x14ac:dyDescent="0.2">
      <c r="A530" s="62" t="s">
        <v>967</v>
      </c>
      <c r="B530" s="63" t="s">
        <v>341</v>
      </c>
      <c r="C530" s="64" t="s">
        <v>342</v>
      </c>
      <c r="D530" s="63" t="s">
        <v>346</v>
      </c>
      <c r="E530" s="64" t="s">
        <v>347</v>
      </c>
      <c r="F530" s="65">
        <v>47908</v>
      </c>
      <c r="G530" s="66" t="s">
        <v>437</v>
      </c>
      <c r="H530" s="67">
        <v>4363</v>
      </c>
      <c r="I530" s="68">
        <v>3</v>
      </c>
      <c r="J530" s="68">
        <v>4</v>
      </c>
      <c r="K530" s="91">
        <v>52.559999999999995</v>
      </c>
      <c r="L530" s="91">
        <v>27.13185466278858</v>
      </c>
      <c r="M530" s="91">
        <v>25.428145337211411</v>
      </c>
      <c r="N530" s="91">
        <v>26.279999999999998</v>
      </c>
      <c r="O530" s="91">
        <v>23.126399999999997</v>
      </c>
      <c r="P530" s="91">
        <v>3.1535999999999995</v>
      </c>
      <c r="Q530" s="85">
        <v>7.8839999999999986</v>
      </c>
      <c r="R530" s="68" t="s">
        <v>1107</v>
      </c>
      <c r="S530" s="86">
        <v>8</v>
      </c>
      <c r="T530" s="68">
        <v>2</v>
      </c>
      <c r="U530" s="68">
        <v>0</v>
      </c>
      <c r="V530" s="68">
        <v>0</v>
      </c>
      <c r="W530" s="68">
        <v>1</v>
      </c>
      <c r="X530" s="68">
        <v>1</v>
      </c>
      <c r="Y530" s="68">
        <v>4</v>
      </c>
      <c r="Z530" s="68">
        <v>0</v>
      </c>
      <c r="AA530" s="68">
        <v>0</v>
      </c>
      <c r="AB530" s="69">
        <v>0</v>
      </c>
      <c r="AC530" s="69">
        <v>0</v>
      </c>
      <c r="AD530" s="70">
        <f>IFERROR(tblTarget[[#This Row],[Cluster Target]]/tblTarget[[#This Row],[Cluster PiN]],0)</f>
        <v>1.2046756818702726E-2</v>
      </c>
      <c r="AE530" s="79">
        <f>_xlfn.XLOOKUP(tblTarget[[#This Row],[ID]],tblResponse[ID],tblResponse[2024 Projected reached (Dec 2024)])</f>
        <v>0</v>
      </c>
      <c r="AF530" s="79">
        <f>_xlfn.XLOOKUP(tblTarget[[#This Row],[ID]],tblResponse[ID],tblResponse[2024 Intercluster reached -August RPM])</f>
        <v>1116.4319968294094</v>
      </c>
      <c r="AG530" s="79">
        <v>2</v>
      </c>
      <c r="AH530" s="79"/>
      <c r="AI530" s="79"/>
      <c r="AJ530" s="70" t="str">
        <f>IF(tblTarget[[#This Row],[Target to PiN (%)]]&gt;Targ_vs_PiN,"Flagged","")</f>
        <v/>
      </c>
      <c r="AK530" s="69" t="str">
        <f>IF(AND(tblTarget[[#This Row],[Qualifies for exception]]="Flagged",tblTarget[[#This Row],[Target to PiN (%)]]&gt;Targ_severity5),"Flagged","")</f>
        <v/>
      </c>
      <c r="AL530" s="68" t="str">
        <f>IFERROR(IF(AND(tblTarget[[#This Row],[Intercluser Severity]]=4,tblTarget[[#This Row],[Qualifies for exception]]="Flagged",(tblTarget[[#This Row],[Cluster Target]]-tblTarget[[#This Row],[2024 Response capacity up to December]])/tblTarget[[#This Row],[Cluster Target]]&gt;Diff_severity4),"Flagged",""),"No target")</f>
        <v>Flagged</v>
      </c>
      <c r="AM530" s="68" t="str">
        <f>IFERROR(IF(AND(tblTarget[[#This Row],[Intercluser Severity]]=3,tblTarget[[#This Row],[Qualifies for exception]]="Flagged",(tblTarget[[#This Row],[Cluster Target]]-tblTarget[[#This Row],[2024 Response capacity up to December]])/tblTarget[[#This Row],[Cluster Target]]&gt;Diff_severity3),"Flagged",""),"No target")</f>
        <v/>
      </c>
      <c r="AN530" s="81" t="s">
        <v>1099</v>
      </c>
      <c r="AO530" s="81"/>
      <c r="AP530" s="81" t="s">
        <v>1099</v>
      </c>
      <c r="AQ530" s="81" t="s">
        <v>1107</v>
      </c>
    </row>
    <row r="531" spans="1:43" ht="15.95" customHeight="1" x14ac:dyDescent="0.2">
      <c r="A531" s="62" t="s">
        <v>968</v>
      </c>
      <c r="B531" s="63" t="s">
        <v>341</v>
      </c>
      <c r="C531" s="64" t="s">
        <v>342</v>
      </c>
      <c r="D531" s="63" t="s">
        <v>348</v>
      </c>
      <c r="E531" s="64" t="s">
        <v>349</v>
      </c>
      <c r="F531" s="65">
        <v>228846</v>
      </c>
      <c r="G531" s="66" t="s">
        <v>437</v>
      </c>
      <c r="H531" s="67">
        <v>20840</v>
      </c>
      <c r="I531" s="68">
        <v>3</v>
      </c>
      <c r="J531" s="68">
        <v>3</v>
      </c>
      <c r="K531" s="91">
        <v>53.46</v>
      </c>
      <c r="L531" s="91">
        <v>27.84895406863685</v>
      </c>
      <c r="M531" s="91">
        <v>25.611045931363151</v>
      </c>
      <c r="N531" s="91">
        <v>26.73</v>
      </c>
      <c r="O531" s="91">
        <v>23.522400000000001</v>
      </c>
      <c r="P531" s="91">
        <v>3.2075999999999998</v>
      </c>
      <c r="Q531" s="85">
        <v>8.0190000000000001</v>
      </c>
      <c r="R531" s="68" t="s">
        <v>15</v>
      </c>
      <c r="S531" s="86">
        <v>8</v>
      </c>
      <c r="T531" s="68">
        <v>2</v>
      </c>
      <c r="U531" s="68">
        <v>0</v>
      </c>
      <c r="V531" s="68">
        <v>0</v>
      </c>
      <c r="W531" s="68">
        <v>1</v>
      </c>
      <c r="X531" s="68">
        <v>1</v>
      </c>
      <c r="Y531" s="68">
        <v>4</v>
      </c>
      <c r="Z531" s="68">
        <v>0</v>
      </c>
      <c r="AA531" s="68">
        <v>0</v>
      </c>
      <c r="AB531" s="69">
        <v>0</v>
      </c>
      <c r="AC531" s="69">
        <v>0</v>
      </c>
      <c r="AD531" s="70">
        <f>IFERROR(tblTarget[[#This Row],[Cluster Target]]/tblTarget[[#This Row],[Cluster PiN]],0)</f>
        <v>2.5652591170825336E-3</v>
      </c>
      <c r="AE531" s="79">
        <f>_xlfn.XLOOKUP(tblTarget[[#This Row],[ID]],tblResponse[ID],tblResponse[2024 Projected reached (Dec 2024)])</f>
        <v>0</v>
      </c>
      <c r="AF531" s="79">
        <f>_xlfn.XLOOKUP(tblTarget[[#This Row],[ID]],tblResponse[ID],tblResponse[2024 Intercluster reached -August RPM])</f>
        <v>1116.4319968294094</v>
      </c>
      <c r="AG531" s="79">
        <v>2</v>
      </c>
      <c r="AH531" s="79"/>
      <c r="AI531" s="79"/>
      <c r="AJ531" s="70" t="str">
        <f>IF(tblTarget[[#This Row],[Target to PiN (%)]]&gt;Targ_vs_PiN,"Flagged","")</f>
        <v/>
      </c>
      <c r="AK531" s="69" t="str">
        <f>IF(AND(tblTarget[[#This Row],[Qualifies for exception]]="Flagged",tblTarget[[#This Row],[Target to PiN (%)]]&gt;Targ_severity5),"Flagged","")</f>
        <v/>
      </c>
      <c r="AL531" s="68" t="str">
        <f>IFERROR(IF(AND(tblTarget[[#This Row],[Intercluser Severity]]=4,tblTarget[[#This Row],[Qualifies for exception]]="Flagged",(tblTarget[[#This Row],[Cluster Target]]-tblTarget[[#This Row],[2024 Response capacity up to December]])/tblTarget[[#This Row],[Cluster Target]]&gt;Diff_severity4),"Flagged",""),"No target")</f>
        <v/>
      </c>
      <c r="AM531" s="68" t="str">
        <f>IFERROR(IF(AND(tblTarget[[#This Row],[Intercluser Severity]]=3,tblTarget[[#This Row],[Qualifies for exception]]="Flagged",(tblTarget[[#This Row],[Cluster Target]]-tblTarget[[#This Row],[2024 Response capacity up to December]])/tblTarget[[#This Row],[Cluster Target]]&gt;Diff_severity3),"Flagged",""),"No target")</f>
        <v>Flagged</v>
      </c>
      <c r="AN531" s="81" t="s">
        <v>1099</v>
      </c>
      <c r="AO531" s="81"/>
      <c r="AP531" s="81" t="s">
        <v>1099</v>
      </c>
      <c r="AQ531" s="81" t="s">
        <v>1107</v>
      </c>
    </row>
    <row r="532" spans="1:43" ht="15.95" hidden="1" customHeight="1" x14ac:dyDescent="0.2">
      <c r="A532" s="62" t="s">
        <v>969</v>
      </c>
      <c r="B532" s="63" t="s">
        <v>341</v>
      </c>
      <c r="C532" s="64" t="s">
        <v>342</v>
      </c>
      <c r="D532" s="63" t="s">
        <v>350</v>
      </c>
      <c r="E532" s="64" t="s">
        <v>351</v>
      </c>
      <c r="F532" s="65">
        <v>255865</v>
      </c>
      <c r="G532" s="66" t="s">
        <v>437</v>
      </c>
      <c r="H532" s="67">
        <v>23301</v>
      </c>
      <c r="I532" s="68">
        <v>3</v>
      </c>
      <c r="J532" s="68">
        <v>3</v>
      </c>
      <c r="K532" s="91">
        <v>62.46</v>
      </c>
      <c r="L532" s="91">
        <v>32.985673540127927</v>
      </c>
      <c r="M532" s="91">
        <v>29.474326459872078</v>
      </c>
      <c r="N532" s="91">
        <v>31.23</v>
      </c>
      <c r="O532" s="91">
        <v>27.482400000000002</v>
      </c>
      <c r="P532" s="91">
        <v>3.7475999999999998</v>
      </c>
      <c r="Q532" s="85">
        <v>9.3689999999999998</v>
      </c>
      <c r="R532" s="68" t="s">
        <v>1107</v>
      </c>
      <c r="S532" s="86">
        <v>9</v>
      </c>
      <c r="T532" s="68">
        <v>2</v>
      </c>
      <c r="U532" s="68">
        <v>0</v>
      </c>
      <c r="V532" s="68">
        <v>0</v>
      </c>
      <c r="W532" s="68">
        <v>1</v>
      </c>
      <c r="X532" s="68">
        <v>1</v>
      </c>
      <c r="Y532" s="68">
        <v>4</v>
      </c>
      <c r="Z532" s="68">
        <v>0</v>
      </c>
      <c r="AA532" s="68">
        <v>0</v>
      </c>
      <c r="AB532" s="69">
        <v>0</v>
      </c>
      <c r="AC532" s="69">
        <v>0</v>
      </c>
      <c r="AD532" s="70">
        <f>IFERROR(tblTarget[[#This Row],[Cluster Target]]/tblTarget[[#This Row],[Cluster PiN]],0)</f>
        <v>2.6805716492854384E-3</v>
      </c>
      <c r="AE532" s="79">
        <f>_xlfn.XLOOKUP(tblTarget[[#This Row],[ID]],tblResponse[ID],tblResponse[2024 Projected reached (Dec 2024)])</f>
        <v>0</v>
      </c>
      <c r="AF532" s="79">
        <f>_xlfn.XLOOKUP(tblTarget[[#This Row],[ID]],tblResponse[ID],tblResponse[2024 Intercluster reached -August RPM])</f>
        <v>481.34593399301042</v>
      </c>
      <c r="AG532" s="79">
        <v>3</v>
      </c>
      <c r="AH532" s="79"/>
      <c r="AI532" s="79"/>
      <c r="AJ532" s="70" t="str">
        <f>IF(tblTarget[[#This Row],[Target to PiN (%)]]&gt;Targ_vs_PiN,"Flagged","")</f>
        <v/>
      </c>
      <c r="AK532" s="69" t="str">
        <f>IF(AND(tblTarget[[#This Row],[Qualifies for exception]]="Flagged",tblTarget[[#This Row],[Target to PiN (%)]]&gt;Targ_severity5),"Flagged","")</f>
        <v/>
      </c>
      <c r="AL532" s="68" t="str">
        <f>IFERROR(IF(AND(tblTarget[[#This Row],[Intercluser Severity]]=4,tblTarget[[#This Row],[Qualifies for exception]]="Flagged",(tblTarget[[#This Row],[Cluster Target]]-tblTarget[[#This Row],[2024 Response capacity up to December]])/tblTarget[[#This Row],[Cluster Target]]&gt;Diff_severity4),"Flagged",""),"No target")</f>
        <v/>
      </c>
      <c r="AM532" s="68" t="str">
        <f>IFERROR(IF(AND(tblTarget[[#This Row],[Intercluser Severity]]=3,tblTarget[[#This Row],[Qualifies for exception]]="Flagged",(tblTarget[[#This Row],[Cluster Target]]-tblTarget[[#This Row],[2024 Response capacity up to December]])/tblTarget[[#This Row],[Cluster Target]]&gt;Diff_severity3),"Flagged",""),"No target")</f>
        <v>Flagged</v>
      </c>
      <c r="AN532" s="81" t="s">
        <v>1099</v>
      </c>
      <c r="AO532" s="81"/>
      <c r="AP532" s="81" t="s">
        <v>1099</v>
      </c>
      <c r="AQ532" s="81" t="s">
        <v>1107</v>
      </c>
    </row>
    <row r="533" spans="1:43" ht="15.95" customHeight="1" x14ac:dyDescent="0.2">
      <c r="A533" s="62" t="s">
        <v>970</v>
      </c>
      <c r="B533" s="63" t="s">
        <v>341</v>
      </c>
      <c r="C533" s="64" t="s">
        <v>342</v>
      </c>
      <c r="D533" s="63" t="s">
        <v>352</v>
      </c>
      <c r="E533" s="64" t="s">
        <v>353</v>
      </c>
      <c r="F533" s="65">
        <v>302576</v>
      </c>
      <c r="G533" s="66" t="s">
        <v>437</v>
      </c>
      <c r="H533" s="67">
        <v>27554</v>
      </c>
      <c r="I533" s="68">
        <v>3</v>
      </c>
      <c r="J533" s="68">
        <v>3</v>
      </c>
      <c r="K533" s="91">
        <v>0</v>
      </c>
      <c r="L533" s="91">
        <v>0</v>
      </c>
      <c r="M533" s="91">
        <v>0</v>
      </c>
      <c r="N533" s="91">
        <v>0</v>
      </c>
      <c r="O533" s="91">
        <v>0</v>
      </c>
      <c r="P533" s="91">
        <v>0</v>
      </c>
      <c r="Q533" s="85">
        <v>0</v>
      </c>
      <c r="R533" s="68" t="s">
        <v>15</v>
      </c>
      <c r="S533" s="86">
        <v>0</v>
      </c>
      <c r="T533" s="68">
        <v>0</v>
      </c>
      <c r="U533" s="68">
        <v>0</v>
      </c>
      <c r="V533" s="68">
        <v>0</v>
      </c>
      <c r="W533" s="68">
        <v>0</v>
      </c>
      <c r="X533" s="68">
        <v>0</v>
      </c>
      <c r="Y533" s="68">
        <v>0</v>
      </c>
      <c r="Z533" s="68">
        <v>0</v>
      </c>
      <c r="AA533" s="68">
        <v>0</v>
      </c>
      <c r="AB533" s="69">
        <v>0</v>
      </c>
      <c r="AC533" s="69">
        <v>0</v>
      </c>
      <c r="AD533" s="70">
        <f>IFERROR(tblTarget[[#This Row],[Cluster Target]]/tblTarget[[#This Row],[Cluster PiN]],0)</f>
        <v>0</v>
      </c>
      <c r="AE533" s="79">
        <f>_xlfn.XLOOKUP(tblTarget[[#This Row],[ID]],tblResponse[ID],tblResponse[2024 Projected reached (Dec 2024)])</f>
        <v>0</v>
      </c>
      <c r="AF533" s="79">
        <f>_xlfn.XLOOKUP(tblTarget[[#This Row],[ID]],tblResponse[ID],tblResponse[2024 Intercluster reached -August RPM])</f>
        <v>2979.7867710576088</v>
      </c>
      <c r="AG533" s="79">
        <v>1</v>
      </c>
      <c r="AH533" s="79"/>
      <c r="AI533" s="79"/>
      <c r="AJ533" s="70" t="str">
        <f>IF(tblTarget[[#This Row],[Target to PiN (%)]]&gt;Targ_vs_PiN,"Flagged","")</f>
        <v/>
      </c>
      <c r="AK533" s="69" t="str">
        <f>IF(AND(tblTarget[[#This Row],[Qualifies for exception]]="Flagged",tblTarget[[#This Row],[Target to PiN (%)]]&gt;Targ_severity5),"Flagged","")</f>
        <v/>
      </c>
      <c r="AL533" s="68" t="str">
        <f>IFERROR(IF(AND(tblTarget[[#This Row],[Intercluser Severity]]=4,tblTarget[[#This Row],[Qualifies for exception]]="Flagged",(tblTarget[[#This Row],[Cluster Target]]-tblTarget[[#This Row],[2024 Response capacity up to December]])/tblTarget[[#This Row],[Cluster Target]]&gt;Diff_severity4),"Flagged",""),"No target")</f>
        <v>No target</v>
      </c>
      <c r="AM533" s="68" t="str">
        <f>IFERROR(IF(AND(tblTarget[[#This Row],[Intercluser Severity]]=3,tblTarget[[#This Row],[Qualifies for exception]]="Flagged",(tblTarget[[#This Row],[Cluster Target]]-tblTarget[[#This Row],[2024 Response capacity up to December]])/tblTarget[[#This Row],[Cluster Target]]&gt;Diff_severity3),"Flagged",""),"No target")</f>
        <v>No target</v>
      </c>
      <c r="AN533" s="81" t="s">
        <v>1099</v>
      </c>
      <c r="AO533" s="81"/>
      <c r="AP533" s="81" t="s">
        <v>1099</v>
      </c>
      <c r="AQ533" s="81" t="s">
        <v>1107</v>
      </c>
    </row>
    <row r="534" spans="1:43" ht="15.95" hidden="1" customHeight="1" x14ac:dyDescent="0.2">
      <c r="A534" s="62" t="s">
        <v>971</v>
      </c>
      <c r="B534" s="63" t="s">
        <v>341</v>
      </c>
      <c r="C534" s="64" t="s">
        <v>342</v>
      </c>
      <c r="D534" s="63" t="s">
        <v>354</v>
      </c>
      <c r="E534" s="64" t="s">
        <v>355</v>
      </c>
      <c r="F534" s="65">
        <v>166149</v>
      </c>
      <c r="G534" s="66" t="s">
        <v>437</v>
      </c>
      <c r="H534" s="67">
        <v>15130</v>
      </c>
      <c r="I534" s="68">
        <v>3</v>
      </c>
      <c r="J534" s="68">
        <v>3</v>
      </c>
      <c r="K534" s="91">
        <v>62.46</v>
      </c>
      <c r="L534" s="91">
        <v>32.215700461393986</v>
      </c>
      <c r="M534" s="91">
        <v>30.244299538606022</v>
      </c>
      <c r="N534" s="91">
        <v>31.23</v>
      </c>
      <c r="O534" s="91">
        <v>27.482400000000002</v>
      </c>
      <c r="P534" s="91">
        <v>3.7475999999999998</v>
      </c>
      <c r="Q534" s="85">
        <v>9.3689999999999998</v>
      </c>
      <c r="R534" s="68" t="s">
        <v>1107</v>
      </c>
      <c r="S534" s="86">
        <v>9</v>
      </c>
      <c r="T534" s="68">
        <v>2</v>
      </c>
      <c r="U534" s="68">
        <v>0</v>
      </c>
      <c r="V534" s="68">
        <v>0</v>
      </c>
      <c r="W534" s="68">
        <v>1</v>
      </c>
      <c r="X534" s="68">
        <v>1</v>
      </c>
      <c r="Y534" s="68">
        <v>4</v>
      </c>
      <c r="Z534" s="68">
        <v>0</v>
      </c>
      <c r="AA534" s="68">
        <v>0</v>
      </c>
      <c r="AB534" s="69">
        <v>0</v>
      </c>
      <c r="AC534" s="69">
        <v>0</v>
      </c>
      <c r="AD534" s="70">
        <f>IFERROR(tblTarget[[#This Row],[Cluster Target]]/tblTarget[[#This Row],[Cluster PiN]],0)</f>
        <v>4.1282220753469925E-3</v>
      </c>
      <c r="AE534" s="79">
        <f>_xlfn.XLOOKUP(tblTarget[[#This Row],[ID]],tblResponse[ID],tblResponse[2024 Projected reached (Dec 2024)])</f>
        <v>0</v>
      </c>
      <c r="AF534" s="79">
        <f>_xlfn.XLOOKUP(tblTarget[[#This Row],[ID]],tblResponse[ID],tblResponse[2024 Intercluster reached -August RPM])</f>
        <v>501.65011057534792</v>
      </c>
      <c r="AG534" s="79">
        <v>3</v>
      </c>
      <c r="AH534" s="79"/>
      <c r="AI534" s="79"/>
      <c r="AJ534" s="70" t="str">
        <f>IF(tblTarget[[#This Row],[Target to PiN (%)]]&gt;Targ_vs_PiN,"Flagged","")</f>
        <v/>
      </c>
      <c r="AK534" s="69" t="str">
        <f>IF(AND(tblTarget[[#This Row],[Qualifies for exception]]="Flagged",tblTarget[[#This Row],[Target to PiN (%)]]&gt;Targ_severity5),"Flagged","")</f>
        <v/>
      </c>
      <c r="AL534" s="68" t="str">
        <f>IFERROR(IF(AND(tblTarget[[#This Row],[Intercluser Severity]]=4,tblTarget[[#This Row],[Qualifies for exception]]="Flagged",(tblTarget[[#This Row],[Cluster Target]]-tblTarget[[#This Row],[2024 Response capacity up to December]])/tblTarget[[#This Row],[Cluster Target]]&gt;Diff_severity4),"Flagged",""),"No target")</f>
        <v/>
      </c>
      <c r="AM534" s="68" t="str">
        <f>IFERROR(IF(AND(tblTarget[[#This Row],[Intercluser Severity]]=3,tblTarget[[#This Row],[Qualifies for exception]]="Flagged",(tblTarget[[#This Row],[Cluster Target]]-tblTarget[[#This Row],[2024 Response capacity up to December]])/tblTarget[[#This Row],[Cluster Target]]&gt;Diff_severity3),"Flagged",""),"No target")</f>
        <v>Flagged</v>
      </c>
      <c r="AN534" s="81" t="s">
        <v>1099</v>
      </c>
      <c r="AO534" s="81"/>
      <c r="AP534" s="81" t="s">
        <v>1099</v>
      </c>
      <c r="AQ534" s="81" t="s">
        <v>1107</v>
      </c>
    </row>
    <row r="535" spans="1:43" ht="15.95" customHeight="1" x14ac:dyDescent="0.2">
      <c r="A535" s="62" t="s">
        <v>972</v>
      </c>
      <c r="B535" s="63" t="s">
        <v>356</v>
      </c>
      <c r="C535" s="64" t="s">
        <v>357</v>
      </c>
      <c r="D535" s="63" t="s">
        <v>358</v>
      </c>
      <c r="E535" s="64" t="s">
        <v>359</v>
      </c>
      <c r="F535" s="65">
        <v>214843</v>
      </c>
      <c r="G535" s="66" t="s">
        <v>437</v>
      </c>
      <c r="H535" s="67">
        <v>58694</v>
      </c>
      <c r="I535" s="68">
        <v>4</v>
      </c>
      <c r="J535" s="68">
        <v>4</v>
      </c>
      <c r="K535" s="91">
        <v>98.46</v>
      </c>
      <c r="L535" s="91">
        <v>49.901179864169833</v>
      </c>
      <c r="M535" s="91">
        <v>48.55882013583016</v>
      </c>
      <c r="N535" s="91">
        <v>49.23</v>
      </c>
      <c r="O535" s="91">
        <v>43.322399999999995</v>
      </c>
      <c r="P535" s="91">
        <v>5.9075999999999995</v>
      </c>
      <c r="Q535" s="85">
        <v>14.768999999999998</v>
      </c>
      <c r="R535" s="68" t="s">
        <v>15</v>
      </c>
      <c r="S535" s="86">
        <v>14</v>
      </c>
      <c r="T535" s="68">
        <v>4</v>
      </c>
      <c r="U535" s="68">
        <v>0</v>
      </c>
      <c r="V535" s="68">
        <v>0</v>
      </c>
      <c r="W535" s="68">
        <v>1</v>
      </c>
      <c r="X535" s="68">
        <v>2</v>
      </c>
      <c r="Y535" s="68">
        <v>7</v>
      </c>
      <c r="Z535" s="68">
        <v>0</v>
      </c>
      <c r="AA535" s="68">
        <v>0</v>
      </c>
      <c r="AB535" s="69">
        <v>0</v>
      </c>
      <c r="AC535" s="69">
        <v>0</v>
      </c>
      <c r="AD535" s="70">
        <f>IFERROR(tblTarget[[#This Row],[Cluster Target]]/tblTarget[[#This Row],[Cluster PiN]],0)</f>
        <v>1.6775138855760383E-3</v>
      </c>
      <c r="AE535" s="79">
        <f>_xlfn.XLOOKUP(tblTarget[[#This Row],[ID]],tblResponse[ID],tblResponse[2024 Projected reached (Dec 2024)])</f>
        <v>0</v>
      </c>
      <c r="AF535" s="79">
        <f>_xlfn.XLOOKUP(tblTarget[[#This Row],[ID]],tblResponse[ID],tblResponse[2024 Intercluster reached -August RPM])</f>
        <v>36.127739417399688</v>
      </c>
      <c r="AG535" s="79">
        <v>1</v>
      </c>
      <c r="AH535" s="79"/>
      <c r="AI535" s="79"/>
      <c r="AJ535" s="70" t="str">
        <f>IF(tblTarget[[#This Row],[Target to PiN (%)]]&gt;Targ_vs_PiN,"Flagged","")</f>
        <v/>
      </c>
      <c r="AK535" s="69" t="str">
        <f>IF(AND(tblTarget[[#This Row],[Qualifies for exception]]="Flagged",tblTarget[[#This Row],[Target to PiN (%)]]&gt;Targ_severity5),"Flagged","")</f>
        <v/>
      </c>
      <c r="AL535" s="68" t="str">
        <f>IFERROR(IF(AND(tblTarget[[#This Row],[Intercluser Severity]]=4,tblTarget[[#This Row],[Qualifies for exception]]="Flagged",(tblTarget[[#This Row],[Cluster Target]]-tblTarget[[#This Row],[2024 Response capacity up to December]])/tblTarget[[#This Row],[Cluster Target]]&gt;Diff_severity4),"Flagged",""),"No target")</f>
        <v/>
      </c>
      <c r="AM535" s="68" t="str">
        <f>IFERROR(IF(AND(tblTarget[[#This Row],[Intercluser Severity]]=3,tblTarget[[#This Row],[Qualifies for exception]]="Flagged",(tblTarget[[#This Row],[Cluster Target]]-tblTarget[[#This Row],[2024 Response capacity up to December]])/tblTarget[[#This Row],[Cluster Target]]&gt;Diff_severity3),"Flagged",""),"No target")</f>
        <v/>
      </c>
      <c r="AN535" s="81" t="s">
        <v>15</v>
      </c>
      <c r="AO535" s="81"/>
      <c r="AP535" s="81" t="s">
        <v>1099</v>
      </c>
      <c r="AQ535" s="81" t="s">
        <v>1098</v>
      </c>
    </row>
    <row r="536" spans="1:43" ht="15.95" hidden="1" customHeight="1" x14ac:dyDescent="0.2">
      <c r="A536" s="62" t="s">
        <v>973</v>
      </c>
      <c r="B536" s="63" t="s">
        <v>356</v>
      </c>
      <c r="C536" s="64" t="s">
        <v>357</v>
      </c>
      <c r="D536" s="63" t="s">
        <v>360</v>
      </c>
      <c r="E536" s="64" t="s">
        <v>361</v>
      </c>
      <c r="F536" s="65">
        <v>754177</v>
      </c>
      <c r="G536" s="66" t="s">
        <v>437</v>
      </c>
      <c r="H536" s="67">
        <v>171697</v>
      </c>
      <c r="I536" s="68">
        <v>4</v>
      </c>
      <c r="J536" s="68">
        <v>4</v>
      </c>
      <c r="K536" s="91">
        <v>104.58</v>
      </c>
      <c r="L536" s="91">
        <v>54.390722483059406</v>
      </c>
      <c r="M536" s="91">
        <v>50.189277516940592</v>
      </c>
      <c r="N536" s="91">
        <v>52.29</v>
      </c>
      <c r="O536" s="91">
        <v>46.0152</v>
      </c>
      <c r="P536" s="91">
        <v>6.2747999999999999</v>
      </c>
      <c r="Q536" s="85">
        <v>15.686999999999999</v>
      </c>
      <c r="R536" s="68" t="s">
        <v>1107</v>
      </c>
      <c r="S536" s="86">
        <v>15</v>
      </c>
      <c r="T536" s="68">
        <v>4</v>
      </c>
      <c r="U536" s="68">
        <v>0</v>
      </c>
      <c r="V536" s="68">
        <v>0</v>
      </c>
      <c r="W536" s="68">
        <v>1</v>
      </c>
      <c r="X536" s="68">
        <v>2</v>
      </c>
      <c r="Y536" s="68">
        <v>7</v>
      </c>
      <c r="Z536" s="68">
        <v>0</v>
      </c>
      <c r="AA536" s="68">
        <v>0</v>
      </c>
      <c r="AB536" s="69">
        <v>0</v>
      </c>
      <c r="AC536" s="69">
        <v>0</v>
      </c>
      <c r="AD536" s="70">
        <f>IFERROR(tblTarget[[#This Row],[Cluster Target]]/tblTarget[[#This Row],[Cluster PiN]],0)</f>
        <v>6.0909625677792851E-4</v>
      </c>
      <c r="AE536" s="79">
        <f>_xlfn.XLOOKUP(tblTarget[[#This Row],[ID]],tblResponse[ID],tblResponse[2024 Projected reached (Dec 2024)])</f>
        <v>0</v>
      </c>
      <c r="AF536" s="79">
        <f>_xlfn.XLOOKUP(tblTarget[[#This Row],[ID]],tblResponse[ID],tblResponse[2024 Intercluster reached -August RPM])</f>
        <v>164.56207633265495</v>
      </c>
      <c r="AG536" s="79">
        <v>1</v>
      </c>
      <c r="AH536" s="79"/>
      <c r="AI536" s="79"/>
      <c r="AJ536" s="70" t="str">
        <f>IF(tblTarget[[#This Row],[Target to PiN (%)]]&gt;Targ_vs_PiN,"Flagged","")</f>
        <v/>
      </c>
      <c r="AK536" s="69" t="str">
        <f>IF(AND(tblTarget[[#This Row],[Qualifies for exception]]="Flagged",tblTarget[[#This Row],[Target to PiN (%)]]&gt;Targ_severity5),"Flagged","")</f>
        <v/>
      </c>
      <c r="AL536" s="68" t="str">
        <f>IFERROR(IF(AND(tblTarget[[#This Row],[Intercluser Severity]]=4,tblTarget[[#This Row],[Qualifies for exception]]="Flagged",(tblTarget[[#This Row],[Cluster Target]]-tblTarget[[#This Row],[2024 Response capacity up to December]])/tblTarget[[#This Row],[Cluster Target]]&gt;Diff_severity4),"Flagged",""),"No target")</f>
        <v>Flagged</v>
      </c>
      <c r="AM536" s="68" t="str">
        <f>IFERROR(IF(AND(tblTarget[[#This Row],[Intercluser Severity]]=3,tblTarget[[#This Row],[Qualifies for exception]]="Flagged",(tblTarget[[#This Row],[Cluster Target]]-tblTarget[[#This Row],[2024 Response capacity up to December]])/tblTarget[[#This Row],[Cluster Target]]&gt;Diff_severity3),"Flagged",""),"No target")</f>
        <v/>
      </c>
      <c r="AN536" s="81" t="s">
        <v>1099</v>
      </c>
      <c r="AO536" s="81"/>
      <c r="AP536" s="81" t="s">
        <v>1099</v>
      </c>
      <c r="AQ536" s="81" t="s">
        <v>1107</v>
      </c>
    </row>
    <row r="537" spans="1:43" ht="15.95" hidden="1" customHeight="1" x14ac:dyDescent="0.2">
      <c r="A537" s="62" t="s">
        <v>974</v>
      </c>
      <c r="B537" s="63" t="s">
        <v>356</v>
      </c>
      <c r="C537" s="64" t="s">
        <v>357</v>
      </c>
      <c r="D537" s="63" t="s">
        <v>362</v>
      </c>
      <c r="E537" s="64" t="s">
        <v>363</v>
      </c>
      <c r="F537" s="65">
        <v>295661</v>
      </c>
      <c r="G537" s="66" t="s">
        <v>437</v>
      </c>
      <c r="H537" s="67">
        <v>67311</v>
      </c>
      <c r="I537" s="68">
        <v>4</v>
      </c>
      <c r="J537" s="68">
        <v>4</v>
      </c>
      <c r="K537" s="91">
        <v>139.13999999999999</v>
      </c>
      <c r="L537" s="91">
        <v>72.467375156611098</v>
      </c>
      <c r="M537" s="91">
        <v>66.672624843388888</v>
      </c>
      <c r="N537" s="91">
        <v>69.569999999999993</v>
      </c>
      <c r="O537" s="91">
        <v>61.221599999999995</v>
      </c>
      <c r="P537" s="91">
        <v>8.348399999999998</v>
      </c>
      <c r="Q537" s="85">
        <v>20.870999999999999</v>
      </c>
      <c r="R537" s="68" t="s">
        <v>1107</v>
      </c>
      <c r="S537" s="86">
        <v>20</v>
      </c>
      <c r="T537" s="68">
        <v>5</v>
      </c>
      <c r="U537" s="68">
        <v>0</v>
      </c>
      <c r="V537" s="68">
        <v>0</v>
      </c>
      <c r="W537" s="68">
        <v>1</v>
      </c>
      <c r="X537" s="68">
        <v>3</v>
      </c>
      <c r="Y537" s="68">
        <v>10</v>
      </c>
      <c r="Z537" s="68">
        <v>0</v>
      </c>
      <c r="AA537" s="68">
        <v>0</v>
      </c>
      <c r="AB537" s="69">
        <v>0</v>
      </c>
      <c r="AC537" s="69">
        <v>0</v>
      </c>
      <c r="AD537" s="70">
        <f>IFERROR(tblTarget[[#This Row],[Cluster Target]]/tblTarget[[#This Row],[Cluster PiN]],0)</f>
        <v>2.0671212728974458E-3</v>
      </c>
      <c r="AE537" s="79">
        <f>_xlfn.XLOOKUP(tblTarget[[#This Row],[ID]],tblResponse[ID],tblResponse[2024 Projected reached (Dec 2024)])</f>
        <v>0</v>
      </c>
      <c r="AF537" s="79">
        <f>_xlfn.XLOOKUP(tblTarget[[#This Row],[ID]],tblResponse[ID],tblResponse[2024 Intercluster reached -August RPM])</f>
        <v>57.548347996566619</v>
      </c>
      <c r="AG537" s="79">
        <v>1</v>
      </c>
      <c r="AH537" s="79"/>
      <c r="AI537" s="79"/>
      <c r="AJ537" s="70" t="str">
        <f>IF(tblTarget[[#This Row],[Target to PiN (%)]]&gt;Targ_vs_PiN,"Flagged","")</f>
        <v/>
      </c>
      <c r="AK537" s="69" t="str">
        <f>IF(AND(tblTarget[[#This Row],[Qualifies for exception]]="Flagged",tblTarget[[#This Row],[Target to PiN (%)]]&gt;Targ_severity5),"Flagged","")</f>
        <v/>
      </c>
      <c r="AL537" s="68" t="str">
        <f>IFERROR(IF(AND(tblTarget[[#This Row],[Intercluser Severity]]=4,tblTarget[[#This Row],[Qualifies for exception]]="Flagged",(tblTarget[[#This Row],[Cluster Target]]-tblTarget[[#This Row],[2024 Response capacity up to December]])/tblTarget[[#This Row],[Cluster Target]]&gt;Diff_severity4),"Flagged",""),"No target")</f>
        <v>Flagged</v>
      </c>
      <c r="AM537" s="68" t="str">
        <f>IFERROR(IF(AND(tblTarget[[#This Row],[Intercluser Severity]]=3,tblTarget[[#This Row],[Qualifies for exception]]="Flagged",(tblTarget[[#This Row],[Cluster Target]]-tblTarget[[#This Row],[2024 Response capacity up to December]])/tblTarget[[#This Row],[Cluster Target]]&gt;Diff_severity3),"Flagged",""),"No target")</f>
        <v/>
      </c>
      <c r="AN537" s="81" t="s">
        <v>1099</v>
      </c>
      <c r="AO537" s="81"/>
      <c r="AP537" s="81" t="s">
        <v>1099</v>
      </c>
      <c r="AQ537" s="81" t="s">
        <v>1107</v>
      </c>
    </row>
    <row r="538" spans="1:43" ht="15.95" hidden="1" customHeight="1" x14ac:dyDescent="0.2">
      <c r="A538" s="62" t="s">
        <v>975</v>
      </c>
      <c r="B538" s="63" t="s">
        <v>356</v>
      </c>
      <c r="C538" s="64" t="s">
        <v>357</v>
      </c>
      <c r="D538" s="63" t="s">
        <v>364</v>
      </c>
      <c r="E538" s="64" t="s">
        <v>365</v>
      </c>
      <c r="F538" s="65">
        <v>599444</v>
      </c>
      <c r="G538" s="66" t="s">
        <v>437</v>
      </c>
      <c r="H538" s="67">
        <v>136471</v>
      </c>
      <c r="I538" s="68">
        <v>4</v>
      </c>
      <c r="J538" s="68">
        <v>4</v>
      </c>
      <c r="K538" s="91">
        <v>134.28</v>
      </c>
      <c r="L538" s="91">
        <v>70.385987119229924</v>
      </c>
      <c r="M538" s="91">
        <v>63.894012880770077</v>
      </c>
      <c r="N538" s="91">
        <v>67.14</v>
      </c>
      <c r="O538" s="91">
        <v>59.083199999999998</v>
      </c>
      <c r="P538" s="91">
        <v>8.0567999999999991</v>
      </c>
      <c r="Q538" s="85">
        <v>20.141999999999999</v>
      </c>
      <c r="R538" s="68" t="s">
        <v>1107</v>
      </c>
      <c r="S538" s="86">
        <v>19</v>
      </c>
      <c r="T538" s="68">
        <v>5</v>
      </c>
      <c r="U538" s="68">
        <v>0</v>
      </c>
      <c r="V538" s="68">
        <v>0</v>
      </c>
      <c r="W538" s="68">
        <v>1</v>
      </c>
      <c r="X538" s="68">
        <v>3</v>
      </c>
      <c r="Y538" s="68">
        <v>9</v>
      </c>
      <c r="Z538" s="68">
        <v>0</v>
      </c>
      <c r="AA538" s="68">
        <v>0</v>
      </c>
      <c r="AB538" s="69">
        <v>0</v>
      </c>
      <c r="AC538" s="69">
        <v>0</v>
      </c>
      <c r="AD538" s="70">
        <f>IFERROR(tblTarget[[#This Row],[Cluster Target]]/tblTarget[[#This Row],[Cluster PiN]],0)</f>
        <v>9.8394530706157361E-4</v>
      </c>
      <c r="AE538" s="79">
        <f>_xlfn.XLOOKUP(tblTarget[[#This Row],[ID]],tblResponse[ID],tblResponse[2024 Projected reached (Dec 2024)])</f>
        <v>0</v>
      </c>
      <c r="AF538" s="79">
        <f>_xlfn.XLOOKUP(tblTarget[[#This Row],[ID]],tblResponse[ID],tblResponse[2024 Intercluster reached -August RPM])</f>
        <v>242.78674491050222</v>
      </c>
      <c r="AG538" s="79">
        <v>1</v>
      </c>
      <c r="AH538" s="79"/>
      <c r="AI538" s="79"/>
      <c r="AJ538" s="70" t="str">
        <f>IF(tblTarget[[#This Row],[Target to PiN (%)]]&gt;Targ_vs_PiN,"Flagged","")</f>
        <v/>
      </c>
      <c r="AK538" s="69" t="str">
        <f>IF(AND(tblTarget[[#This Row],[Qualifies for exception]]="Flagged",tblTarget[[#This Row],[Target to PiN (%)]]&gt;Targ_severity5),"Flagged","")</f>
        <v/>
      </c>
      <c r="AL538" s="68" t="str">
        <f>IFERROR(IF(AND(tblTarget[[#This Row],[Intercluser Severity]]=4,tblTarget[[#This Row],[Qualifies for exception]]="Flagged",(tblTarget[[#This Row],[Cluster Target]]-tblTarget[[#This Row],[2024 Response capacity up to December]])/tblTarget[[#This Row],[Cluster Target]]&gt;Diff_severity4),"Flagged",""),"No target")</f>
        <v>Flagged</v>
      </c>
      <c r="AM538" s="68" t="str">
        <f>IFERROR(IF(AND(tblTarget[[#This Row],[Intercluser Severity]]=3,tblTarget[[#This Row],[Qualifies for exception]]="Flagged",(tblTarget[[#This Row],[Cluster Target]]-tblTarget[[#This Row],[2024 Response capacity up to December]])/tblTarget[[#This Row],[Cluster Target]]&gt;Diff_severity3),"Flagged",""),"No target")</f>
        <v/>
      </c>
      <c r="AN538" s="81" t="s">
        <v>1099</v>
      </c>
      <c r="AO538" s="81"/>
      <c r="AP538" s="81" t="s">
        <v>1099</v>
      </c>
      <c r="AQ538" s="81" t="s">
        <v>1107</v>
      </c>
    </row>
    <row r="539" spans="1:43" ht="15.95" hidden="1" customHeight="1" x14ac:dyDescent="0.2">
      <c r="A539" s="62" t="s">
        <v>976</v>
      </c>
      <c r="B539" s="63" t="s">
        <v>356</v>
      </c>
      <c r="C539" s="64" t="s">
        <v>357</v>
      </c>
      <c r="D539" s="63" t="s">
        <v>366</v>
      </c>
      <c r="E539" s="64" t="s">
        <v>367</v>
      </c>
      <c r="F539" s="65">
        <v>790733</v>
      </c>
      <c r="G539" s="66" t="s">
        <v>437</v>
      </c>
      <c r="H539" s="67">
        <v>180020</v>
      </c>
      <c r="I539" s="68">
        <v>4</v>
      </c>
      <c r="J539" s="68">
        <v>4</v>
      </c>
      <c r="K539" s="91">
        <v>162.18</v>
      </c>
      <c r="L539" s="91">
        <v>84.100333035046489</v>
      </c>
      <c r="M539" s="91">
        <v>78.079666964953518</v>
      </c>
      <c r="N539" s="91">
        <v>81.09</v>
      </c>
      <c r="O539" s="91">
        <v>71.359200000000001</v>
      </c>
      <c r="P539" s="91">
        <v>9.7308000000000003</v>
      </c>
      <c r="Q539" s="85">
        <v>24.327000000000002</v>
      </c>
      <c r="R539" s="68" t="s">
        <v>1107</v>
      </c>
      <c r="S539" s="86">
        <v>23</v>
      </c>
      <c r="T539" s="68">
        <v>6</v>
      </c>
      <c r="U539" s="68">
        <v>0</v>
      </c>
      <c r="V539" s="68">
        <v>0</v>
      </c>
      <c r="W539" s="68">
        <v>2</v>
      </c>
      <c r="X539" s="68">
        <v>3</v>
      </c>
      <c r="Y539" s="68">
        <v>11</v>
      </c>
      <c r="Z539" s="68">
        <v>0</v>
      </c>
      <c r="AA539" s="68">
        <v>0</v>
      </c>
      <c r="AB539" s="69">
        <v>0</v>
      </c>
      <c r="AC539" s="69">
        <v>0</v>
      </c>
      <c r="AD539" s="70">
        <f>IFERROR(tblTarget[[#This Row],[Cluster Target]]/tblTarget[[#This Row],[Cluster PiN]],0)</f>
        <v>9.0089990001110995E-4</v>
      </c>
      <c r="AE539" s="79">
        <f>_xlfn.XLOOKUP(tblTarget[[#This Row],[ID]],tblResponse[ID],tblResponse[2024 Projected reached (Dec 2024)])</f>
        <v>0</v>
      </c>
      <c r="AF539" s="79">
        <f>_xlfn.XLOOKUP(tblTarget[[#This Row],[ID]],tblResponse[ID],tblResponse[2024 Intercluster reached -August RPM])</f>
        <v>2.8134086320101117</v>
      </c>
      <c r="AG539" s="79">
        <v>1</v>
      </c>
      <c r="AH539" s="79"/>
      <c r="AI539" s="79"/>
      <c r="AJ539" s="70" t="str">
        <f>IF(tblTarget[[#This Row],[Target to PiN (%)]]&gt;Targ_vs_PiN,"Flagged","")</f>
        <v/>
      </c>
      <c r="AK539" s="69" t="str">
        <f>IF(AND(tblTarget[[#This Row],[Qualifies for exception]]="Flagged",tblTarget[[#This Row],[Target to PiN (%)]]&gt;Targ_severity5),"Flagged","")</f>
        <v/>
      </c>
      <c r="AL539" s="68" t="str">
        <f>IFERROR(IF(AND(tblTarget[[#This Row],[Intercluser Severity]]=4,tblTarget[[#This Row],[Qualifies for exception]]="Flagged",(tblTarget[[#This Row],[Cluster Target]]-tblTarget[[#This Row],[2024 Response capacity up to December]])/tblTarget[[#This Row],[Cluster Target]]&gt;Diff_severity4),"Flagged",""),"No target")</f>
        <v>Flagged</v>
      </c>
      <c r="AM539" s="68" t="str">
        <f>IFERROR(IF(AND(tblTarget[[#This Row],[Intercluser Severity]]=3,tblTarget[[#This Row],[Qualifies for exception]]="Flagged",(tblTarget[[#This Row],[Cluster Target]]-tblTarget[[#This Row],[2024 Response capacity up to December]])/tblTarget[[#This Row],[Cluster Target]]&gt;Diff_severity3),"Flagged",""),"No target")</f>
        <v/>
      </c>
      <c r="AN539" s="81" t="s">
        <v>1099</v>
      </c>
      <c r="AO539" s="81"/>
      <c r="AP539" s="81" t="s">
        <v>1099</v>
      </c>
      <c r="AQ539" s="81" t="s">
        <v>1107</v>
      </c>
    </row>
    <row r="540" spans="1:43" ht="15.95" customHeight="1" x14ac:dyDescent="0.2">
      <c r="A540" s="62" t="s">
        <v>977</v>
      </c>
      <c r="B540" s="63" t="s">
        <v>356</v>
      </c>
      <c r="C540" s="64" t="s">
        <v>357</v>
      </c>
      <c r="D540" s="63" t="s">
        <v>368</v>
      </c>
      <c r="E540" s="64" t="s">
        <v>369</v>
      </c>
      <c r="F540" s="65">
        <v>524833</v>
      </c>
      <c r="G540" s="66" t="s">
        <v>437</v>
      </c>
      <c r="H540" s="67">
        <v>119484</v>
      </c>
      <c r="I540" s="68">
        <v>4</v>
      </c>
      <c r="J540" s="68">
        <v>4</v>
      </c>
      <c r="K540" s="91">
        <v>276.3</v>
      </c>
      <c r="L540" s="91">
        <v>140.74313824167396</v>
      </c>
      <c r="M540" s="91">
        <v>135.55686175832605</v>
      </c>
      <c r="N540" s="91">
        <v>138.15</v>
      </c>
      <c r="O540" s="91">
        <v>121.572</v>
      </c>
      <c r="P540" s="91">
        <v>16.577999999999999</v>
      </c>
      <c r="Q540" s="85">
        <v>41.445</v>
      </c>
      <c r="R540" s="68" t="s">
        <v>15</v>
      </c>
      <c r="S540" s="86">
        <v>40</v>
      </c>
      <c r="T540" s="68">
        <v>10</v>
      </c>
      <c r="U540" s="68">
        <v>0</v>
      </c>
      <c r="V540" s="68">
        <v>0</v>
      </c>
      <c r="W540" s="68">
        <v>3</v>
      </c>
      <c r="X540" s="68">
        <v>6</v>
      </c>
      <c r="Y540" s="68">
        <v>19</v>
      </c>
      <c r="Z540" s="68">
        <v>0</v>
      </c>
      <c r="AA540" s="68">
        <v>0</v>
      </c>
      <c r="AB540" s="69">
        <v>0</v>
      </c>
      <c r="AC540" s="69">
        <v>0</v>
      </c>
      <c r="AD540" s="70">
        <f>IFERROR(tblTarget[[#This Row],[Cluster Target]]/tblTarget[[#This Row],[Cluster PiN]],0)</f>
        <v>2.3124435070804462E-3</v>
      </c>
      <c r="AE540" s="79">
        <f>_xlfn.XLOOKUP(tblTarget[[#This Row],[ID]],tblResponse[ID],tblResponse[2024 Projected reached (Dec 2024)])</f>
        <v>0</v>
      </c>
      <c r="AF540" s="79">
        <f>_xlfn.XLOOKUP(tblTarget[[#This Row],[ID]],tblResponse[ID],tblResponse[2024 Intercluster reached -August RPM])</f>
        <v>43.391990276769711</v>
      </c>
      <c r="AG540" s="79">
        <v>1</v>
      </c>
      <c r="AH540" s="79"/>
      <c r="AI540" s="79"/>
      <c r="AJ540" s="70" t="str">
        <f>IF(tblTarget[[#This Row],[Target to PiN (%)]]&gt;Targ_vs_PiN,"Flagged","")</f>
        <v/>
      </c>
      <c r="AK540" s="69" t="str">
        <f>IF(AND(tblTarget[[#This Row],[Qualifies for exception]]="Flagged",tblTarget[[#This Row],[Target to PiN (%)]]&gt;Targ_severity5),"Flagged","")</f>
        <v/>
      </c>
      <c r="AL540" s="68" t="str">
        <f>IFERROR(IF(AND(tblTarget[[#This Row],[Intercluser Severity]]=4,tblTarget[[#This Row],[Qualifies for exception]]="Flagged",(tblTarget[[#This Row],[Cluster Target]]-tblTarget[[#This Row],[2024 Response capacity up to December]])/tblTarget[[#This Row],[Cluster Target]]&gt;Diff_severity4),"Flagged",""),"No target")</f>
        <v/>
      </c>
      <c r="AM540" s="68" t="str">
        <f>IFERROR(IF(AND(tblTarget[[#This Row],[Intercluser Severity]]=3,tblTarget[[#This Row],[Qualifies for exception]]="Flagged",(tblTarget[[#This Row],[Cluster Target]]-tblTarget[[#This Row],[2024 Response capacity up to December]])/tblTarget[[#This Row],[Cluster Target]]&gt;Diff_severity3),"Flagged",""),"No target")</f>
        <v/>
      </c>
      <c r="AN540" s="81" t="s">
        <v>1099</v>
      </c>
      <c r="AO540" s="81"/>
      <c r="AP540" s="81" t="s">
        <v>15</v>
      </c>
      <c r="AQ540" s="81" t="s">
        <v>1098</v>
      </c>
    </row>
    <row r="541" spans="1:43" ht="15.95" hidden="1" customHeight="1" x14ac:dyDescent="0.2">
      <c r="A541" s="62" t="s">
        <v>978</v>
      </c>
      <c r="B541" s="63" t="s">
        <v>356</v>
      </c>
      <c r="C541" s="64" t="s">
        <v>357</v>
      </c>
      <c r="D541" s="63" t="s">
        <v>370</v>
      </c>
      <c r="E541" s="64" t="s">
        <v>371</v>
      </c>
      <c r="F541" s="65">
        <v>725439</v>
      </c>
      <c r="G541" s="66" t="s">
        <v>437</v>
      </c>
      <c r="H541" s="67">
        <v>49458</v>
      </c>
      <c r="I541" s="68">
        <v>3</v>
      </c>
      <c r="J541" s="68">
        <v>4</v>
      </c>
      <c r="K541" s="91">
        <v>630</v>
      </c>
      <c r="L541" s="91">
        <v>328.76576811646362</v>
      </c>
      <c r="M541" s="91">
        <v>301.23423188353638</v>
      </c>
      <c r="N541" s="91">
        <v>315</v>
      </c>
      <c r="O541" s="91">
        <v>277.2</v>
      </c>
      <c r="P541" s="91">
        <v>37.799999999999997</v>
      </c>
      <c r="Q541" s="85">
        <v>94.5</v>
      </c>
      <c r="R541" s="68" t="s">
        <v>1107</v>
      </c>
      <c r="S541" s="86">
        <v>91</v>
      </c>
      <c r="T541" s="68">
        <v>23</v>
      </c>
      <c r="U541" s="68">
        <v>0</v>
      </c>
      <c r="V541" s="68">
        <v>0</v>
      </c>
      <c r="W541" s="68">
        <v>6</v>
      </c>
      <c r="X541" s="68">
        <v>13</v>
      </c>
      <c r="Y541" s="68">
        <v>44</v>
      </c>
      <c r="Z541" s="68">
        <v>0</v>
      </c>
      <c r="AA541" s="68">
        <v>0</v>
      </c>
      <c r="AB541" s="69">
        <v>0</v>
      </c>
      <c r="AC541" s="69">
        <v>0</v>
      </c>
      <c r="AD541" s="70">
        <f>IFERROR(tblTarget[[#This Row],[Cluster Target]]/tblTarget[[#This Row],[Cluster PiN]],0)</f>
        <v>1.2738080795826763E-2</v>
      </c>
      <c r="AE541" s="79">
        <f>_xlfn.XLOOKUP(tblTarget[[#This Row],[ID]],tblResponse[ID],tblResponse[2024 Projected reached (Dec 2024)])</f>
        <v>0</v>
      </c>
      <c r="AF541" s="79">
        <f>_xlfn.XLOOKUP(tblTarget[[#This Row],[ID]],tblResponse[ID],tblResponse[2024 Intercluster reached -August RPM])</f>
        <v>2475.3530233701663</v>
      </c>
      <c r="AG541" s="79">
        <v>5</v>
      </c>
      <c r="AH541" s="79"/>
      <c r="AI541" s="79"/>
      <c r="AJ541" s="70" t="str">
        <f>IF(tblTarget[[#This Row],[Target to PiN (%)]]&gt;Targ_vs_PiN,"Flagged","")</f>
        <v/>
      </c>
      <c r="AK541" s="69" t="str">
        <f>IF(AND(tblTarget[[#This Row],[Qualifies for exception]]="Flagged",tblTarget[[#This Row],[Target to PiN (%)]]&gt;Targ_severity5),"Flagged","")</f>
        <v/>
      </c>
      <c r="AL541" s="68" t="str">
        <f>IFERROR(IF(AND(tblTarget[[#This Row],[Intercluser Severity]]=4,tblTarget[[#This Row],[Qualifies for exception]]="Flagged",(tblTarget[[#This Row],[Cluster Target]]-tblTarget[[#This Row],[2024 Response capacity up to December]])/tblTarget[[#This Row],[Cluster Target]]&gt;Diff_severity4),"Flagged",""),"No target")</f>
        <v>Flagged</v>
      </c>
      <c r="AM541" s="68" t="str">
        <f>IFERROR(IF(AND(tblTarget[[#This Row],[Intercluser Severity]]=3,tblTarget[[#This Row],[Qualifies for exception]]="Flagged",(tblTarget[[#This Row],[Cluster Target]]-tblTarget[[#This Row],[2024 Response capacity up to December]])/tblTarget[[#This Row],[Cluster Target]]&gt;Diff_severity3),"Flagged",""),"No target")</f>
        <v/>
      </c>
      <c r="AN541" s="81" t="s">
        <v>1099</v>
      </c>
      <c r="AO541" s="81"/>
      <c r="AP541" s="81" t="s">
        <v>1099</v>
      </c>
      <c r="AQ541" s="81" t="s">
        <v>1107</v>
      </c>
    </row>
    <row r="542" spans="1:43" ht="15.95" hidden="1" customHeight="1" x14ac:dyDescent="0.2">
      <c r="A542" s="62" t="s">
        <v>979</v>
      </c>
      <c r="B542" s="63" t="s">
        <v>356</v>
      </c>
      <c r="C542" s="64" t="s">
        <v>357</v>
      </c>
      <c r="D542" s="63" t="s">
        <v>372</v>
      </c>
      <c r="E542" s="64" t="s">
        <v>373</v>
      </c>
      <c r="F542" s="65">
        <v>419203</v>
      </c>
      <c r="G542" s="66" t="s">
        <v>437</v>
      </c>
      <c r="H542" s="67">
        <v>19779</v>
      </c>
      <c r="I542" s="68">
        <v>3</v>
      </c>
      <c r="J542" s="68">
        <v>4</v>
      </c>
      <c r="K542" s="91">
        <v>310.86</v>
      </c>
      <c r="L542" s="91">
        <v>162.44353382895832</v>
      </c>
      <c r="M542" s="91">
        <v>148.41646617104166</v>
      </c>
      <c r="N542" s="91">
        <v>155.43</v>
      </c>
      <c r="O542" s="91">
        <v>136.7784</v>
      </c>
      <c r="P542" s="91">
        <v>18.651599999999998</v>
      </c>
      <c r="Q542" s="85">
        <v>46.628999999999998</v>
      </c>
      <c r="R542" s="68" t="s">
        <v>1107</v>
      </c>
      <c r="S542" s="86">
        <v>45</v>
      </c>
      <c r="T542" s="68">
        <v>11</v>
      </c>
      <c r="U542" s="68">
        <v>0</v>
      </c>
      <c r="V542" s="68">
        <v>0</v>
      </c>
      <c r="W542" s="68">
        <v>3</v>
      </c>
      <c r="X542" s="68">
        <v>6</v>
      </c>
      <c r="Y542" s="68">
        <v>22</v>
      </c>
      <c r="Z542" s="68">
        <v>0</v>
      </c>
      <c r="AA542" s="68">
        <v>0</v>
      </c>
      <c r="AB542" s="69">
        <v>0</v>
      </c>
      <c r="AC542" s="69">
        <v>0</v>
      </c>
      <c r="AD542" s="70">
        <f>IFERROR(tblTarget[[#This Row],[Cluster Target]]/tblTarget[[#This Row],[Cluster PiN]],0)</f>
        <v>1.5716669194600335E-2</v>
      </c>
      <c r="AE542" s="79">
        <f>_xlfn.XLOOKUP(tblTarget[[#This Row],[ID]],tblResponse[ID],tblResponse[2024 Projected reached (Dec 2024)])</f>
        <v>0</v>
      </c>
      <c r="AF542" s="79">
        <f>_xlfn.XLOOKUP(tblTarget[[#This Row],[ID]],tblResponse[ID],tblResponse[2024 Intercluster reached -August RPM])</f>
        <v>2255.2670623951954</v>
      </c>
      <c r="AG542" s="79">
        <v>2</v>
      </c>
      <c r="AH542" s="79"/>
      <c r="AI542" s="79"/>
      <c r="AJ542" s="70" t="str">
        <f>IF(tblTarget[[#This Row],[Target to PiN (%)]]&gt;Targ_vs_PiN,"Flagged","")</f>
        <v/>
      </c>
      <c r="AK542" s="69" t="str">
        <f>IF(AND(tblTarget[[#This Row],[Qualifies for exception]]="Flagged",tblTarget[[#This Row],[Target to PiN (%)]]&gt;Targ_severity5),"Flagged","")</f>
        <v/>
      </c>
      <c r="AL542" s="68" t="str">
        <f>IFERROR(IF(AND(tblTarget[[#This Row],[Intercluser Severity]]=4,tblTarget[[#This Row],[Qualifies for exception]]="Flagged",(tblTarget[[#This Row],[Cluster Target]]-tblTarget[[#This Row],[2024 Response capacity up to December]])/tblTarget[[#This Row],[Cluster Target]]&gt;Diff_severity4),"Flagged",""),"No target")</f>
        <v>Flagged</v>
      </c>
      <c r="AM542" s="68" t="str">
        <f>IFERROR(IF(AND(tblTarget[[#This Row],[Intercluser Severity]]=3,tblTarget[[#This Row],[Qualifies for exception]]="Flagged",(tblTarget[[#This Row],[Cluster Target]]-tblTarget[[#This Row],[2024 Response capacity up to December]])/tblTarget[[#This Row],[Cluster Target]]&gt;Diff_severity3),"Flagged",""),"No target")</f>
        <v/>
      </c>
      <c r="AN542" s="81" t="s">
        <v>1099</v>
      </c>
      <c r="AO542" s="81"/>
      <c r="AP542" s="81" t="s">
        <v>1099</v>
      </c>
      <c r="AQ542" s="81" t="s">
        <v>1107</v>
      </c>
    </row>
    <row r="543" spans="1:43" ht="15.95" hidden="1" customHeight="1" x14ac:dyDescent="0.2">
      <c r="A543" s="62" t="s">
        <v>980</v>
      </c>
      <c r="B543" s="63" t="s">
        <v>374</v>
      </c>
      <c r="C543" s="64" t="s">
        <v>375</v>
      </c>
      <c r="D543" s="63" t="s">
        <v>376</v>
      </c>
      <c r="E543" s="64" t="s">
        <v>377</v>
      </c>
      <c r="F543" s="65">
        <v>88417</v>
      </c>
      <c r="G543" s="66" t="s">
        <v>437</v>
      </c>
      <c r="H543" s="67">
        <v>1858</v>
      </c>
      <c r="I543" s="68">
        <v>2</v>
      </c>
      <c r="J543" s="68">
        <v>3</v>
      </c>
      <c r="K543" s="91">
        <v>0</v>
      </c>
      <c r="L543" s="91">
        <v>0</v>
      </c>
      <c r="M543" s="91">
        <v>0</v>
      </c>
      <c r="N543" s="91">
        <v>0</v>
      </c>
      <c r="O543" s="91">
        <v>0</v>
      </c>
      <c r="P543" s="91">
        <v>0</v>
      </c>
      <c r="Q543" s="85">
        <v>0</v>
      </c>
      <c r="R543" s="68" t="s">
        <v>1107</v>
      </c>
      <c r="S543" s="86">
        <v>0</v>
      </c>
      <c r="T543" s="68">
        <v>0</v>
      </c>
      <c r="U543" s="68">
        <v>0</v>
      </c>
      <c r="V543" s="68">
        <v>0</v>
      </c>
      <c r="W543" s="68">
        <v>0</v>
      </c>
      <c r="X543" s="68">
        <v>0</v>
      </c>
      <c r="Y543" s="68">
        <v>0</v>
      </c>
      <c r="Z543" s="68">
        <v>0</v>
      </c>
      <c r="AA543" s="68">
        <v>0</v>
      </c>
      <c r="AB543" s="69">
        <v>0</v>
      </c>
      <c r="AC543" s="69">
        <v>0</v>
      </c>
      <c r="AD543" s="70">
        <f>IFERROR(tblTarget[[#This Row],[Cluster Target]]/tblTarget[[#This Row],[Cluster PiN]],0)</f>
        <v>0</v>
      </c>
      <c r="AE543" s="79">
        <f>_xlfn.XLOOKUP(tblTarget[[#This Row],[ID]],tblResponse[ID],tblResponse[2024 Projected reached (Dec 2024)])</f>
        <v>0</v>
      </c>
      <c r="AF543" s="79">
        <f>_xlfn.XLOOKUP(tblTarget[[#This Row],[ID]],tblResponse[ID],tblResponse[2024 Intercluster reached -August RPM])</f>
        <v>928.73744952244908</v>
      </c>
      <c r="AG543" s="79">
        <v>3</v>
      </c>
      <c r="AH543" s="79"/>
      <c r="AI543" s="79"/>
      <c r="AJ543" s="70" t="str">
        <f>IF(tblTarget[[#This Row],[Target to PiN (%)]]&gt;Targ_vs_PiN,"Flagged","")</f>
        <v/>
      </c>
      <c r="AK543" s="69" t="str">
        <f>IF(AND(tblTarget[[#This Row],[Qualifies for exception]]="Flagged",tblTarget[[#This Row],[Target to PiN (%)]]&gt;Targ_severity5),"Flagged","")</f>
        <v/>
      </c>
      <c r="AL543" s="68" t="str">
        <f>IFERROR(IF(AND(tblTarget[[#This Row],[Intercluser Severity]]=4,tblTarget[[#This Row],[Qualifies for exception]]="Flagged",(tblTarget[[#This Row],[Cluster Target]]-tblTarget[[#This Row],[2024 Response capacity up to December]])/tblTarget[[#This Row],[Cluster Target]]&gt;Diff_severity4),"Flagged",""),"No target")</f>
        <v>No target</v>
      </c>
      <c r="AM543" s="68" t="str">
        <f>IFERROR(IF(AND(tblTarget[[#This Row],[Intercluser Severity]]=3,tblTarget[[#This Row],[Qualifies for exception]]="Flagged",(tblTarget[[#This Row],[Cluster Target]]-tblTarget[[#This Row],[2024 Response capacity up to December]])/tblTarget[[#This Row],[Cluster Target]]&gt;Diff_severity3),"Flagged",""),"No target")</f>
        <v>No target</v>
      </c>
      <c r="AN543" s="81" t="s">
        <v>1099</v>
      </c>
      <c r="AO543" s="81"/>
      <c r="AP543" s="81" t="s">
        <v>1099</v>
      </c>
      <c r="AQ543" s="81" t="s">
        <v>1107</v>
      </c>
    </row>
    <row r="544" spans="1:43" ht="15.95" hidden="1" customHeight="1" x14ac:dyDescent="0.2">
      <c r="A544" s="62" t="s">
        <v>981</v>
      </c>
      <c r="B544" s="63" t="s">
        <v>374</v>
      </c>
      <c r="C544" s="64" t="s">
        <v>375</v>
      </c>
      <c r="D544" s="63" t="s">
        <v>378</v>
      </c>
      <c r="E544" s="64" t="s">
        <v>379</v>
      </c>
      <c r="F544" s="65">
        <v>30038</v>
      </c>
      <c r="G544" s="66" t="s">
        <v>437</v>
      </c>
      <c r="H544" s="67">
        <v>1109</v>
      </c>
      <c r="I544" s="68">
        <v>3</v>
      </c>
      <c r="J544" s="68">
        <v>3</v>
      </c>
      <c r="K544" s="91">
        <v>0</v>
      </c>
      <c r="L544" s="91">
        <v>0</v>
      </c>
      <c r="M544" s="91">
        <v>0</v>
      </c>
      <c r="N544" s="91">
        <v>0</v>
      </c>
      <c r="O544" s="91">
        <v>0</v>
      </c>
      <c r="P544" s="91">
        <v>0</v>
      </c>
      <c r="Q544" s="85">
        <v>0</v>
      </c>
      <c r="R544" s="68" t="s">
        <v>1107</v>
      </c>
      <c r="S544" s="86">
        <v>0</v>
      </c>
      <c r="T544" s="68">
        <v>0</v>
      </c>
      <c r="U544" s="68">
        <v>0</v>
      </c>
      <c r="V544" s="68">
        <v>0</v>
      </c>
      <c r="W544" s="68">
        <v>0</v>
      </c>
      <c r="X544" s="68">
        <v>0</v>
      </c>
      <c r="Y544" s="68">
        <v>0</v>
      </c>
      <c r="Z544" s="68">
        <v>0</v>
      </c>
      <c r="AA544" s="68">
        <v>0</v>
      </c>
      <c r="AB544" s="69">
        <v>0</v>
      </c>
      <c r="AC544" s="69">
        <v>0</v>
      </c>
      <c r="AD544" s="70">
        <f>IFERROR(tblTarget[[#This Row],[Cluster Target]]/tblTarget[[#This Row],[Cluster PiN]],0)</f>
        <v>0</v>
      </c>
      <c r="AE544" s="79">
        <f>_xlfn.XLOOKUP(tblTarget[[#This Row],[ID]],tblResponse[ID],tblResponse[2024 Projected reached (Dec 2024)])</f>
        <v>0</v>
      </c>
      <c r="AF544" s="79">
        <f>_xlfn.XLOOKUP(tblTarget[[#This Row],[ID]],tblResponse[ID],tblResponse[2024 Intercluster reached -August RPM])</f>
        <v>1400.0652670639101</v>
      </c>
      <c r="AG544" s="79">
        <v>1</v>
      </c>
      <c r="AH544" s="79"/>
      <c r="AI544" s="79"/>
      <c r="AJ544" s="70" t="str">
        <f>IF(tblTarget[[#This Row],[Target to PiN (%)]]&gt;Targ_vs_PiN,"Flagged","")</f>
        <v/>
      </c>
      <c r="AK544" s="69" t="str">
        <f>IF(AND(tblTarget[[#This Row],[Qualifies for exception]]="Flagged",tblTarget[[#This Row],[Target to PiN (%)]]&gt;Targ_severity5),"Flagged","")</f>
        <v/>
      </c>
      <c r="AL544" s="68" t="str">
        <f>IFERROR(IF(AND(tblTarget[[#This Row],[Intercluser Severity]]=4,tblTarget[[#This Row],[Qualifies for exception]]="Flagged",(tblTarget[[#This Row],[Cluster Target]]-tblTarget[[#This Row],[2024 Response capacity up to December]])/tblTarget[[#This Row],[Cluster Target]]&gt;Diff_severity4),"Flagged",""),"No target")</f>
        <v>No target</v>
      </c>
      <c r="AM544" s="68" t="str">
        <f>IFERROR(IF(AND(tblTarget[[#This Row],[Intercluser Severity]]=3,tblTarget[[#This Row],[Qualifies for exception]]="Flagged",(tblTarget[[#This Row],[Cluster Target]]-tblTarget[[#This Row],[2024 Response capacity up to December]])/tblTarget[[#This Row],[Cluster Target]]&gt;Diff_severity3),"Flagged",""),"No target")</f>
        <v>No target</v>
      </c>
      <c r="AN544" s="81" t="s">
        <v>1099</v>
      </c>
      <c r="AO544" s="81"/>
      <c r="AP544" s="81" t="s">
        <v>1099</v>
      </c>
      <c r="AQ544" s="81" t="s">
        <v>1107</v>
      </c>
    </row>
    <row r="545" spans="1:43" ht="15.95" hidden="1" customHeight="1" x14ac:dyDescent="0.2">
      <c r="A545" s="62" t="s">
        <v>982</v>
      </c>
      <c r="B545" s="63" t="s">
        <v>374</v>
      </c>
      <c r="C545" s="64" t="s">
        <v>375</v>
      </c>
      <c r="D545" s="63" t="s">
        <v>380</v>
      </c>
      <c r="E545" s="64" t="s">
        <v>381</v>
      </c>
      <c r="F545" s="65">
        <v>0</v>
      </c>
      <c r="G545" s="66" t="s">
        <v>437</v>
      </c>
      <c r="H545" s="67">
        <v>0</v>
      </c>
      <c r="I545" s="68">
        <v>3</v>
      </c>
      <c r="J545" s="68">
        <v>3</v>
      </c>
      <c r="K545" s="91">
        <v>0</v>
      </c>
      <c r="L545" s="91">
        <v>0</v>
      </c>
      <c r="M545" s="91">
        <v>0</v>
      </c>
      <c r="N545" s="91">
        <v>0</v>
      </c>
      <c r="O545" s="91">
        <v>0</v>
      </c>
      <c r="P545" s="91">
        <v>0</v>
      </c>
      <c r="Q545" s="85">
        <v>0</v>
      </c>
      <c r="R545" s="68" t="s">
        <v>1107</v>
      </c>
      <c r="S545" s="86">
        <v>0</v>
      </c>
      <c r="T545" s="68">
        <v>0</v>
      </c>
      <c r="U545" s="68">
        <v>0</v>
      </c>
      <c r="V545" s="68">
        <v>0</v>
      </c>
      <c r="W545" s="68">
        <v>0</v>
      </c>
      <c r="X545" s="68">
        <v>0</v>
      </c>
      <c r="Y545" s="68">
        <v>0</v>
      </c>
      <c r="Z545" s="68">
        <v>0</v>
      </c>
      <c r="AA545" s="68">
        <v>0</v>
      </c>
      <c r="AB545" s="69">
        <v>0</v>
      </c>
      <c r="AC545" s="69">
        <v>0</v>
      </c>
      <c r="AD545" s="70">
        <f>IFERROR(tblTarget[[#This Row],[Cluster Target]]/tblTarget[[#This Row],[Cluster PiN]],0)</f>
        <v>0</v>
      </c>
      <c r="AE545" s="79">
        <f>_xlfn.XLOOKUP(tblTarget[[#This Row],[ID]],tblResponse[ID],tblResponse[2024 Projected reached (Dec 2024)])</f>
        <v>0</v>
      </c>
      <c r="AF545" s="79">
        <f>_xlfn.XLOOKUP(tblTarget[[#This Row],[ID]],tblResponse[ID],tblResponse[2024 Intercluster reached -August RPM])</f>
        <v>1625.9269029024786</v>
      </c>
      <c r="AG545" s="79">
        <v>4</v>
      </c>
      <c r="AH545" s="79"/>
      <c r="AI545" s="79"/>
      <c r="AJ545" s="70" t="str">
        <f>IF(tblTarget[[#This Row],[Target to PiN (%)]]&gt;Targ_vs_PiN,"Flagged","")</f>
        <v/>
      </c>
      <c r="AK545" s="69" t="str">
        <f>IF(AND(tblTarget[[#This Row],[Qualifies for exception]]="Flagged",tblTarget[[#This Row],[Target to PiN (%)]]&gt;Targ_severity5),"Flagged","")</f>
        <v/>
      </c>
      <c r="AL545" s="68" t="str">
        <f>IFERROR(IF(AND(tblTarget[[#This Row],[Intercluser Severity]]=4,tblTarget[[#This Row],[Qualifies for exception]]="Flagged",(tblTarget[[#This Row],[Cluster Target]]-tblTarget[[#This Row],[2024 Response capacity up to December]])/tblTarget[[#This Row],[Cluster Target]]&gt;Diff_severity4),"Flagged",""),"No target")</f>
        <v>No target</v>
      </c>
      <c r="AM545" s="68" t="str">
        <f>IFERROR(IF(AND(tblTarget[[#This Row],[Intercluser Severity]]=3,tblTarget[[#This Row],[Qualifies for exception]]="Flagged",(tblTarget[[#This Row],[Cluster Target]]-tblTarget[[#This Row],[2024 Response capacity up to December]])/tblTarget[[#This Row],[Cluster Target]]&gt;Diff_severity3),"Flagged",""),"No target")</f>
        <v>No target</v>
      </c>
      <c r="AN545" s="81" t="s">
        <v>1099</v>
      </c>
      <c r="AO545" s="81"/>
      <c r="AP545" s="81" t="s">
        <v>1099</v>
      </c>
      <c r="AQ545" s="81" t="s">
        <v>1107</v>
      </c>
    </row>
    <row r="546" spans="1:43" ht="15.95" hidden="1" customHeight="1" x14ac:dyDescent="0.2">
      <c r="A546" s="62" t="s">
        <v>983</v>
      </c>
      <c r="B546" s="63" t="s">
        <v>374</v>
      </c>
      <c r="C546" s="64" t="s">
        <v>375</v>
      </c>
      <c r="D546" s="63" t="s">
        <v>382</v>
      </c>
      <c r="E546" s="64" t="s">
        <v>383</v>
      </c>
      <c r="F546" s="65">
        <v>132100</v>
      </c>
      <c r="G546" s="66" t="s">
        <v>437</v>
      </c>
      <c r="H546" s="67">
        <v>14692</v>
      </c>
      <c r="I546" s="68">
        <v>3</v>
      </c>
      <c r="J546" s="68">
        <v>3</v>
      </c>
      <c r="K546" s="91">
        <v>2938.5</v>
      </c>
      <c r="L546" s="91">
        <v>1472.6756034170555</v>
      </c>
      <c r="M546" s="91">
        <v>1465.8243965829445</v>
      </c>
      <c r="N546" s="91">
        <v>1469.25</v>
      </c>
      <c r="O546" s="91">
        <v>1292.94</v>
      </c>
      <c r="P546" s="91">
        <v>176.31</v>
      </c>
      <c r="Q546" s="85">
        <v>440.77499999999998</v>
      </c>
      <c r="R546" s="68" t="s">
        <v>1107</v>
      </c>
      <c r="S546" s="86">
        <v>423</v>
      </c>
      <c r="T546" s="68">
        <v>106</v>
      </c>
      <c r="U546" s="68">
        <v>0</v>
      </c>
      <c r="V546" s="68">
        <v>0</v>
      </c>
      <c r="W546" s="68">
        <v>29</v>
      </c>
      <c r="X546" s="68">
        <v>59</v>
      </c>
      <c r="Y546" s="68">
        <v>206</v>
      </c>
      <c r="Z546" s="68">
        <v>0</v>
      </c>
      <c r="AA546" s="68">
        <v>0</v>
      </c>
      <c r="AB546" s="69">
        <v>0</v>
      </c>
      <c r="AC546" s="69">
        <v>0</v>
      </c>
      <c r="AD546" s="70">
        <f>IFERROR(tblTarget[[#This Row],[Cluster Target]]/tblTarget[[#This Row],[Cluster PiN]],0)</f>
        <v>0.20000680642526544</v>
      </c>
      <c r="AE546" s="79">
        <f>_xlfn.XLOOKUP(tblTarget[[#This Row],[ID]],tblResponse[ID],tblResponse[2024 Projected reached (Dec 2024)])</f>
        <v>0</v>
      </c>
      <c r="AF546" s="79">
        <f>_xlfn.XLOOKUP(tblTarget[[#This Row],[ID]],tblResponse[ID],tblResponse[2024 Intercluster reached -August RPM])</f>
        <v>1947.6826043887145</v>
      </c>
      <c r="AG546" s="79">
        <v>3</v>
      </c>
      <c r="AH546" s="79"/>
      <c r="AI546" s="79"/>
      <c r="AJ546" s="70" t="str">
        <f>IF(tblTarget[[#This Row],[Target to PiN (%)]]&gt;Targ_vs_PiN,"Flagged","")</f>
        <v/>
      </c>
      <c r="AK546" s="69" t="str">
        <f>IF(AND(tblTarget[[#This Row],[Qualifies for exception]]="Flagged",tblTarget[[#This Row],[Target to PiN (%)]]&gt;Targ_severity5),"Flagged","")</f>
        <v/>
      </c>
      <c r="AL546" s="68" t="str">
        <f>IFERROR(IF(AND(tblTarget[[#This Row],[Intercluser Severity]]=4,tblTarget[[#This Row],[Qualifies for exception]]="Flagged",(tblTarget[[#This Row],[Cluster Target]]-tblTarget[[#This Row],[2024 Response capacity up to December]])/tblTarget[[#This Row],[Cluster Target]]&gt;Diff_severity4),"Flagged",""),"No target")</f>
        <v/>
      </c>
      <c r="AM546" s="68" t="str">
        <f>IFERROR(IF(AND(tblTarget[[#This Row],[Intercluser Severity]]=3,tblTarget[[#This Row],[Qualifies for exception]]="Flagged",(tblTarget[[#This Row],[Cluster Target]]-tblTarget[[#This Row],[2024 Response capacity up to December]])/tblTarget[[#This Row],[Cluster Target]]&gt;Diff_severity3),"Flagged",""),"No target")</f>
        <v>Flagged</v>
      </c>
      <c r="AN546" s="81" t="s">
        <v>1099</v>
      </c>
      <c r="AO546" s="81"/>
      <c r="AP546" s="81" t="s">
        <v>1099</v>
      </c>
      <c r="AQ546" s="81" t="s">
        <v>1107</v>
      </c>
    </row>
    <row r="547" spans="1:43" ht="15.95" hidden="1" customHeight="1" x14ac:dyDescent="0.2">
      <c r="A547" s="62" t="s">
        <v>984</v>
      </c>
      <c r="B547" s="63" t="s">
        <v>374</v>
      </c>
      <c r="C547" s="64" t="s">
        <v>375</v>
      </c>
      <c r="D547" s="63" t="s">
        <v>384</v>
      </c>
      <c r="E547" s="64" t="s">
        <v>385</v>
      </c>
      <c r="F547" s="65">
        <v>7134</v>
      </c>
      <c r="G547" s="66" t="s">
        <v>437</v>
      </c>
      <c r="H547" s="67">
        <v>455</v>
      </c>
      <c r="I547" s="68">
        <v>3</v>
      </c>
      <c r="J547" s="68">
        <v>3</v>
      </c>
      <c r="K547" s="91">
        <v>91</v>
      </c>
      <c r="L547" s="91">
        <v>46.138284785626418</v>
      </c>
      <c r="M547" s="91">
        <v>44.861715214373582</v>
      </c>
      <c r="N547" s="91">
        <v>45.5</v>
      </c>
      <c r="O547" s="91">
        <v>40.04</v>
      </c>
      <c r="P547" s="91">
        <v>5.46</v>
      </c>
      <c r="Q547" s="85">
        <v>13.65</v>
      </c>
      <c r="R547" s="68" t="s">
        <v>1107</v>
      </c>
      <c r="S547" s="86">
        <v>13</v>
      </c>
      <c r="T547" s="68">
        <v>3</v>
      </c>
      <c r="U547" s="68">
        <v>0</v>
      </c>
      <c r="V547" s="68">
        <v>0</v>
      </c>
      <c r="W547" s="68">
        <v>1</v>
      </c>
      <c r="X547" s="68">
        <v>2</v>
      </c>
      <c r="Y547" s="68">
        <v>6</v>
      </c>
      <c r="Z547" s="68">
        <v>0</v>
      </c>
      <c r="AA547" s="68">
        <v>0</v>
      </c>
      <c r="AB547" s="69">
        <v>0</v>
      </c>
      <c r="AC547" s="69">
        <v>0</v>
      </c>
      <c r="AD547" s="70">
        <f>IFERROR(tblTarget[[#This Row],[Cluster Target]]/tblTarget[[#This Row],[Cluster PiN]],0)</f>
        <v>0.2</v>
      </c>
      <c r="AE547" s="79">
        <f>_xlfn.XLOOKUP(tblTarget[[#This Row],[ID]],tblResponse[ID],tblResponse[2024 Projected reached (Dec 2024)])</f>
        <v>0</v>
      </c>
      <c r="AF547" s="79">
        <f>_xlfn.XLOOKUP(tblTarget[[#This Row],[ID]],tblResponse[ID],tblResponse[2024 Intercluster reached -August RPM])</f>
        <v>1452.5226851549348</v>
      </c>
      <c r="AG547" s="79">
        <v>3</v>
      </c>
      <c r="AH547" s="79"/>
      <c r="AI547" s="79"/>
      <c r="AJ547" s="70" t="str">
        <f>IF(tblTarget[[#This Row],[Target to PiN (%)]]&gt;Targ_vs_PiN,"Flagged","")</f>
        <v/>
      </c>
      <c r="AK547" s="69" t="str">
        <f>IF(AND(tblTarget[[#This Row],[Qualifies for exception]]="Flagged",tblTarget[[#This Row],[Target to PiN (%)]]&gt;Targ_severity5),"Flagged","")</f>
        <v/>
      </c>
      <c r="AL547" s="68" t="str">
        <f>IFERROR(IF(AND(tblTarget[[#This Row],[Intercluser Severity]]=4,tblTarget[[#This Row],[Qualifies for exception]]="Flagged",(tblTarget[[#This Row],[Cluster Target]]-tblTarget[[#This Row],[2024 Response capacity up to December]])/tblTarget[[#This Row],[Cluster Target]]&gt;Diff_severity4),"Flagged",""),"No target")</f>
        <v/>
      </c>
      <c r="AM547" s="68" t="str">
        <f>IFERROR(IF(AND(tblTarget[[#This Row],[Intercluser Severity]]=3,tblTarget[[#This Row],[Qualifies for exception]]="Flagged",(tblTarget[[#This Row],[Cluster Target]]-tblTarget[[#This Row],[2024 Response capacity up to December]])/tblTarget[[#This Row],[Cluster Target]]&gt;Diff_severity3),"Flagged",""),"No target")</f>
        <v>Flagged</v>
      </c>
      <c r="AN547" s="81" t="s">
        <v>1099</v>
      </c>
      <c r="AO547" s="81"/>
      <c r="AP547" s="81" t="s">
        <v>1099</v>
      </c>
      <c r="AQ547" s="81" t="s">
        <v>1107</v>
      </c>
    </row>
    <row r="548" spans="1:43" ht="15.95" hidden="1" customHeight="1" x14ac:dyDescent="0.2">
      <c r="A548" s="62" t="s">
        <v>985</v>
      </c>
      <c r="B548" s="63" t="s">
        <v>374</v>
      </c>
      <c r="C548" s="64" t="s">
        <v>375</v>
      </c>
      <c r="D548" s="63" t="s">
        <v>386</v>
      </c>
      <c r="E548" s="64" t="s">
        <v>387</v>
      </c>
      <c r="F548" s="65">
        <v>123573</v>
      </c>
      <c r="G548" s="66" t="s">
        <v>437</v>
      </c>
      <c r="H548" s="67">
        <v>2658</v>
      </c>
      <c r="I548" s="68">
        <v>3</v>
      </c>
      <c r="J548" s="68">
        <v>3</v>
      </c>
      <c r="K548" s="91">
        <v>797.5</v>
      </c>
      <c r="L548" s="91">
        <v>406.95167064439141</v>
      </c>
      <c r="M548" s="91">
        <v>390.54832935560859</v>
      </c>
      <c r="N548" s="91">
        <v>398.75</v>
      </c>
      <c r="O548" s="91">
        <v>350.9</v>
      </c>
      <c r="P548" s="91">
        <v>47.85</v>
      </c>
      <c r="Q548" s="85">
        <v>119.625</v>
      </c>
      <c r="R548" s="68" t="s">
        <v>1107</v>
      </c>
      <c r="S548" s="86">
        <v>115</v>
      </c>
      <c r="T548" s="68">
        <v>29</v>
      </c>
      <c r="U548" s="68">
        <v>0</v>
      </c>
      <c r="V548" s="68">
        <v>0</v>
      </c>
      <c r="W548" s="68">
        <v>8</v>
      </c>
      <c r="X548" s="68">
        <v>16</v>
      </c>
      <c r="Y548" s="68">
        <v>56</v>
      </c>
      <c r="Z548" s="68">
        <v>0</v>
      </c>
      <c r="AA548" s="68">
        <v>0</v>
      </c>
      <c r="AB548" s="69">
        <v>0</v>
      </c>
      <c r="AC548" s="69">
        <v>0</v>
      </c>
      <c r="AD548" s="70">
        <f>IFERROR(tblTarget[[#This Row],[Cluster Target]]/tblTarget[[#This Row],[Cluster PiN]],0)</f>
        <v>0.30003762227238523</v>
      </c>
      <c r="AE548" s="79">
        <f>_xlfn.XLOOKUP(tblTarget[[#This Row],[ID]],tblResponse[ID],tblResponse[2024 Projected reached (Dec 2024)])</f>
        <v>0</v>
      </c>
      <c r="AF548" s="79">
        <f>_xlfn.XLOOKUP(tblTarget[[#This Row],[ID]],tblResponse[ID],tblResponse[2024 Intercluster reached -August RPM])</f>
        <v>1651.5304100297665</v>
      </c>
      <c r="AG548" s="79">
        <v>2</v>
      </c>
      <c r="AH548" s="79"/>
      <c r="AI548" s="79"/>
      <c r="AJ548" s="70" t="str">
        <f>IF(tblTarget[[#This Row],[Target to PiN (%)]]&gt;Targ_vs_PiN,"Flagged","")</f>
        <v/>
      </c>
      <c r="AK548" s="69" t="str">
        <f>IF(AND(tblTarget[[#This Row],[Qualifies for exception]]="Flagged",tblTarget[[#This Row],[Target to PiN (%)]]&gt;Targ_severity5),"Flagged","")</f>
        <v/>
      </c>
      <c r="AL548" s="68" t="str">
        <f>IFERROR(IF(AND(tblTarget[[#This Row],[Intercluser Severity]]=4,tblTarget[[#This Row],[Qualifies for exception]]="Flagged",(tblTarget[[#This Row],[Cluster Target]]-tblTarget[[#This Row],[2024 Response capacity up to December]])/tblTarget[[#This Row],[Cluster Target]]&gt;Diff_severity4),"Flagged",""),"No target")</f>
        <v/>
      </c>
      <c r="AM548" s="68" t="str">
        <f>IFERROR(IF(AND(tblTarget[[#This Row],[Intercluser Severity]]=3,tblTarget[[#This Row],[Qualifies for exception]]="Flagged",(tblTarget[[#This Row],[Cluster Target]]-tblTarget[[#This Row],[2024 Response capacity up to December]])/tblTarget[[#This Row],[Cluster Target]]&gt;Diff_severity3),"Flagged",""),"No target")</f>
        <v>Flagged</v>
      </c>
      <c r="AN548" s="81" t="s">
        <v>1099</v>
      </c>
      <c r="AO548" s="81"/>
      <c r="AP548" s="81" t="s">
        <v>1099</v>
      </c>
      <c r="AQ548" s="81" t="s">
        <v>1107</v>
      </c>
    </row>
    <row r="549" spans="1:43" ht="15.95" hidden="1" customHeight="1" x14ac:dyDescent="0.2">
      <c r="A549" s="62" t="s">
        <v>986</v>
      </c>
      <c r="B549" s="63" t="s">
        <v>374</v>
      </c>
      <c r="C549" s="64" t="s">
        <v>375</v>
      </c>
      <c r="D549" s="63" t="s">
        <v>388</v>
      </c>
      <c r="E549" s="64" t="s">
        <v>389</v>
      </c>
      <c r="F549" s="65">
        <v>29945</v>
      </c>
      <c r="G549" s="66" t="s">
        <v>437</v>
      </c>
      <c r="H549" s="67">
        <v>525</v>
      </c>
      <c r="I549" s="68">
        <v>3</v>
      </c>
      <c r="J549" s="68">
        <v>3</v>
      </c>
      <c r="K549" s="91">
        <v>52.5</v>
      </c>
      <c r="L549" s="91">
        <v>25.906844678450543</v>
      </c>
      <c r="M549" s="91">
        <v>26.593155321549457</v>
      </c>
      <c r="N549" s="91">
        <v>26.25</v>
      </c>
      <c r="O549" s="91">
        <v>23.1</v>
      </c>
      <c r="P549" s="91">
        <v>3.15</v>
      </c>
      <c r="Q549" s="85">
        <v>7.875</v>
      </c>
      <c r="R549" s="68" t="s">
        <v>1107</v>
      </c>
      <c r="S549" s="86">
        <v>8</v>
      </c>
      <c r="T549" s="68">
        <v>2</v>
      </c>
      <c r="U549" s="68">
        <v>0</v>
      </c>
      <c r="V549" s="68">
        <v>0</v>
      </c>
      <c r="W549" s="68">
        <v>1</v>
      </c>
      <c r="X549" s="68">
        <v>1</v>
      </c>
      <c r="Y549" s="68">
        <v>4</v>
      </c>
      <c r="Z549" s="68">
        <v>0</v>
      </c>
      <c r="AA549" s="68">
        <v>0</v>
      </c>
      <c r="AB549" s="69">
        <v>0</v>
      </c>
      <c r="AC549" s="69">
        <v>0</v>
      </c>
      <c r="AD549" s="70">
        <f>IFERROR(tblTarget[[#This Row],[Cluster Target]]/tblTarget[[#This Row],[Cluster PiN]],0)</f>
        <v>0.1</v>
      </c>
      <c r="AE549" s="79">
        <f>_xlfn.XLOOKUP(tblTarget[[#This Row],[ID]],tblResponse[ID],tblResponse[2024 Projected reached (Dec 2024)])</f>
        <v>0</v>
      </c>
      <c r="AF549" s="79">
        <f>_xlfn.XLOOKUP(tblTarget[[#This Row],[ID]],tblResponse[ID],tblResponse[2024 Intercluster reached -August RPM])</f>
        <v>789.36207903826562</v>
      </c>
      <c r="AG549" s="79">
        <v>2</v>
      </c>
      <c r="AH549" s="79"/>
      <c r="AI549" s="79"/>
      <c r="AJ549" s="70" t="str">
        <f>IF(tblTarget[[#This Row],[Target to PiN (%)]]&gt;Targ_vs_PiN,"Flagged","")</f>
        <v/>
      </c>
      <c r="AK549" s="69" t="str">
        <f>IF(AND(tblTarget[[#This Row],[Qualifies for exception]]="Flagged",tblTarget[[#This Row],[Target to PiN (%)]]&gt;Targ_severity5),"Flagged","")</f>
        <v/>
      </c>
      <c r="AL549" s="68" t="str">
        <f>IFERROR(IF(AND(tblTarget[[#This Row],[Intercluser Severity]]=4,tblTarget[[#This Row],[Qualifies for exception]]="Flagged",(tblTarget[[#This Row],[Cluster Target]]-tblTarget[[#This Row],[2024 Response capacity up to December]])/tblTarget[[#This Row],[Cluster Target]]&gt;Diff_severity4),"Flagged",""),"No target")</f>
        <v/>
      </c>
      <c r="AM549" s="68" t="str">
        <f>IFERROR(IF(AND(tblTarget[[#This Row],[Intercluser Severity]]=3,tblTarget[[#This Row],[Qualifies for exception]]="Flagged",(tblTarget[[#This Row],[Cluster Target]]-tblTarget[[#This Row],[2024 Response capacity up to December]])/tblTarget[[#This Row],[Cluster Target]]&gt;Diff_severity3),"Flagged",""),"No target")</f>
        <v>Flagged</v>
      </c>
      <c r="AN549" s="81" t="s">
        <v>1099</v>
      </c>
      <c r="AO549" s="81"/>
      <c r="AP549" s="81" t="s">
        <v>1099</v>
      </c>
      <c r="AQ549" s="81" t="s">
        <v>1107</v>
      </c>
    </row>
    <row r="550" spans="1:43" ht="15.95" hidden="1" customHeight="1" x14ac:dyDescent="0.2">
      <c r="A550" s="62" t="s">
        <v>987</v>
      </c>
      <c r="B550" s="63" t="s">
        <v>390</v>
      </c>
      <c r="C550" s="64" t="s">
        <v>391</v>
      </c>
      <c r="D550" s="63" t="s">
        <v>392</v>
      </c>
      <c r="E550" s="64" t="s">
        <v>393</v>
      </c>
      <c r="F550" s="65">
        <v>11681</v>
      </c>
      <c r="G550" s="66" t="s">
        <v>437</v>
      </c>
      <c r="H550" s="67">
        <v>1788</v>
      </c>
      <c r="I550" s="68">
        <v>3</v>
      </c>
      <c r="J550" s="68">
        <v>3</v>
      </c>
      <c r="K550" s="91">
        <v>179</v>
      </c>
      <c r="L550" s="91">
        <v>89.722754992509763</v>
      </c>
      <c r="M550" s="91">
        <v>89.277245007490237</v>
      </c>
      <c r="N550" s="91">
        <v>89.5</v>
      </c>
      <c r="O550" s="91">
        <v>78.760000000000005</v>
      </c>
      <c r="P550" s="91">
        <v>10.74</v>
      </c>
      <c r="Q550" s="85">
        <v>26.849999999999998</v>
      </c>
      <c r="R550" s="68" t="s">
        <v>1107</v>
      </c>
      <c r="S550" s="86">
        <v>26</v>
      </c>
      <c r="T550" s="68">
        <v>6</v>
      </c>
      <c r="U550" s="68">
        <v>0</v>
      </c>
      <c r="V550" s="68">
        <v>0</v>
      </c>
      <c r="W550" s="68">
        <v>2</v>
      </c>
      <c r="X550" s="68">
        <v>4</v>
      </c>
      <c r="Y550" s="68">
        <v>13</v>
      </c>
      <c r="Z550" s="68">
        <v>0</v>
      </c>
      <c r="AA550" s="68">
        <v>1.0541217973049968</v>
      </c>
      <c r="AB550" s="69">
        <v>0</v>
      </c>
      <c r="AC550" s="69">
        <v>0</v>
      </c>
      <c r="AD550" s="70">
        <f>IFERROR(tblTarget[[#This Row],[Cluster Target]]/tblTarget[[#This Row],[Cluster PiN]],0)</f>
        <v>0.10011185682326622</v>
      </c>
      <c r="AE550" s="79">
        <f>_xlfn.XLOOKUP(tblTarget[[#This Row],[ID]],tblResponse[ID],tblResponse[2024 Projected reached (Dec 2024)])</f>
        <v>0</v>
      </c>
      <c r="AF550" s="79">
        <f>_xlfn.XLOOKUP(tblTarget[[#This Row],[ID]],tblResponse[ID],tblResponse[2024 Intercluster reached -August RPM])</f>
        <v>1438.2025840756028</v>
      </c>
      <c r="AG550" s="79">
        <v>5</v>
      </c>
      <c r="AH550" s="79"/>
      <c r="AI550" s="79"/>
      <c r="AJ550" s="70" t="str">
        <f>IF(tblTarget[[#This Row],[Target to PiN (%)]]&gt;Targ_vs_PiN,"Flagged","")</f>
        <v/>
      </c>
      <c r="AK550" s="69" t="str">
        <f>IF(AND(tblTarget[[#This Row],[Qualifies for exception]]="Flagged",tblTarget[[#This Row],[Target to PiN (%)]]&gt;Targ_severity5),"Flagged","")</f>
        <v/>
      </c>
      <c r="AL550" s="68" t="str">
        <f>IFERROR(IF(AND(tblTarget[[#This Row],[Intercluser Severity]]=4,tblTarget[[#This Row],[Qualifies for exception]]="Flagged",(tblTarget[[#This Row],[Cluster Target]]-tblTarget[[#This Row],[2024 Response capacity up to December]])/tblTarget[[#This Row],[Cluster Target]]&gt;Diff_severity4),"Flagged",""),"No target")</f>
        <v/>
      </c>
      <c r="AM550" s="68" t="str">
        <f>IFERROR(IF(AND(tblTarget[[#This Row],[Intercluser Severity]]=3,tblTarget[[#This Row],[Qualifies for exception]]="Flagged",(tblTarget[[#This Row],[Cluster Target]]-tblTarget[[#This Row],[2024 Response capacity up to December]])/tblTarget[[#This Row],[Cluster Target]]&gt;Diff_severity3),"Flagged",""),"No target")</f>
        <v>Flagged</v>
      </c>
      <c r="AN550" s="81" t="s">
        <v>1099</v>
      </c>
      <c r="AO550" s="81"/>
      <c r="AP550" s="81" t="s">
        <v>1099</v>
      </c>
      <c r="AQ550" s="81" t="s">
        <v>1107</v>
      </c>
    </row>
    <row r="551" spans="1:43" ht="15.95" customHeight="1" x14ac:dyDescent="0.2">
      <c r="A551" s="62" t="s">
        <v>988</v>
      </c>
      <c r="B551" s="63" t="s">
        <v>390</v>
      </c>
      <c r="C551" s="64" t="s">
        <v>391</v>
      </c>
      <c r="D551" s="63" t="s">
        <v>394</v>
      </c>
      <c r="E551" s="64" t="s">
        <v>395</v>
      </c>
      <c r="F551" s="65">
        <v>23591</v>
      </c>
      <c r="G551" s="66" t="s">
        <v>437</v>
      </c>
      <c r="H551" s="67">
        <v>1075</v>
      </c>
      <c r="I551" s="68">
        <v>3</v>
      </c>
      <c r="J551" s="68">
        <v>3</v>
      </c>
      <c r="K551" s="91">
        <v>107.5</v>
      </c>
      <c r="L551" s="91">
        <v>56.826498875544281</v>
      </c>
      <c r="M551" s="91">
        <v>50.673501124455719</v>
      </c>
      <c r="N551" s="91">
        <v>53.75</v>
      </c>
      <c r="O551" s="91">
        <v>47.3</v>
      </c>
      <c r="P551" s="91">
        <v>6.45</v>
      </c>
      <c r="Q551" s="85">
        <v>16.125</v>
      </c>
      <c r="R551" s="68" t="s">
        <v>15</v>
      </c>
      <c r="S551" s="86">
        <v>15</v>
      </c>
      <c r="T551" s="68">
        <v>4</v>
      </c>
      <c r="U551" s="68">
        <v>0</v>
      </c>
      <c r="V551" s="68">
        <v>0</v>
      </c>
      <c r="W551" s="68">
        <v>1</v>
      </c>
      <c r="X551" s="68">
        <v>2</v>
      </c>
      <c r="Y551" s="68">
        <v>8</v>
      </c>
      <c r="Z551" s="68">
        <v>0</v>
      </c>
      <c r="AA551" s="68">
        <v>0</v>
      </c>
      <c r="AB551" s="69">
        <v>0</v>
      </c>
      <c r="AC551" s="69">
        <v>0</v>
      </c>
      <c r="AD551" s="70">
        <f>IFERROR(tblTarget[[#This Row],[Cluster Target]]/tblTarget[[#This Row],[Cluster PiN]],0)</f>
        <v>0.1</v>
      </c>
      <c r="AE551" s="79">
        <f>_xlfn.XLOOKUP(tblTarget[[#This Row],[ID]],tblResponse[ID],tblResponse[2024 Projected reached (Dec 2024)])</f>
        <v>0</v>
      </c>
      <c r="AF551" s="79">
        <f>_xlfn.XLOOKUP(tblTarget[[#This Row],[ID]],tblResponse[ID],tblResponse[2024 Intercluster reached -August RPM])</f>
        <v>345.30497373935748</v>
      </c>
      <c r="AG551" s="79">
        <v>3</v>
      </c>
      <c r="AH551" s="79"/>
      <c r="AI551" s="79"/>
      <c r="AJ551" s="70" t="str">
        <f>IF(tblTarget[[#This Row],[Target to PiN (%)]]&gt;Targ_vs_PiN,"Flagged","")</f>
        <v/>
      </c>
      <c r="AK551" s="69" t="str">
        <f>IF(AND(tblTarget[[#This Row],[Qualifies for exception]]="Flagged",tblTarget[[#This Row],[Target to PiN (%)]]&gt;Targ_severity5),"Flagged","")</f>
        <v/>
      </c>
      <c r="AL551" s="68" t="str">
        <f>IFERROR(IF(AND(tblTarget[[#This Row],[Intercluser Severity]]=4,tblTarget[[#This Row],[Qualifies for exception]]="Flagged",(tblTarget[[#This Row],[Cluster Target]]-tblTarget[[#This Row],[2024 Response capacity up to December]])/tblTarget[[#This Row],[Cluster Target]]&gt;Diff_severity4),"Flagged",""),"No target")</f>
        <v/>
      </c>
      <c r="AM551" s="68" t="str">
        <f>IFERROR(IF(AND(tblTarget[[#This Row],[Intercluser Severity]]=3,tblTarget[[#This Row],[Qualifies for exception]]="Flagged",(tblTarget[[#This Row],[Cluster Target]]-tblTarget[[#This Row],[2024 Response capacity up to December]])/tblTarget[[#This Row],[Cluster Target]]&gt;Diff_severity3),"Flagged",""),"No target")</f>
        <v>Flagged</v>
      </c>
      <c r="AN551" s="81" t="s">
        <v>1099</v>
      </c>
      <c r="AO551" s="81"/>
      <c r="AP551" s="81" t="s">
        <v>1099</v>
      </c>
      <c r="AQ551" s="81" t="s">
        <v>1107</v>
      </c>
    </row>
    <row r="552" spans="1:43" ht="15.95" hidden="1" customHeight="1" x14ac:dyDescent="0.2">
      <c r="A552" s="62" t="s">
        <v>989</v>
      </c>
      <c r="B552" s="63" t="s">
        <v>390</v>
      </c>
      <c r="C552" s="64" t="s">
        <v>391</v>
      </c>
      <c r="D552" s="63" t="s">
        <v>396</v>
      </c>
      <c r="E552" s="64" t="s">
        <v>397</v>
      </c>
      <c r="F552" s="65">
        <v>70910</v>
      </c>
      <c r="G552" s="66" t="s">
        <v>437</v>
      </c>
      <c r="H552" s="67">
        <v>5010</v>
      </c>
      <c r="I552" s="68">
        <v>3</v>
      </c>
      <c r="J552" s="68">
        <v>3</v>
      </c>
      <c r="K552" s="91">
        <v>501</v>
      </c>
      <c r="L552" s="91">
        <v>258.18564742589706</v>
      </c>
      <c r="M552" s="91">
        <v>242.81435257410297</v>
      </c>
      <c r="N552" s="91">
        <v>250.5</v>
      </c>
      <c r="O552" s="91">
        <v>220.44</v>
      </c>
      <c r="P552" s="91">
        <v>30.06</v>
      </c>
      <c r="Q552" s="85">
        <v>75.149999999999991</v>
      </c>
      <c r="R552" s="68" t="s">
        <v>1107</v>
      </c>
      <c r="S552" s="86">
        <v>72</v>
      </c>
      <c r="T552" s="68">
        <v>18</v>
      </c>
      <c r="U552" s="68">
        <v>0</v>
      </c>
      <c r="V552" s="68">
        <v>0</v>
      </c>
      <c r="W552" s="68">
        <v>5</v>
      </c>
      <c r="X552" s="68">
        <v>10</v>
      </c>
      <c r="Y552" s="68">
        <v>35</v>
      </c>
      <c r="Z552" s="68">
        <v>0</v>
      </c>
      <c r="AA552" s="68">
        <v>0</v>
      </c>
      <c r="AB552" s="69">
        <v>0</v>
      </c>
      <c r="AC552" s="69">
        <v>0</v>
      </c>
      <c r="AD552" s="70">
        <f>IFERROR(tblTarget[[#This Row],[Cluster Target]]/tblTarget[[#This Row],[Cluster PiN]],0)</f>
        <v>0.1</v>
      </c>
      <c r="AE552" s="79">
        <f>_xlfn.XLOOKUP(tblTarget[[#This Row],[ID]],tblResponse[ID],tblResponse[2024 Projected reached (Dec 2024)])</f>
        <v>0</v>
      </c>
      <c r="AF552" s="79">
        <f>_xlfn.XLOOKUP(tblTarget[[#This Row],[ID]],tblResponse[ID],tblResponse[2024 Intercluster reached -August RPM])</f>
        <v>639.78996298304014</v>
      </c>
      <c r="AG552" s="79">
        <v>3</v>
      </c>
      <c r="AH552" s="79"/>
      <c r="AI552" s="79"/>
      <c r="AJ552" s="70" t="str">
        <f>IF(tblTarget[[#This Row],[Target to PiN (%)]]&gt;Targ_vs_PiN,"Flagged","")</f>
        <v/>
      </c>
      <c r="AK552" s="69" t="str">
        <f>IF(AND(tblTarget[[#This Row],[Qualifies for exception]]="Flagged",tblTarget[[#This Row],[Target to PiN (%)]]&gt;Targ_severity5),"Flagged","")</f>
        <v/>
      </c>
      <c r="AL552" s="68" t="str">
        <f>IFERROR(IF(AND(tblTarget[[#This Row],[Intercluser Severity]]=4,tblTarget[[#This Row],[Qualifies for exception]]="Flagged",(tblTarget[[#This Row],[Cluster Target]]-tblTarget[[#This Row],[2024 Response capacity up to December]])/tblTarget[[#This Row],[Cluster Target]]&gt;Diff_severity4),"Flagged",""),"No target")</f>
        <v/>
      </c>
      <c r="AM552" s="68" t="str">
        <f>IFERROR(IF(AND(tblTarget[[#This Row],[Intercluser Severity]]=3,tblTarget[[#This Row],[Qualifies for exception]]="Flagged",(tblTarget[[#This Row],[Cluster Target]]-tblTarget[[#This Row],[2024 Response capacity up to December]])/tblTarget[[#This Row],[Cluster Target]]&gt;Diff_severity3),"Flagged",""),"No target")</f>
        <v>Flagged</v>
      </c>
      <c r="AN552" s="81" t="s">
        <v>1099</v>
      </c>
      <c r="AO552" s="81"/>
      <c r="AP552" s="81" t="s">
        <v>1099</v>
      </c>
      <c r="AQ552" s="81" t="s">
        <v>1107</v>
      </c>
    </row>
    <row r="553" spans="1:43" ht="15.95" hidden="1" customHeight="1" x14ac:dyDescent="0.2">
      <c r="A553" s="62" t="s">
        <v>990</v>
      </c>
      <c r="B553" s="63" t="s">
        <v>390</v>
      </c>
      <c r="C553" s="64" t="s">
        <v>391</v>
      </c>
      <c r="D553" s="63" t="s">
        <v>398</v>
      </c>
      <c r="E553" s="64" t="s">
        <v>399</v>
      </c>
      <c r="F553" s="65">
        <v>156870</v>
      </c>
      <c r="G553" s="66" t="s">
        <v>437</v>
      </c>
      <c r="H553" s="67">
        <v>7774</v>
      </c>
      <c r="I553" s="68">
        <v>3</v>
      </c>
      <c r="J553" s="68">
        <v>3</v>
      </c>
      <c r="K553" s="91">
        <v>777.5</v>
      </c>
      <c r="L553" s="91">
        <v>399.37200346383736</v>
      </c>
      <c r="M553" s="91">
        <v>378.12799653616258</v>
      </c>
      <c r="N553" s="91">
        <v>388.75</v>
      </c>
      <c r="O553" s="91">
        <v>342.1</v>
      </c>
      <c r="P553" s="91">
        <v>46.65</v>
      </c>
      <c r="Q553" s="85">
        <v>116.625</v>
      </c>
      <c r="R553" s="68" t="s">
        <v>1107</v>
      </c>
      <c r="S553" s="86">
        <v>112</v>
      </c>
      <c r="T553" s="68">
        <v>28</v>
      </c>
      <c r="U553" s="68">
        <v>0</v>
      </c>
      <c r="V553" s="68">
        <v>0</v>
      </c>
      <c r="W553" s="68">
        <v>8</v>
      </c>
      <c r="X553" s="68">
        <v>16</v>
      </c>
      <c r="Y553" s="68">
        <v>54</v>
      </c>
      <c r="Z553" s="68">
        <v>0</v>
      </c>
      <c r="AA553" s="68">
        <v>3.9529567398937377</v>
      </c>
      <c r="AB553" s="69">
        <v>0</v>
      </c>
      <c r="AC553" s="69">
        <v>0</v>
      </c>
      <c r="AD553" s="70">
        <f>IFERROR(tblTarget[[#This Row],[Cluster Target]]/tblTarget[[#This Row],[Cluster PiN]],0)</f>
        <v>0.10001286339078981</v>
      </c>
      <c r="AE553" s="79">
        <f>_xlfn.XLOOKUP(tblTarget[[#This Row],[ID]],tblResponse[ID],tblResponse[2024 Projected reached (Dec 2024)])</f>
        <v>0</v>
      </c>
      <c r="AF553" s="79">
        <f>_xlfn.XLOOKUP(tblTarget[[#This Row],[ID]],tblResponse[ID],tblResponse[2024 Intercluster reached -August RPM])</f>
        <v>1800.5368672065983</v>
      </c>
      <c r="AG553" s="79">
        <v>6</v>
      </c>
      <c r="AH553" s="79"/>
      <c r="AI553" s="79"/>
      <c r="AJ553" s="70" t="str">
        <f>IF(tblTarget[[#This Row],[Target to PiN (%)]]&gt;Targ_vs_PiN,"Flagged","")</f>
        <v/>
      </c>
      <c r="AK553" s="69" t="str">
        <f>IF(AND(tblTarget[[#This Row],[Qualifies for exception]]="Flagged",tblTarget[[#This Row],[Target to PiN (%)]]&gt;Targ_severity5),"Flagged","")</f>
        <v/>
      </c>
      <c r="AL553" s="68" t="str">
        <f>IFERROR(IF(AND(tblTarget[[#This Row],[Intercluser Severity]]=4,tblTarget[[#This Row],[Qualifies for exception]]="Flagged",(tblTarget[[#This Row],[Cluster Target]]-tblTarget[[#This Row],[2024 Response capacity up to December]])/tblTarget[[#This Row],[Cluster Target]]&gt;Diff_severity4),"Flagged",""),"No target")</f>
        <v/>
      </c>
      <c r="AM553" s="68" t="str">
        <f>IFERROR(IF(AND(tblTarget[[#This Row],[Intercluser Severity]]=3,tblTarget[[#This Row],[Qualifies for exception]]="Flagged",(tblTarget[[#This Row],[Cluster Target]]-tblTarget[[#This Row],[2024 Response capacity up to December]])/tblTarget[[#This Row],[Cluster Target]]&gt;Diff_severity3),"Flagged",""),"No target")</f>
        <v>Flagged</v>
      </c>
      <c r="AN553" s="81" t="s">
        <v>1099</v>
      </c>
      <c r="AO553" s="81"/>
      <c r="AP553" s="81" t="s">
        <v>1099</v>
      </c>
      <c r="AQ553" s="81" t="s">
        <v>1107</v>
      </c>
    </row>
    <row r="554" spans="1:43" ht="15.95" hidden="1" customHeight="1" x14ac:dyDescent="0.2">
      <c r="A554" s="62" t="s">
        <v>991</v>
      </c>
      <c r="B554" s="63" t="s">
        <v>390</v>
      </c>
      <c r="C554" s="64" t="s">
        <v>391</v>
      </c>
      <c r="D554" s="63" t="s">
        <v>400</v>
      </c>
      <c r="E554" s="64" t="s">
        <v>401</v>
      </c>
      <c r="F554" s="65">
        <v>60478</v>
      </c>
      <c r="G554" s="66" t="s">
        <v>437</v>
      </c>
      <c r="H554" s="67">
        <v>3347</v>
      </c>
      <c r="I554" s="68">
        <v>3</v>
      </c>
      <c r="J554" s="68">
        <v>3</v>
      </c>
      <c r="K554" s="91">
        <v>669.5</v>
      </c>
      <c r="L554" s="91">
        <v>350.80556042463223</v>
      </c>
      <c r="M554" s="91">
        <v>318.69443957536782</v>
      </c>
      <c r="N554" s="91">
        <v>334.75</v>
      </c>
      <c r="O554" s="91">
        <v>294.58</v>
      </c>
      <c r="P554" s="91">
        <v>40.17</v>
      </c>
      <c r="Q554" s="85">
        <v>100.425</v>
      </c>
      <c r="R554" s="68" t="s">
        <v>1107</v>
      </c>
      <c r="S554" s="86">
        <v>96</v>
      </c>
      <c r="T554" s="68">
        <v>24</v>
      </c>
      <c r="U554" s="68">
        <v>0</v>
      </c>
      <c r="V554" s="68">
        <v>0</v>
      </c>
      <c r="W554" s="68">
        <v>7</v>
      </c>
      <c r="X554" s="68">
        <v>13</v>
      </c>
      <c r="Y554" s="68">
        <v>47</v>
      </c>
      <c r="Z554" s="68">
        <v>0</v>
      </c>
      <c r="AA554" s="68">
        <v>0</v>
      </c>
      <c r="AB554" s="69">
        <v>0</v>
      </c>
      <c r="AC554" s="69">
        <v>0</v>
      </c>
      <c r="AD554" s="70">
        <f>IFERROR(tblTarget[[#This Row],[Cluster Target]]/tblTarget[[#This Row],[Cluster PiN]],0)</f>
        <v>0.2000298775022408</v>
      </c>
      <c r="AE554" s="79">
        <f>_xlfn.XLOOKUP(tblTarget[[#This Row],[ID]],tblResponse[ID],tblResponse[2024 Projected reached (Dec 2024)])</f>
        <v>0</v>
      </c>
      <c r="AF554" s="79">
        <f>_xlfn.XLOOKUP(tblTarget[[#This Row],[ID]],tblResponse[ID],tblResponse[2024 Intercluster reached -August RPM])</f>
        <v>639.03078922519614</v>
      </c>
      <c r="AG554" s="79">
        <v>3</v>
      </c>
      <c r="AH554" s="79"/>
      <c r="AI554" s="79"/>
      <c r="AJ554" s="70" t="str">
        <f>IF(tblTarget[[#This Row],[Target to PiN (%)]]&gt;Targ_vs_PiN,"Flagged","")</f>
        <v/>
      </c>
      <c r="AK554" s="69" t="str">
        <f>IF(AND(tblTarget[[#This Row],[Qualifies for exception]]="Flagged",tblTarget[[#This Row],[Target to PiN (%)]]&gt;Targ_severity5),"Flagged","")</f>
        <v/>
      </c>
      <c r="AL554" s="68" t="str">
        <f>IFERROR(IF(AND(tblTarget[[#This Row],[Intercluser Severity]]=4,tblTarget[[#This Row],[Qualifies for exception]]="Flagged",(tblTarget[[#This Row],[Cluster Target]]-tblTarget[[#This Row],[2024 Response capacity up to December]])/tblTarget[[#This Row],[Cluster Target]]&gt;Diff_severity4),"Flagged",""),"No target")</f>
        <v/>
      </c>
      <c r="AM554" s="68" t="str">
        <f>IFERROR(IF(AND(tblTarget[[#This Row],[Intercluser Severity]]=3,tblTarget[[#This Row],[Qualifies for exception]]="Flagged",(tblTarget[[#This Row],[Cluster Target]]-tblTarget[[#This Row],[2024 Response capacity up to December]])/tblTarget[[#This Row],[Cluster Target]]&gt;Diff_severity3),"Flagged",""),"No target")</f>
        <v>Flagged</v>
      </c>
      <c r="AN554" s="81" t="s">
        <v>1099</v>
      </c>
      <c r="AO554" s="81"/>
      <c r="AP554" s="81" t="s">
        <v>1099</v>
      </c>
      <c r="AQ554" s="81" t="s">
        <v>1107</v>
      </c>
    </row>
    <row r="555" spans="1:43" ht="15.95" hidden="1" customHeight="1" x14ac:dyDescent="0.2">
      <c r="A555" s="62" t="s">
        <v>992</v>
      </c>
      <c r="B555" s="63" t="s">
        <v>390</v>
      </c>
      <c r="C555" s="64" t="s">
        <v>391</v>
      </c>
      <c r="D555" s="63" t="s">
        <v>402</v>
      </c>
      <c r="E555" s="64" t="s">
        <v>403</v>
      </c>
      <c r="F555" s="65">
        <v>152565</v>
      </c>
      <c r="G555" s="66" t="s">
        <v>437</v>
      </c>
      <c r="H555" s="67">
        <v>12746</v>
      </c>
      <c r="I555" s="68">
        <v>3</v>
      </c>
      <c r="J555" s="68">
        <v>3</v>
      </c>
      <c r="K555" s="91">
        <v>319.14</v>
      </c>
      <c r="L555" s="91">
        <v>162.97652750796692</v>
      </c>
      <c r="M555" s="91">
        <v>156.16347249203309</v>
      </c>
      <c r="N555" s="91">
        <v>159.57</v>
      </c>
      <c r="O555" s="91">
        <v>140.42159999999998</v>
      </c>
      <c r="P555" s="91">
        <v>19.148399999999999</v>
      </c>
      <c r="Q555" s="85">
        <v>47.870999999999995</v>
      </c>
      <c r="R555" s="68" t="s">
        <v>1107</v>
      </c>
      <c r="S555" s="86">
        <v>46</v>
      </c>
      <c r="T555" s="68">
        <v>11</v>
      </c>
      <c r="U555" s="68">
        <v>0</v>
      </c>
      <c r="V555" s="68">
        <v>0</v>
      </c>
      <c r="W555" s="68">
        <v>3</v>
      </c>
      <c r="X555" s="68">
        <v>6</v>
      </c>
      <c r="Y555" s="68">
        <v>22</v>
      </c>
      <c r="Z555" s="68">
        <v>0</v>
      </c>
      <c r="AA555" s="68">
        <v>0</v>
      </c>
      <c r="AB555" s="69">
        <v>0</v>
      </c>
      <c r="AC555" s="69">
        <v>0</v>
      </c>
      <c r="AD555" s="70">
        <f>IFERROR(tblTarget[[#This Row],[Cluster Target]]/tblTarget[[#This Row],[Cluster PiN]],0)</f>
        <v>2.5038443433233956E-2</v>
      </c>
      <c r="AE555" s="79">
        <f>_xlfn.XLOOKUP(tblTarget[[#This Row],[ID]],tblResponse[ID],tblResponse[2024 Projected reached (Dec 2024)])</f>
        <v>0</v>
      </c>
      <c r="AF555" s="79">
        <f>_xlfn.XLOOKUP(tblTarget[[#This Row],[ID]],tblResponse[ID],tblResponse[2024 Intercluster reached -August RPM])</f>
        <v>1211.284059280036</v>
      </c>
      <c r="AG555" s="79">
        <v>4</v>
      </c>
      <c r="AH555" s="79"/>
      <c r="AI555" s="79"/>
      <c r="AJ555" s="70" t="str">
        <f>IF(tblTarget[[#This Row],[Target to PiN (%)]]&gt;Targ_vs_PiN,"Flagged","")</f>
        <v/>
      </c>
      <c r="AK555" s="69" t="str">
        <f>IF(AND(tblTarget[[#This Row],[Qualifies for exception]]="Flagged",tblTarget[[#This Row],[Target to PiN (%)]]&gt;Targ_severity5),"Flagged","")</f>
        <v/>
      </c>
      <c r="AL555" s="68" t="str">
        <f>IFERROR(IF(AND(tblTarget[[#This Row],[Intercluser Severity]]=4,tblTarget[[#This Row],[Qualifies for exception]]="Flagged",(tblTarget[[#This Row],[Cluster Target]]-tblTarget[[#This Row],[2024 Response capacity up to December]])/tblTarget[[#This Row],[Cluster Target]]&gt;Diff_severity4),"Flagged",""),"No target")</f>
        <v/>
      </c>
      <c r="AM555" s="68" t="str">
        <f>IFERROR(IF(AND(tblTarget[[#This Row],[Intercluser Severity]]=3,tblTarget[[#This Row],[Qualifies for exception]]="Flagged",(tblTarget[[#This Row],[Cluster Target]]-tblTarget[[#This Row],[2024 Response capacity up to December]])/tblTarget[[#This Row],[Cluster Target]]&gt;Diff_severity3),"Flagged",""),"No target")</f>
        <v>Flagged</v>
      </c>
      <c r="AN555" s="81" t="s">
        <v>1099</v>
      </c>
      <c r="AO555" s="81"/>
      <c r="AP555" s="81" t="s">
        <v>1099</v>
      </c>
      <c r="AQ555" s="81" t="s">
        <v>1107</v>
      </c>
    </row>
    <row r="556" spans="1:43" ht="15.95" hidden="1" customHeight="1" x14ac:dyDescent="0.2">
      <c r="A556" s="62" t="s">
        <v>993</v>
      </c>
      <c r="B556" s="63" t="s">
        <v>390</v>
      </c>
      <c r="C556" s="64" t="s">
        <v>391</v>
      </c>
      <c r="D556" s="63" t="s">
        <v>404</v>
      </c>
      <c r="E556" s="64" t="s">
        <v>405</v>
      </c>
      <c r="F556" s="65">
        <v>151326</v>
      </c>
      <c r="G556" s="66" t="s">
        <v>437</v>
      </c>
      <c r="H556" s="67">
        <v>3018</v>
      </c>
      <c r="I556" s="68">
        <v>3</v>
      </c>
      <c r="J556" s="68">
        <v>3</v>
      </c>
      <c r="K556" s="91">
        <v>603.5</v>
      </c>
      <c r="L556" s="91">
        <v>306.74066741717593</v>
      </c>
      <c r="M556" s="91">
        <v>296.75933258282407</v>
      </c>
      <c r="N556" s="91">
        <v>301.75</v>
      </c>
      <c r="O556" s="91">
        <v>265.54000000000002</v>
      </c>
      <c r="P556" s="91">
        <v>36.21</v>
      </c>
      <c r="Q556" s="85">
        <v>90.524999999999991</v>
      </c>
      <c r="R556" s="68" t="s">
        <v>1107</v>
      </c>
      <c r="S556" s="86">
        <v>87</v>
      </c>
      <c r="T556" s="68">
        <v>22</v>
      </c>
      <c r="U556" s="68">
        <v>0</v>
      </c>
      <c r="V556" s="68">
        <v>0</v>
      </c>
      <c r="W556" s="68">
        <v>6</v>
      </c>
      <c r="X556" s="68">
        <v>12</v>
      </c>
      <c r="Y556" s="68">
        <v>42</v>
      </c>
      <c r="Z556" s="68">
        <v>0</v>
      </c>
      <c r="AA556" s="68">
        <v>2.8988349425887412</v>
      </c>
      <c r="AB556" s="69">
        <v>0</v>
      </c>
      <c r="AC556" s="69">
        <v>0</v>
      </c>
      <c r="AD556" s="70">
        <f>IFERROR(tblTarget[[#This Row],[Cluster Target]]/tblTarget[[#This Row],[Cluster PiN]],0)</f>
        <v>0.19996686547382372</v>
      </c>
      <c r="AE556" s="79">
        <f>_xlfn.XLOOKUP(tblTarget[[#This Row],[ID]],tblResponse[ID],tblResponse[2024 Projected reached (Dec 2024)])</f>
        <v>0</v>
      </c>
      <c r="AF556" s="79">
        <f>_xlfn.XLOOKUP(tblTarget[[#This Row],[ID]],tblResponse[ID],tblResponse[2024 Intercluster reached -August RPM])</f>
        <v>1199.7029380329257</v>
      </c>
      <c r="AG556" s="79">
        <v>6</v>
      </c>
      <c r="AH556" s="79"/>
      <c r="AI556" s="79"/>
      <c r="AJ556" s="70" t="str">
        <f>IF(tblTarget[[#This Row],[Target to PiN (%)]]&gt;Targ_vs_PiN,"Flagged","")</f>
        <v/>
      </c>
      <c r="AK556" s="69" t="str">
        <f>IF(AND(tblTarget[[#This Row],[Qualifies for exception]]="Flagged",tblTarget[[#This Row],[Target to PiN (%)]]&gt;Targ_severity5),"Flagged","")</f>
        <v/>
      </c>
      <c r="AL556" s="68" t="str">
        <f>IFERROR(IF(AND(tblTarget[[#This Row],[Intercluser Severity]]=4,tblTarget[[#This Row],[Qualifies for exception]]="Flagged",(tblTarget[[#This Row],[Cluster Target]]-tblTarget[[#This Row],[2024 Response capacity up to December]])/tblTarget[[#This Row],[Cluster Target]]&gt;Diff_severity4),"Flagged",""),"No target")</f>
        <v/>
      </c>
      <c r="AM556" s="68" t="str">
        <f>IFERROR(IF(AND(tblTarget[[#This Row],[Intercluser Severity]]=3,tblTarget[[#This Row],[Qualifies for exception]]="Flagged",(tblTarget[[#This Row],[Cluster Target]]-tblTarget[[#This Row],[2024 Response capacity up to December]])/tblTarget[[#This Row],[Cluster Target]]&gt;Diff_severity3),"Flagged",""),"No target")</f>
        <v>Flagged</v>
      </c>
      <c r="AN556" s="81" t="s">
        <v>1099</v>
      </c>
      <c r="AO556" s="81"/>
      <c r="AP556" s="81" t="s">
        <v>1099</v>
      </c>
      <c r="AQ556" s="81" t="s">
        <v>1107</v>
      </c>
    </row>
    <row r="557" spans="1:43" ht="15.95" hidden="1" customHeight="1" x14ac:dyDescent="0.2">
      <c r="A557" s="62" t="s">
        <v>994</v>
      </c>
      <c r="B557" s="63" t="s">
        <v>406</v>
      </c>
      <c r="C557" s="64" t="s">
        <v>407</v>
      </c>
      <c r="D557" s="63" t="s">
        <v>408</v>
      </c>
      <c r="E557" s="64" t="s">
        <v>409</v>
      </c>
      <c r="F557" s="65">
        <v>188919</v>
      </c>
      <c r="G557" s="66" t="s">
        <v>437</v>
      </c>
      <c r="H557" s="67">
        <v>11189</v>
      </c>
      <c r="I557" s="68">
        <v>3</v>
      </c>
      <c r="J557" s="68">
        <v>3</v>
      </c>
      <c r="K557" s="91">
        <v>0</v>
      </c>
      <c r="L557" s="91">
        <v>0</v>
      </c>
      <c r="M557" s="91">
        <v>0</v>
      </c>
      <c r="N557" s="91">
        <v>0</v>
      </c>
      <c r="O557" s="91">
        <v>0</v>
      </c>
      <c r="P557" s="91">
        <v>0</v>
      </c>
      <c r="Q557" s="85">
        <v>0</v>
      </c>
      <c r="R557" s="68" t="s">
        <v>1107</v>
      </c>
      <c r="S557" s="86">
        <v>0</v>
      </c>
      <c r="T557" s="68">
        <v>0</v>
      </c>
      <c r="U557" s="68">
        <v>0</v>
      </c>
      <c r="V557" s="68">
        <v>0</v>
      </c>
      <c r="W557" s="68">
        <v>0</v>
      </c>
      <c r="X557" s="68">
        <v>0</v>
      </c>
      <c r="Y557" s="68">
        <v>0</v>
      </c>
      <c r="Z557" s="68">
        <v>0</v>
      </c>
      <c r="AA557" s="68">
        <v>0</v>
      </c>
      <c r="AB557" s="69">
        <v>0</v>
      </c>
      <c r="AC557" s="69">
        <v>0</v>
      </c>
      <c r="AD557" s="70">
        <f>IFERROR(tblTarget[[#This Row],[Cluster Target]]/tblTarget[[#This Row],[Cluster PiN]],0)</f>
        <v>0</v>
      </c>
      <c r="AE557" s="79">
        <f>_xlfn.XLOOKUP(tblTarget[[#This Row],[ID]],tblResponse[ID],tblResponse[2024 Projected reached (Dec 2024)])</f>
        <v>0</v>
      </c>
      <c r="AF557" s="79">
        <f>_xlfn.XLOOKUP(tblTarget[[#This Row],[ID]],tblResponse[ID],tblResponse[2024 Intercluster reached -August RPM])</f>
        <v>29.771519915450916</v>
      </c>
      <c r="AG557" s="79">
        <v>1</v>
      </c>
      <c r="AH557" s="79"/>
      <c r="AI557" s="79"/>
      <c r="AJ557" s="70" t="str">
        <f>IF(tblTarget[[#This Row],[Target to PiN (%)]]&gt;Targ_vs_PiN,"Flagged","")</f>
        <v/>
      </c>
      <c r="AK557" s="69" t="str">
        <f>IF(AND(tblTarget[[#This Row],[Qualifies for exception]]="Flagged",tblTarget[[#This Row],[Target to PiN (%)]]&gt;Targ_severity5),"Flagged","")</f>
        <v/>
      </c>
      <c r="AL557" s="68" t="str">
        <f>IFERROR(IF(AND(tblTarget[[#This Row],[Intercluser Severity]]=4,tblTarget[[#This Row],[Qualifies for exception]]="Flagged",(tblTarget[[#This Row],[Cluster Target]]-tblTarget[[#This Row],[2024 Response capacity up to December]])/tblTarget[[#This Row],[Cluster Target]]&gt;Diff_severity4),"Flagged",""),"No target")</f>
        <v>No target</v>
      </c>
      <c r="AM557" s="68" t="str">
        <f>IFERROR(IF(AND(tblTarget[[#This Row],[Intercluser Severity]]=3,tblTarget[[#This Row],[Qualifies for exception]]="Flagged",(tblTarget[[#This Row],[Cluster Target]]-tblTarget[[#This Row],[2024 Response capacity up to December]])/tblTarget[[#This Row],[Cluster Target]]&gt;Diff_severity3),"Flagged",""),"No target")</f>
        <v>No target</v>
      </c>
      <c r="AN557" s="81" t="s">
        <v>1099</v>
      </c>
      <c r="AO557" s="81"/>
      <c r="AP557" s="81" t="s">
        <v>1099</v>
      </c>
      <c r="AQ557" s="81" t="s">
        <v>1107</v>
      </c>
    </row>
    <row r="558" spans="1:43" ht="15.95" customHeight="1" x14ac:dyDescent="0.2">
      <c r="A558" s="62" t="s">
        <v>995</v>
      </c>
      <c r="B558" s="63" t="s">
        <v>406</v>
      </c>
      <c r="C558" s="64" t="s">
        <v>407</v>
      </c>
      <c r="D558" s="63" t="s">
        <v>410</v>
      </c>
      <c r="E558" s="64" t="s">
        <v>411</v>
      </c>
      <c r="F558" s="65">
        <v>312259</v>
      </c>
      <c r="G558" s="66" t="s">
        <v>437</v>
      </c>
      <c r="H558" s="67">
        <v>0</v>
      </c>
      <c r="I558" s="68">
        <v>3</v>
      </c>
      <c r="J558" s="68">
        <v>5</v>
      </c>
      <c r="K558" s="91">
        <v>0</v>
      </c>
      <c r="L558" s="91">
        <v>0</v>
      </c>
      <c r="M558" s="91">
        <v>0</v>
      </c>
      <c r="N558" s="91">
        <v>0</v>
      </c>
      <c r="O558" s="91">
        <v>0</v>
      </c>
      <c r="P558" s="91">
        <v>0</v>
      </c>
      <c r="Q558" s="85">
        <v>0</v>
      </c>
      <c r="R558" s="68" t="s">
        <v>15</v>
      </c>
      <c r="S558" s="86">
        <v>0</v>
      </c>
      <c r="T558" s="68">
        <v>0</v>
      </c>
      <c r="U558" s="68">
        <v>0</v>
      </c>
      <c r="V558" s="68">
        <v>0</v>
      </c>
      <c r="W558" s="68">
        <v>0</v>
      </c>
      <c r="X558" s="68">
        <v>0</v>
      </c>
      <c r="Y558" s="68">
        <v>0</v>
      </c>
      <c r="Z558" s="68">
        <v>0</v>
      </c>
      <c r="AA558" s="68">
        <v>0</v>
      </c>
      <c r="AB558" s="69">
        <v>0</v>
      </c>
      <c r="AC558" s="69">
        <v>0</v>
      </c>
      <c r="AD558" s="70">
        <f>IFERROR(tblTarget[[#This Row],[Cluster Target]]/tblTarget[[#This Row],[Cluster PiN]],0)</f>
        <v>0</v>
      </c>
      <c r="AE558" s="79">
        <f>_xlfn.XLOOKUP(tblTarget[[#This Row],[ID]],tblResponse[ID],tblResponse[2024 Projected reached (Dec 2024)])</f>
        <v>0</v>
      </c>
      <c r="AF558" s="79">
        <f>_xlfn.XLOOKUP(tblTarget[[#This Row],[ID]],tblResponse[ID],tblResponse[2024 Intercluster reached -August RPM])</f>
        <v>3.0366950313759933</v>
      </c>
      <c r="AG558" s="79">
        <v>1</v>
      </c>
      <c r="AH558" s="79"/>
      <c r="AI558" s="79"/>
      <c r="AJ558" s="70" t="str">
        <f>IF(tblTarget[[#This Row],[Target to PiN (%)]]&gt;Targ_vs_PiN,"Flagged","")</f>
        <v/>
      </c>
      <c r="AK558" s="69" t="str">
        <f>IF(AND(tblTarget[[#This Row],[Qualifies for exception]]="Flagged",tblTarget[[#This Row],[Target to PiN (%)]]&gt;Targ_severity5),"Flagged","")</f>
        <v/>
      </c>
      <c r="AL558" s="68" t="str">
        <f>IFERROR(IF(AND(tblTarget[[#This Row],[Intercluser Severity]]=4,tblTarget[[#This Row],[Qualifies for exception]]="Flagged",(tblTarget[[#This Row],[Cluster Target]]-tblTarget[[#This Row],[2024 Response capacity up to December]])/tblTarget[[#This Row],[Cluster Target]]&gt;Diff_severity4),"Flagged",""),"No target")</f>
        <v>No target</v>
      </c>
      <c r="AM558" s="68" t="str">
        <f>IFERROR(IF(AND(tblTarget[[#This Row],[Intercluser Severity]]=3,tblTarget[[#This Row],[Qualifies for exception]]="Flagged",(tblTarget[[#This Row],[Cluster Target]]-tblTarget[[#This Row],[2024 Response capacity up to December]])/tblTarget[[#This Row],[Cluster Target]]&gt;Diff_severity3),"Flagged",""),"No target")</f>
        <v>No target</v>
      </c>
      <c r="AN558" s="81" t="s">
        <v>1099</v>
      </c>
      <c r="AO558" s="81"/>
      <c r="AP558" s="81" t="s">
        <v>1099</v>
      </c>
      <c r="AQ558" s="81" t="s">
        <v>1098</v>
      </c>
    </row>
    <row r="559" spans="1:43" ht="15.95" customHeight="1" x14ac:dyDescent="0.2">
      <c r="A559" s="62" t="s">
        <v>996</v>
      </c>
      <c r="B559" s="63" t="s">
        <v>406</v>
      </c>
      <c r="C559" s="64" t="s">
        <v>407</v>
      </c>
      <c r="D559" s="63" t="s">
        <v>412</v>
      </c>
      <c r="E559" s="64" t="s">
        <v>413</v>
      </c>
      <c r="F559" s="65">
        <v>123632</v>
      </c>
      <c r="G559" s="66" t="s">
        <v>437</v>
      </c>
      <c r="H559" s="67">
        <v>10069</v>
      </c>
      <c r="I559" s="68">
        <v>3</v>
      </c>
      <c r="J559" s="68">
        <v>4</v>
      </c>
      <c r="K559" s="91">
        <v>106.74</v>
      </c>
      <c r="L559" s="91">
        <v>55.660038879501791</v>
      </c>
      <c r="M559" s="91">
        <v>51.079961120498197</v>
      </c>
      <c r="N559" s="91">
        <v>53.37</v>
      </c>
      <c r="O559" s="91">
        <v>46.965599999999995</v>
      </c>
      <c r="P559" s="91">
        <v>6.4043999999999999</v>
      </c>
      <c r="Q559" s="85">
        <v>16.010999999999999</v>
      </c>
      <c r="R559" s="68" t="s">
        <v>15</v>
      </c>
      <c r="S559" s="86">
        <v>15</v>
      </c>
      <c r="T559" s="68">
        <v>4</v>
      </c>
      <c r="U559" s="68">
        <v>0</v>
      </c>
      <c r="V559" s="68">
        <v>0</v>
      </c>
      <c r="W559" s="68">
        <v>1</v>
      </c>
      <c r="X559" s="68">
        <v>2</v>
      </c>
      <c r="Y559" s="68">
        <v>7</v>
      </c>
      <c r="Z559" s="68">
        <v>0</v>
      </c>
      <c r="AA559" s="68">
        <v>0</v>
      </c>
      <c r="AB559" s="69">
        <v>0</v>
      </c>
      <c r="AC559" s="69">
        <v>0</v>
      </c>
      <c r="AD559" s="70">
        <f>IFERROR(tblTarget[[#This Row],[Cluster Target]]/tblTarget[[#This Row],[Cluster PiN]],0)</f>
        <v>1.0600854106664018E-2</v>
      </c>
      <c r="AE559" s="79">
        <f>_xlfn.XLOOKUP(tblTarget[[#This Row],[ID]],tblResponse[ID],tblResponse[2024 Projected reached (Dec 2024)])</f>
        <v>0</v>
      </c>
      <c r="AF559" s="79">
        <f>_xlfn.XLOOKUP(tblTarget[[#This Row],[ID]],tblResponse[ID],tblResponse[2024 Intercluster reached -August RPM])</f>
        <v>528.44447849925382</v>
      </c>
      <c r="AG559" s="79">
        <v>1</v>
      </c>
      <c r="AH559" s="79"/>
      <c r="AI559" s="79"/>
      <c r="AJ559" s="70" t="str">
        <f>IF(tblTarget[[#This Row],[Target to PiN (%)]]&gt;Targ_vs_PiN,"Flagged","")</f>
        <v/>
      </c>
      <c r="AK559" s="69" t="str">
        <f>IF(AND(tblTarget[[#This Row],[Qualifies for exception]]="Flagged",tblTarget[[#This Row],[Target to PiN (%)]]&gt;Targ_severity5),"Flagged","")</f>
        <v/>
      </c>
      <c r="AL559" s="68" t="str">
        <f>IFERROR(IF(AND(tblTarget[[#This Row],[Intercluser Severity]]=4,tblTarget[[#This Row],[Qualifies for exception]]="Flagged",(tblTarget[[#This Row],[Cluster Target]]-tblTarget[[#This Row],[2024 Response capacity up to December]])/tblTarget[[#This Row],[Cluster Target]]&gt;Diff_severity4),"Flagged",""),"No target")</f>
        <v/>
      </c>
      <c r="AM559" s="68" t="str">
        <f>IFERROR(IF(AND(tblTarget[[#This Row],[Intercluser Severity]]=3,tblTarget[[#This Row],[Qualifies for exception]]="Flagged",(tblTarget[[#This Row],[Cluster Target]]-tblTarget[[#This Row],[2024 Response capacity up to December]])/tblTarget[[#This Row],[Cluster Target]]&gt;Diff_severity3),"Flagged",""),"No target")</f>
        <v/>
      </c>
      <c r="AN559" s="81" t="s">
        <v>1099</v>
      </c>
      <c r="AO559" s="81"/>
      <c r="AP559" s="81" t="s">
        <v>15</v>
      </c>
      <c r="AQ559" s="81" t="s">
        <v>1098</v>
      </c>
    </row>
    <row r="560" spans="1:43" ht="15.95" hidden="1" customHeight="1" x14ac:dyDescent="0.2">
      <c r="A560" s="62" t="s">
        <v>997</v>
      </c>
      <c r="B560" s="63" t="s">
        <v>406</v>
      </c>
      <c r="C560" s="64" t="s">
        <v>407</v>
      </c>
      <c r="D560" s="63" t="s">
        <v>414</v>
      </c>
      <c r="E560" s="64" t="s">
        <v>415</v>
      </c>
      <c r="F560" s="65">
        <v>213955</v>
      </c>
      <c r="G560" s="66" t="s">
        <v>437</v>
      </c>
      <c r="H560" s="67">
        <v>6388</v>
      </c>
      <c r="I560" s="68">
        <v>3</v>
      </c>
      <c r="J560" s="68">
        <v>3</v>
      </c>
      <c r="K560" s="91">
        <v>0</v>
      </c>
      <c r="L560" s="91">
        <v>0</v>
      </c>
      <c r="M560" s="91">
        <v>0</v>
      </c>
      <c r="N560" s="91">
        <v>0</v>
      </c>
      <c r="O560" s="91">
        <v>0</v>
      </c>
      <c r="P560" s="91">
        <v>0</v>
      </c>
      <c r="Q560" s="85">
        <v>0</v>
      </c>
      <c r="R560" s="68" t="s">
        <v>1107</v>
      </c>
      <c r="S560" s="86">
        <v>0</v>
      </c>
      <c r="T560" s="68">
        <v>0</v>
      </c>
      <c r="U560" s="68">
        <v>0</v>
      </c>
      <c r="V560" s="68">
        <v>0</v>
      </c>
      <c r="W560" s="68">
        <v>0</v>
      </c>
      <c r="X560" s="68">
        <v>0</v>
      </c>
      <c r="Y560" s="68">
        <v>0</v>
      </c>
      <c r="Z560" s="68">
        <v>0</v>
      </c>
      <c r="AA560" s="68">
        <v>0</v>
      </c>
      <c r="AB560" s="69">
        <v>0</v>
      </c>
      <c r="AC560" s="69">
        <v>0</v>
      </c>
      <c r="AD560" s="70">
        <f>IFERROR(tblTarget[[#This Row],[Cluster Target]]/tblTarget[[#This Row],[Cluster PiN]],0)</f>
        <v>0</v>
      </c>
      <c r="AE560" s="79">
        <f>_xlfn.XLOOKUP(tblTarget[[#This Row],[ID]],tblResponse[ID],tblResponse[2024 Projected reached (Dec 2024)])</f>
        <v>0</v>
      </c>
      <c r="AF560" s="79">
        <f>_xlfn.XLOOKUP(tblTarget[[#This Row],[ID]],tblResponse[ID],tblResponse[2024 Intercluster reached -August RPM])</f>
        <v>0</v>
      </c>
      <c r="AG560" s="79">
        <v>1</v>
      </c>
      <c r="AH560" s="79"/>
      <c r="AI560" s="79"/>
      <c r="AJ560" s="70" t="str">
        <f>IF(tblTarget[[#This Row],[Target to PiN (%)]]&gt;Targ_vs_PiN,"Flagged","")</f>
        <v/>
      </c>
      <c r="AK560" s="69" t="str">
        <f>IF(AND(tblTarget[[#This Row],[Qualifies for exception]]="Flagged",tblTarget[[#This Row],[Target to PiN (%)]]&gt;Targ_severity5),"Flagged","")</f>
        <v/>
      </c>
      <c r="AL560" s="68" t="str">
        <f>IFERROR(IF(AND(tblTarget[[#This Row],[Intercluser Severity]]=4,tblTarget[[#This Row],[Qualifies for exception]]="Flagged",(tblTarget[[#This Row],[Cluster Target]]-tblTarget[[#This Row],[2024 Response capacity up to December]])/tblTarget[[#This Row],[Cluster Target]]&gt;Diff_severity4),"Flagged",""),"No target")</f>
        <v>No target</v>
      </c>
      <c r="AM560" s="68" t="str">
        <f>IFERROR(IF(AND(tblTarget[[#This Row],[Intercluser Severity]]=3,tblTarget[[#This Row],[Qualifies for exception]]="Flagged",(tblTarget[[#This Row],[Cluster Target]]-tblTarget[[#This Row],[2024 Response capacity up to December]])/tblTarget[[#This Row],[Cluster Target]]&gt;Diff_severity3),"Flagged",""),"No target")</f>
        <v>No target</v>
      </c>
      <c r="AN560" s="81" t="s">
        <v>1099</v>
      </c>
      <c r="AO560" s="81"/>
      <c r="AP560" s="81" t="s">
        <v>1099</v>
      </c>
      <c r="AQ560" s="81" t="s">
        <v>1107</v>
      </c>
    </row>
    <row r="561" spans="1:43" ht="15.95" hidden="1" customHeight="1" x14ac:dyDescent="0.2">
      <c r="A561" s="62" t="s">
        <v>998</v>
      </c>
      <c r="B561" s="63" t="s">
        <v>406</v>
      </c>
      <c r="C561" s="64" t="s">
        <v>407</v>
      </c>
      <c r="D561" s="63" t="s">
        <v>416</v>
      </c>
      <c r="E561" s="64" t="s">
        <v>417</v>
      </c>
      <c r="F561" s="65">
        <v>79436</v>
      </c>
      <c r="G561" s="66" t="s">
        <v>437</v>
      </c>
      <c r="H561" s="67">
        <v>6631</v>
      </c>
      <c r="I561" s="68">
        <v>3</v>
      </c>
      <c r="J561" s="68">
        <v>3</v>
      </c>
      <c r="K561" s="91">
        <v>0</v>
      </c>
      <c r="L561" s="91">
        <v>0</v>
      </c>
      <c r="M561" s="91">
        <v>0</v>
      </c>
      <c r="N561" s="91">
        <v>0</v>
      </c>
      <c r="O561" s="91">
        <v>0</v>
      </c>
      <c r="P561" s="91">
        <v>0</v>
      </c>
      <c r="Q561" s="85">
        <v>0</v>
      </c>
      <c r="R561" s="68" t="s">
        <v>1107</v>
      </c>
      <c r="S561" s="86">
        <v>0</v>
      </c>
      <c r="T561" s="68">
        <v>0</v>
      </c>
      <c r="U561" s="68">
        <v>0</v>
      </c>
      <c r="V561" s="68">
        <v>0</v>
      </c>
      <c r="W561" s="68">
        <v>0</v>
      </c>
      <c r="X561" s="68">
        <v>0</v>
      </c>
      <c r="Y561" s="68">
        <v>0</v>
      </c>
      <c r="Z561" s="68">
        <v>0</v>
      </c>
      <c r="AA561" s="68">
        <v>0</v>
      </c>
      <c r="AB561" s="69">
        <v>0</v>
      </c>
      <c r="AC561" s="69">
        <v>0</v>
      </c>
      <c r="AD561" s="70">
        <f>IFERROR(tblTarget[[#This Row],[Cluster Target]]/tblTarget[[#This Row],[Cluster PiN]],0)</f>
        <v>0</v>
      </c>
      <c r="AE561" s="79">
        <f>_xlfn.XLOOKUP(tblTarget[[#This Row],[ID]],tblResponse[ID],tblResponse[2024 Projected reached (Dec 2024)])</f>
        <v>0</v>
      </c>
      <c r="AF561" s="79">
        <f>_xlfn.XLOOKUP(tblTarget[[#This Row],[ID]],tblResponse[ID],tblResponse[2024 Intercluster reached -August RPM])</f>
        <v>0</v>
      </c>
      <c r="AG561" s="79">
        <v>1</v>
      </c>
      <c r="AH561" s="79"/>
      <c r="AI561" s="79"/>
      <c r="AJ561" s="70" t="str">
        <f>IF(tblTarget[[#This Row],[Target to PiN (%)]]&gt;Targ_vs_PiN,"Flagged","")</f>
        <v/>
      </c>
      <c r="AK561" s="69" t="str">
        <f>IF(AND(tblTarget[[#This Row],[Qualifies for exception]]="Flagged",tblTarget[[#This Row],[Target to PiN (%)]]&gt;Targ_severity5),"Flagged","")</f>
        <v/>
      </c>
      <c r="AL561" s="68" t="str">
        <f>IFERROR(IF(AND(tblTarget[[#This Row],[Intercluser Severity]]=4,tblTarget[[#This Row],[Qualifies for exception]]="Flagged",(tblTarget[[#This Row],[Cluster Target]]-tblTarget[[#This Row],[2024 Response capacity up to December]])/tblTarget[[#This Row],[Cluster Target]]&gt;Diff_severity4),"Flagged",""),"No target")</f>
        <v>No target</v>
      </c>
      <c r="AM561" s="68" t="str">
        <f>IFERROR(IF(AND(tblTarget[[#This Row],[Intercluser Severity]]=3,tblTarget[[#This Row],[Qualifies for exception]]="Flagged",(tblTarget[[#This Row],[Cluster Target]]-tblTarget[[#This Row],[2024 Response capacity up to December]])/tblTarget[[#This Row],[Cluster Target]]&gt;Diff_severity3),"Flagged",""),"No target")</f>
        <v>No target</v>
      </c>
      <c r="AN561" s="81" t="s">
        <v>1099</v>
      </c>
      <c r="AO561" s="81"/>
      <c r="AP561" s="81" t="s">
        <v>1099</v>
      </c>
      <c r="AQ561" s="81" t="s">
        <v>1107</v>
      </c>
    </row>
    <row r="562" spans="1:43" ht="15.95" hidden="1" customHeight="1" x14ac:dyDescent="0.2">
      <c r="A562" s="62" t="s">
        <v>999</v>
      </c>
      <c r="B562" s="63" t="s">
        <v>406</v>
      </c>
      <c r="C562" s="64" t="s">
        <v>407</v>
      </c>
      <c r="D562" s="63" t="s">
        <v>418</v>
      </c>
      <c r="E562" s="64" t="s">
        <v>419</v>
      </c>
      <c r="F562" s="65">
        <v>156205</v>
      </c>
      <c r="G562" s="66" t="s">
        <v>437</v>
      </c>
      <c r="H562" s="67">
        <v>4310</v>
      </c>
      <c r="I562" s="68">
        <v>3</v>
      </c>
      <c r="J562" s="68">
        <v>4</v>
      </c>
      <c r="K562" s="91">
        <v>862</v>
      </c>
      <c r="L562" s="91">
        <v>439.7268676517682</v>
      </c>
      <c r="M562" s="91">
        <v>422.27313234823185</v>
      </c>
      <c r="N562" s="91">
        <v>431</v>
      </c>
      <c r="O562" s="91">
        <v>379.28000000000003</v>
      </c>
      <c r="P562" s="91">
        <v>51.72</v>
      </c>
      <c r="Q562" s="85">
        <v>129.29999999999998</v>
      </c>
      <c r="R562" s="68" t="s">
        <v>1107</v>
      </c>
      <c r="S562" s="86">
        <v>124</v>
      </c>
      <c r="T562" s="68">
        <v>31</v>
      </c>
      <c r="U562" s="68">
        <v>0</v>
      </c>
      <c r="V562" s="68">
        <v>0</v>
      </c>
      <c r="W562" s="68">
        <v>9</v>
      </c>
      <c r="X562" s="68">
        <v>17</v>
      </c>
      <c r="Y562" s="68">
        <v>60</v>
      </c>
      <c r="Z562" s="68">
        <v>0</v>
      </c>
      <c r="AA562" s="68">
        <v>0</v>
      </c>
      <c r="AB562" s="69">
        <v>0</v>
      </c>
      <c r="AC562" s="69">
        <v>0</v>
      </c>
      <c r="AD562" s="70">
        <f>IFERROR(tblTarget[[#This Row],[Cluster Target]]/tblTarget[[#This Row],[Cluster PiN]],0)</f>
        <v>0.2</v>
      </c>
      <c r="AE562" s="79">
        <f>_xlfn.XLOOKUP(tblTarget[[#This Row],[ID]],tblResponse[ID],tblResponse[2024 Projected reached (Dec 2024)])</f>
        <v>0</v>
      </c>
      <c r="AF562" s="79">
        <f>_xlfn.XLOOKUP(tblTarget[[#This Row],[ID]],tblResponse[ID],tblResponse[2024 Intercluster reached -August RPM])</f>
        <v>111.64319968294093</v>
      </c>
      <c r="AG562" s="79">
        <v>2</v>
      </c>
      <c r="AH562" s="79"/>
      <c r="AI562" s="79"/>
      <c r="AJ562" s="70" t="str">
        <f>IF(tblTarget[[#This Row],[Target to PiN (%)]]&gt;Targ_vs_PiN,"Flagged","")</f>
        <v/>
      </c>
      <c r="AK562" s="69" t="str">
        <f>IF(AND(tblTarget[[#This Row],[Qualifies for exception]]="Flagged",tblTarget[[#This Row],[Target to PiN (%)]]&gt;Targ_severity5),"Flagged","")</f>
        <v/>
      </c>
      <c r="AL562" s="68" t="str">
        <f>IFERROR(IF(AND(tblTarget[[#This Row],[Intercluser Severity]]=4,tblTarget[[#This Row],[Qualifies for exception]]="Flagged",(tblTarget[[#This Row],[Cluster Target]]-tblTarget[[#This Row],[2024 Response capacity up to December]])/tblTarget[[#This Row],[Cluster Target]]&gt;Diff_severity4),"Flagged",""),"No target")</f>
        <v>Flagged</v>
      </c>
      <c r="AM562" s="68" t="str">
        <f>IFERROR(IF(AND(tblTarget[[#This Row],[Intercluser Severity]]=3,tblTarget[[#This Row],[Qualifies for exception]]="Flagged",(tblTarget[[#This Row],[Cluster Target]]-tblTarget[[#This Row],[2024 Response capacity up to December]])/tblTarget[[#This Row],[Cluster Target]]&gt;Diff_severity3),"Flagged",""),"No target")</f>
        <v/>
      </c>
      <c r="AN562" s="81" t="s">
        <v>1099</v>
      </c>
      <c r="AO562" s="81"/>
      <c r="AP562" s="81" t="s">
        <v>1099</v>
      </c>
      <c r="AQ562" s="81" t="s">
        <v>1107</v>
      </c>
    </row>
    <row r="563" spans="1:43" ht="15.95" hidden="1" customHeight="1" x14ac:dyDescent="0.2">
      <c r="A563" s="62" t="s">
        <v>1000</v>
      </c>
      <c r="B563" s="63" t="s">
        <v>406</v>
      </c>
      <c r="C563" s="64" t="s">
        <v>407</v>
      </c>
      <c r="D563" s="63" t="s">
        <v>420</v>
      </c>
      <c r="E563" s="64" t="s">
        <v>421</v>
      </c>
      <c r="F563" s="65">
        <v>0</v>
      </c>
      <c r="G563" s="66" t="s">
        <v>437</v>
      </c>
      <c r="H563" s="67">
        <v>0</v>
      </c>
      <c r="I563" s="68">
        <v>3</v>
      </c>
      <c r="J563" s="68">
        <v>4</v>
      </c>
      <c r="K563" s="91">
        <v>0</v>
      </c>
      <c r="L563" s="91">
        <v>0</v>
      </c>
      <c r="M563" s="91">
        <v>0</v>
      </c>
      <c r="N563" s="91">
        <v>0</v>
      </c>
      <c r="O563" s="91">
        <v>0</v>
      </c>
      <c r="P563" s="91">
        <v>0</v>
      </c>
      <c r="Q563" s="85">
        <v>0</v>
      </c>
      <c r="R563" s="68" t="s">
        <v>1107</v>
      </c>
      <c r="S563" s="86">
        <v>0</v>
      </c>
      <c r="T563" s="68">
        <v>0</v>
      </c>
      <c r="U563" s="68">
        <v>0</v>
      </c>
      <c r="V563" s="68">
        <v>0</v>
      </c>
      <c r="W563" s="68">
        <v>0</v>
      </c>
      <c r="X563" s="68">
        <v>0</v>
      </c>
      <c r="Y563" s="68">
        <v>0</v>
      </c>
      <c r="Z563" s="68">
        <v>0</v>
      </c>
      <c r="AA563" s="68">
        <v>0</v>
      </c>
      <c r="AB563" s="69">
        <v>0</v>
      </c>
      <c r="AC563" s="69">
        <v>0</v>
      </c>
      <c r="AD563" s="70">
        <f>IFERROR(tblTarget[[#This Row],[Cluster Target]]/tblTarget[[#This Row],[Cluster PiN]],0)</f>
        <v>0</v>
      </c>
      <c r="AE563" s="79">
        <f>_xlfn.XLOOKUP(tblTarget[[#This Row],[ID]],tblResponse[ID],tblResponse[2024 Projected reached (Dec 2024)])</f>
        <v>0</v>
      </c>
      <c r="AF563" s="79">
        <f>_xlfn.XLOOKUP(tblTarget[[#This Row],[ID]],tblResponse[ID],tblResponse[2024 Intercluster reached -August RPM])</f>
        <v>8587.5949196118163</v>
      </c>
      <c r="AG563" s="79">
        <v>1</v>
      </c>
      <c r="AH563" s="79"/>
      <c r="AI563" s="79"/>
      <c r="AJ563" s="70" t="str">
        <f>IF(tblTarget[[#This Row],[Target to PiN (%)]]&gt;Targ_vs_PiN,"Flagged","")</f>
        <v/>
      </c>
      <c r="AK563" s="69" t="str">
        <f>IF(AND(tblTarget[[#This Row],[Qualifies for exception]]="Flagged",tblTarget[[#This Row],[Target to PiN (%)]]&gt;Targ_severity5),"Flagged","")</f>
        <v/>
      </c>
      <c r="AL563" s="68" t="str">
        <f>IFERROR(IF(AND(tblTarget[[#This Row],[Intercluser Severity]]=4,tblTarget[[#This Row],[Qualifies for exception]]="Flagged",(tblTarget[[#This Row],[Cluster Target]]-tblTarget[[#This Row],[2024 Response capacity up to December]])/tblTarget[[#This Row],[Cluster Target]]&gt;Diff_severity4),"Flagged",""),"No target")</f>
        <v>No target</v>
      </c>
      <c r="AM563" s="68" t="str">
        <f>IFERROR(IF(AND(tblTarget[[#This Row],[Intercluser Severity]]=3,tblTarget[[#This Row],[Qualifies for exception]]="Flagged",(tblTarget[[#This Row],[Cluster Target]]-tblTarget[[#This Row],[2024 Response capacity up to December]])/tblTarget[[#This Row],[Cluster Target]]&gt;Diff_severity3),"Flagged",""),"No target")</f>
        <v>No target</v>
      </c>
      <c r="AN563" s="81" t="s">
        <v>1099</v>
      </c>
      <c r="AO563" s="81"/>
      <c r="AP563" s="81" t="s">
        <v>1099</v>
      </c>
      <c r="AQ563" s="81" t="s">
        <v>1107</v>
      </c>
    </row>
    <row r="564" spans="1:43" ht="15.95" hidden="1" customHeight="1" x14ac:dyDescent="0.2">
      <c r="A564" s="62" t="s">
        <v>1001</v>
      </c>
      <c r="B564" s="63" t="s">
        <v>406</v>
      </c>
      <c r="C564" s="64" t="s">
        <v>407</v>
      </c>
      <c r="D564" s="63" t="s">
        <v>422</v>
      </c>
      <c r="E564" s="64" t="s">
        <v>423</v>
      </c>
      <c r="F564" s="65">
        <v>235599</v>
      </c>
      <c r="G564" s="66" t="s">
        <v>437</v>
      </c>
      <c r="H564" s="67">
        <v>12515</v>
      </c>
      <c r="I564" s="68">
        <v>3</v>
      </c>
      <c r="J564" s="68">
        <v>3</v>
      </c>
      <c r="K564" s="91">
        <v>0</v>
      </c>
      <c r="L564" s="91">
        <v>0</v>
      </c>
      <c r="M564" s="91">
        <v>0</v>
      </c>
      <c r="N564" s="91">
        <v>0</v>
      </c>
      <c r="O564" s="91">
        <v>0</v>
      </c>
      <c r="P564" s="91">
        <v>0</v>
      </c>
      <c r="Q564" s="85">
        <v>0</v>
      </c>
      <c r="R564" s="68" t="s">
        <v>1107</v>
      </c>
      <c r="S564" s="86">
        <v>0</v>
      </c>
      <c r="T564" s="68">
        <v>0</v>
      </c>
      <c r="U564" s="68">
        <v>0</v>
      </c>
      <c r="V564" s="68">
        <v>0</v>
      </c>
      <c r="W564" s="68">
        <v>0</v>
      </c>
      <c r="X564" s="68">
        <v>0</v>
      </c>
      <c r="Y564" s="68">
        <v>0</v>
      </c>
      <c r="Z564" s="68">
        <v>0</v>
      </c>
      <c r="AA564" s="68">
        <v>0</v>
      </c>
      <c r="AB564" s="69">
        <v>0</v>
      </c>
      <c r="AC564" s="69">
        <v>0</v>
      </c>
      <c r="AD564" s="70">
        <f>IFERROR(tblTarget[[#This Row],[Cluster Target]]/tblTarget[[#This Row],[Cluster PiN]],0)</f>
        <v>0</v>
      </c>
      <c r="AE564" s="79">
        <f>_xlfn.XLOOKUP(tblTarget[[#This Row],[ID]],tblResponse[ID],tblResponse[2024 Projected reached (Dec 2024)])</f>
        <v>0</v>
      </c>
      <c r="AF564" s="79">
        <f>_xlfn.XLOOKUP(tblTarget[[#This Row],[ID]],tblResponse[ID],tblResponse[2024 Intercluster reached -August RPM])</f>
        <v>0</v>
      </c>
      <c r="AG564" s="79">
        <v>1</v>
      </c>
      <c r="AH564" s="79"/>
      <c r="AI564" s="79"/>
      <c r="AJ564" s="70" t="str">
        <f>IF(tblTarget[[#This Row],[Target to PiN (%)]]&gt;Targ_vs_PiN,"Flagged","")</f>
        <v/>
      </c>
      <c r="AK564" s="69" t="str">
        <f>IF(AND(tblTarget[[#This Row],[Qualifies for exception]]="Flagged",tblTarget[[#This Row],[Target to PiN (%)]]&gt;Targ_severity5),"Flagged","")</f>
        <v/>
      </c>
      <c r="AL564" s="68" t="str">
        <f>IFERROR(IF(AND(tblTarget[[#This Row],[Intercluser Severity]]=4,tblTarget[[#This Row],[Qualifies for exception]]="Flagged",(tblTarget[[#This Row],[Cluster Target]]-tblTarget[[#This Row],[2024 Response capacity up to December]])/tblTarget[[#This Row],[Cluster Target]]&gt;Diff_severity4),"Flagged",""),"No target")</f>
        <v>No target</v>
      </c>
      <c r="AM564" s="68" t="str">
        <f>IFERROR(IF(AND(tblTarget[[#This Row],[Intercluser Severity]]=3,tblTarget[[#This Row],[Qualifies for exception]]="Flagged",(tblTarget[[#This Row],[Cluster Target]]-tblTarget[[#This Row],[2024 Response capacity up to December]])/tblTarget[[#This Row],[Cluster Target]]&gt;Diff_severity3),"Flagged",""),"No target")</f>
        <v>No target</v>
      </c>
      <c r="AN564" s="81" t="s">
        <v>1099</v>
      </c>
      <c r="AO564" s="81"/>
      <c r="AP564" s="81" t="s">
        <v>1099</v>
      </c>
      <c r="AQ564" s="81" t="s">
        <v>1107</v>
      </c>
    </row>
    <row r="565" spans="1:43" ht="15.95" hidden="1" customHeight="1" x14ac:dyDescent="0.2">
      <c r="A565" s="62" t="s">
        <v>1002</v>
      </c>
      <c r="B565" s="63" t="s">
        <v>406</v>
      </c>
      <c r="C565" s="64" t="s">
        <v>407</v>
      </c>
      <c r="D565" s="63" t="s">
        <v>424</v>
      </c>
      <c r="E565" s="64" t="s">
        <v>425</v>
      </c>
      <c r="F565" s="65">
        <v>1383</v>
      </c>
      <c r="G565" s="66" t="s">
        <v>437</v>
      </c>
      <c r="H565" s="67">
        <v>10</v>
      </c>
      <c r="I565" s="68">
        <v>3</v>
      </c>
      <c r="J565" s="68">
        <v>4</v>
      </c>
      <c r="K565" s="91">
        <v>0.5</v>
      </c>
      <c r="L565" s="91">
        <v>0.25195725036362487</v>
      </c>
      <c r="M565" s="91">
        <v>0.24804274963637513</v>
      </c>
      <c r="N565" s="91">
        <v>0.25</v>
      </c>
      <c r="O565" s="91">
        <v>0.22</v>
      </c>
      <c r="P565" s="91">
        <v>0.03</v>
      </c>
      <c r="Q565" s="85">
        <v>7.4999999999999997E-2</v>
      </c>
      <c r="R565" s="68" t="s">
        <v>1107</v>
      </c>
      <c r="S565" s="86">
        <v>0</v>
      </c>
      <c r="T565" s="68">
        <v>0</v>
      </c>
      <c r="U565" s="68">
        <v>0</v>
      </c>
      <c r="V565" s="68">
        <v>0</v>
      </c>
      <c r="W565" s="68">
        <v>0</v>
      </c>
      <c r="X565" s="68">
        <v>0</v>
      </c>
      <c r="Y565" s="68">
        <v>0</v>
      </c>
      <c r="Z565" s="68">
        <v>0</v>
      </c>
      <c r="AA565" s="68">
        <v>0</v>
      </c>
      <c r="AB565" s="69">
        <v>0</v>
      </c>
      <c r="AC565" s="69">
        <v>0</v>
      </c>
      <c r="AD565" s="70">
        <f>IFERROR(tblTarget[[#This Row],[Cluster Target]]/tblTarget[[#This Row],[Cluster PiN]],0)</f>
        <v>0.05</v>
      </c>
      <c r="AE565" s="79">
        <f>_xlfn.XLOOKUP(tblTarget[[#This Row],[ID]],tblResponse[ID],tblResponse[2024 Projected reached (Dec 2024)])</f>
        <v>0</v>
      </c>
      <c r="AF565" s="79">
        <f>_xlfn.XLOOKUP(tblTarget[[#This Row],[ID]],tblResponse[ID],tblResponse[2024 Intercluster reached -August RPM])</f>
        <v>10.71774716956233</v>
      </c>
      <c r="AG565" s="79">
        <v>1</v>
      </c>
      <c r="AH565" s="79"/>
      <c r="AI565" s="79"/>
      <c r="AJ565" s="70" t="str">
        <f>IF(tblTarget[[#This Row],[Target to PiN (%)]]&gt;Targ_vs_PiN,"Flagged","")</f>
        <v/>
      </c>
      <c r="AK565" s="69" t="str">
        <f>IF(AND(tblTarget[[#This Row],[Qualifies for exception]]="Flagged",tblTarget[[#This Row],[Target to PiN (%)]]&gt;Targ_severity5),"Flagged","")</f>
        <v/>
      </c>
      <c r="AL565" s="68" t="str">
        <f>IFERROR(IF(AND(tblTarget[[#This Row],[Intercluser Severity]]=4,tblTarget[[#This Row],[Qualifies for exception]]="Flagged",(tblTarget[[#This Row],[Cluster Target]]-tblTarget[[#This Row],[2024 Response capacity up to December]])/tblTarget[[#This Row],[Cluster Target]]&gt;Diff_severity4),"Flagged",""),"No target")</f>
        <v>Flagged</v>
      </c>
      <c r="AM565" s="68" t="str">
        <f>IFERROR(IF(AND(tblTarget[[#This Row],[Intercluser Severity]]=3,tblTarget[[#This Row],[Qualifies for exception]]="Flagged",(tblTarget[[#This Row],[Cluster Target]]-tblTarget[[#This Row],[2024 Response capacity up to December]])/tblTarget[[#This Row],[Cluster Target]]&gt;Diff_severity3),"Flagged",""),"No target")</f>
        <v/>
      </c>
      <c r="AN565" s="81" t="s">
        <v>1099</v>
      </c>
      <c r="AO565" s="81"/>
      <c r="AP565" s="81" t="s">
        <v>1099</v>
      </c>
      <c r="AQ565" s="81" t="s">
        <v>1107</v>
      </c>
    </row>
    <row r="566" spans="1:43" ht="15.95" customHeight="1" x14ac:dyDescent="0.2">
      <c r="A566" s="62" t="s">
        <v>1003</v>
      </c>
      <c r="B566" s="63" t="s">
        <v>406</v>
      </c>
      <c r="C566" s="64" t="s">
        <v>407</v>
      </c>
      <c r="D566" s="63" t="s">
        <v>426</v>
      </c>
      <c r="E566" s="64" t="s">
        <v>427</v>
      </c>
      <c r="F566" s="65">
        <v>107600</v>
      </c>
      <c r="G566" s="66" t="s">
        <v>437</v>
      </c>
      <c r="H566" s="67">
        <v>15890</v>
      </c>
      <c r="I566" s="68">
        <v>3</v>
      </c>
      <c r="J566" s="68">
        <v>4</v>
      </c>
      <c r="K566" s="91">
        <v>286.02</v>
      </c>
      <c r="L566" s="91">
        <v>145.75629685116581</v>
      </c>
      <c r="M566" s="91">
        <v>140.26370314883417</v>
      </c>
      <c r="N566" s="91">
        <v>143.01</v>
      </c>
      <c r="O566" s="91">
        <v>125.8488</v>
      </c>
      <c r="P566" s="91">
        <v>17.161199999999997</v>
      </c>
      <c r="Q566" s="85">
        <v>42.902999999999999</v>
      </c>
      <c r="R566" s="68" t="s">
        <v>15</v>
      </c>
      <c r="S566" s="86">
        <v>41</v>
      </c>
      <c r="T566" s="68">
        <v>10</v>
      </c>
      <c r="U566" s="68">
        <v>0</v>
      </c>
      <c r="V566" s="68">
        <v>0</v>
      </c>
      <c r="W566" s="68">
        <v>3</v>
      </c>
      <c r="X566" s="68">
        <v>6</v>
      </c>
      <c r="Y566" s="68">
        <v>20</v>
      </c>
      <c r="Z566" s="68">
        <v>0</v>
      </c>
      <c r="AA566" s="68">
        <v>0</v>
      </c>
      <c r="AB566" s="69">
        <v>0</v>
      </c>
      <c r="AC566" s="69">
        <v>0</v>
      </c>
      <c r="AD566" s="70">
        <f>IFERROR(tblTarget[[#This Row],[Cluster Target]]/tblTarget[[#This Row],[Cluster PiN]],0)</f>
        <v>1.7999999999999999E-2</v>
      </c>
      <c r="AE566" s="79">
        <f>_xlfn.XLOOKUP(tblTarget[[#This Row],[ID]],tblResponse[ID],tblResponse[2024 Projected reached (Dec 2024)])</f>
        <v>0</v>
      </c>
      <c r="AF566" s="79">
        <f>_xlfn.XLOOKUP(tblTarget[[#This Row],[ID]],tblResponse[ID],tblResponse[2024 Intercluster reached -August RPM])</f>
        <v>140.62577432063242</v>
      </c>
      <c r="AG566" s="79">
        <v>1</v>
      </c>
      <c r="AH566" s="79"/>
      <c r="AI566" s="79"/>
      <c r="AJ566" s="70" t="str">
        <f>IF(tblTarget[[#This Row],[Target to PiN (%)]]&gt;Targ_vs_PiN,"Flagged","")</f>
        <v/>
      </c>
      <c r="AK566" s="69" t="str">
        <f>IF(AND(tblTarget[[#This Row],[Qualifies for exception]]="Flagged",tblTarget[[#This Row],[Target to PiN (%)]]&gt;Targ_severity5),"Flagged","")</f>
        <v/>
      </c>
      <c r="AL566" s="68" t="str">
        <f>IFERROR(IF(AND(tblTarget[[#This Row],[Intercluser Severity]]=4,tblTarget[[#This Row],[Qualifies for exception]]="Flagged",(tblTarget[[#This Row],[Cluster Target]]-tblTarget[[#This Row],[2024 Response capacity up to December]])/tblTarget[[#This Row],[Cluster Target]]&gt;Diff_severity4),"Flagged",""),"No target")</f>
        <v/>
      </c>
      <c r="AM566" s="68" t="str">
        <f>IFERROR(IF(AND(tblTarget[[#This Row],[Intercluser Severity]]=3,tblTarget[[#This Row],[Qualifies for exception]]="Flagged",(tblTarget[[#This Row],[Cluster Target]]-tblTarget[[#This Row],[2024 Response capacity up to December]])/tblTarget[[#This Row],[Cluster Target]]&gt;Diff_severity3),"Flagged",""),"No target")</f>
        <v/>
      </c>
      <c r="AN566" s="81" t="s">
        <v>1099</v>
      </c>
      <c r="AO566" s="81"/>
      <c r="AP566" s="81" t="s">
        <v>15</v>
      </c>
      <c r="AQ566" s="81" t="s">
        <v>1098</v>
      </c>
    </row>
    <row r="567" spans="1:43" ht="15.95" hidden="1" customHeight="1" x14ac:dyDescent="0.2">
      <c r="A567" s="62" t="s">
        <v>1004</v>
      </c>
      <c r="B567" s="63" t="s">
        <v>406</v>
      </c>
      <c r="C567" s="64" t="s">
        <v>407</v>
      </c>
      <c r="D567" s="63" t="s">
        <v>428</v>
      </c>
      <c r="E567" s="64" t="s">
        <v>429</v>
      </c>
      <c r="F567" s="65">
        <v>72277</v>
      </c>
      <c r="G567" s="66" t="s">
        <v>437</v>
      </c>
      <c r="H567" s="67">
        <v>544</v>
      </c>
      <c r="I567" s="68">
        <v>3</v>
      </c>
      <c r="J567" s="68">
        <v>4</v>
      </c>
      <c r="K567" s="91">
        <v>13.5</v>
      </c>
      <c r="L567" s="91">
        <v>6.6972697675636512</v>
      </c>
      <c r="M567" s="91">
        <v>6.8027302324363479</v>
      </c>
      <c r="N567" s="91">
        <v>6.75</v>
      </c>
      <c r="O567" s="91">
        <v>5.94</v>
      </c>
      <c r="P567" s="91">
        <v>0.80999999999999994</v>
      </c>
      <c r="Q567" s="85">
        <v>2.0249999999999999</v>
      </c>
      <c r="R567" s="68" t="s">
        <v>1107</v>
      </c>
      <c r="S567" s="86">
        <v>2</v>
      </c>
      <c r="T567" s="68">
        <v>0</v>
      </c>
      <c r="U567" s="68">
        <v>0</v>
      </c>
      <c r="V567" s="68">
        <v>0</v>
      </c>
      <c r="W567" s="68">
        <v>0</v>
      </c>
      <c r="X567" s="68">
        <v>0</v>
      </c>
      <c r="Y567" s="68">
        <v>1</v>
      </c>
      <c r="Z567" s="68">
        <v>0</v>
      </c>
      <c r="AA567" s="68">
        <v>0</v>
      </c>
      <c r="AB567" s="69">
        <v>0</v>
      </c>
      <c r="AC567" s="69">
        <v>0</v>
      </c>
      <c r="AD567" s="70">
        <f>IFERROR(tblTarget[[#This Row],[Cluster Target]]/tblTarget[[#This Row],[Cluster PiN]],0)</f>
        <v>2.4816176470588234E-2</v>
      </c>
      <c r="AE567" s="79">
        <f>_xlfn.XLOOKUP(tblTarget[[#This Row],[ID]],tblResponse[ID],tblResponse[2024 Projected reached (Dec 2024)])</f>
        <v>0</v>
      </c>
      <c r="AF567" s="79">
        <f>_xlfn.XLOOKUP(tblTarget[[#This Row],[ID]],tblResponse[ID],tblResponse[2024 Intercluster reached -August RPM])</f>
        <v>980.67386601495321</v>
      </c>
      <c r="AG567" s="79">
        <v>1</v>
      </c>
      <c r="AH567" s="79"/>
      <c r="AI567" s="79"/>
      <c r="AJ567" s="70" t="str">
        <f>IF(tblTarget[[#This Row],[Target to PiN (%)]]&gt;Targ_vs_PiN,"Flagged","")</f>
        <v/>
      </c>
      <c r="AK567" s="69" t="str">
        <f>IF(AND(tblTarget[[#This Row],[Qualifies for exception]]="Flagged",tblTarget[[#This Row],[Target to PiN (%)]]&gt;Targ_severity5),"Flagged","")</f>
        <v/>
      </c>
      <c r="AL567" s="68" t="str">
        <f>IFERROR(IF(AND(tblTarget[[#This Row],[Intercluser Severity]]=4,tblTarget[[#This Row],[Qualifies for exception]]="Flagged",(tblTarget[[#This Row],[Cluster Target]]-tblTarget[[#This Row],[2024 Response capacity up to December]])/tblTarget[[#This Row],[Cluster Target]]&gt;Diff_severity4),"Flagged",""),"No target")</f>
        <v>Flagged</v>
      </c>
      <c r="AM567" s="68" t="str">
        <f>IFERROR(IF(AND(tblTarget[[#This Row],[Intercluser Severity]]=3,tblTarget[[#This Row],[Qualifies for exception]]="Flagged",(tblTarget[[#This Row],[Cluster Target]]-tblTarget[[#This Row],[2024 Response capacity up to December]])/tblTarget[[#This Row],[Cluster Target]]&gt;Diff_severity3),"Flagged",""),"No target")</f>
        <v/>
      </c>
      <c r="AN567" s="81" t="s">
        <v>1099</v>
      </c>
      <c r="AO567" s="81"/>
      <c r="AP567" s="81" t="s">
        <v>1099</v>
      </c>
      <c r="AQ567" s="81" t="s">
        <v>1107</v>
      </c>
    </row>
    <row r="568" spans="1:43" ht="15.95" customHeight="1" x14ac:dyDescent="0.2">
      <c r="A568" s="62" t="s">
        <v>1005</v>
      </c>
      <c r="B568" s="63" t="s">
        <v>406</v>
      </c>
      <c r="C568" s="64" t="s">
        <v>407</v>
      </c>
      <c r="D568" s="63" t="s">
        <v>430</v>
      </c>
      <c r="E568" s="64" t="s">
        <v>431</v>
      </c>
      <c r="F568" s="65">
        <v>225816</v>
      </c>
      <c r="G568" s="66" t="s">
        <v>437</v>
      </c>
      <c r="H568" s="67">
        <v>8885</v>
      </c>
      <c r="I568" s="68">
        <v>3</v>
      </c>
      <c r="J568" s="68">
        <v>4</v>
      </c>
      <c r="K568" s="91">
        <v>444.5</v>
      </c>
      <c r="L568" s="91">
        <v>229.8176481899159</v>
      </c>
      <c r="M568" s="91">
        <v>214.68235181008407</v>
      </c>
      <c r="N568" s="91">
        <v>222.25</v>
      </c>
      <c r="O568" s="91">
        <v>195.58</v>
      </c>
      <c r="P568" s="91">
        <v>26.669999999999998</v>
      </c>
      <c r="Q568" s="85">
        <v>66.674999999999997</v>
      </c>
      <c r="R568" s="68" t="s">
        <v>15</v>
      </c>
      <c r="S568" s="86">
        <v>64</v>
      </c>
      <c r="T568" s="68">
        <v>16</v>
      </c>
      <c r="U568" s="68">
        <v>0</v>
      </c>
      <c r="V568" s="68">
        <v>0</v>
      </c>
      <c r="W568" s="68">
        <v>4</v>
      </c>
      <c r="X568" s="68">
        <v>9</v>
      </c>
      <c r="Y568" s="68">
        <v>31</v>
      </c>
      <c r="Z568" s="68">
        <v>0</v>
      </c>
      <c r="AA568" s="68">
        <v>0</v>
      </c>
      <c r="AB568" s="69">
        <v>0</v>
      </c>
      <c r="AC568" s="69">
        <v>0</v>
      </c>
      <c r="AD568" s="70">
        <f>IFERROR(tblTarget[[#This Row],[Cluster Target]]/tblTarget[[#This Row],[Cluster PiN]],0)</f>
        <v>5.0028137310073155E-2</v>
      </c>
      <c r="AE568" s="79">
        <f>_xlfn.XLOOKUP(tblTarget[[#This Row],[ID]],tblResponse[ID],tblResponse[2024 Projected reached (Dec 2024)])</f>
        <v>0</v>
      </c>
      <c r="AF568" s="79">
        <f>_xlfn.XLOOKUP(tblTarget[[#This Row],[ID]],tblResponse[ID],tblResponse[2024 Intercluster reached -August RPM])</f>
        <v>3.274867190699601</v>
      </c>
      <c r="AG568" s="79">
        <v>1</v>
      </c>
      <c r="AH568" s="79"/>
      <c r="AI568" s="79"/>
      <c r="AJ568" s="70" t="str">
        <f>IF(tblTarget[[#This Row],[Target to PiN (%)]]&gt;Targ_vs_PiN,"Flagged","")</f>
        <v/>
      </c>
      <c r="AK568" s="69" t="str">
        <f>IF(AND(tblTarget[[#This Row],[Qualifies for exception]]="Flagged",tblTarget[[#This Row],[Target to PiN (%)]]&gt;Targ_severity5),"Flagged","")</f>
        <v/>
      </c>
      <c r="AL568" s="68" t="str">
        <f>IFERROR(IF(AND(tblTarget[[#This Row],[Intercluser Severity]]=4,tblTarget[[#This Row],[Qualifies for exception]]="Flagged",(tblTarget[[#This Row],[Cluster Target]]-tblTarget[[#This Row],[2024 Response capacity up to December]])/tblTarget[[#This Row],[Cluster Target]]&gt;Diff_severity4),"Flagged",""),"No target")</f>
        <v/>
      </c>
      <c r="AM568" s="68" t="str">
        <f>IFERROR(IF(AND(tblTarget[[#This Row],[Intercluser Severity]]=3,tblTarget[[#This Row],[Qualifies for exception]]="Flagged",(tblTarget[[#This Row],[Cluster Target]]-tblTarget[[#This Row],[2024 Response capacity up to December]])/tblTarget[[#This Row],[Cluster Target]]&gt;Diff_severity3),"Flagged",""),"No target")</f>
        <v/>
      </c>
      <c r="AN568" s="81" t="s">
        <v>1099</v>
      </c>
      <c r="AO568" s="81"/>
      <c r="AP568" s="81" t="s">
        <v>15</v>
      </c>
      <c r="AQ568" s="81" t="s">
        <v>1098</v>
      </c>
    </row>
    <row r="569" spans="1:43" ht="15.95" hidden="1" customHeight="1" x14ac:dyDescent="0.2">
      <c r="A569" s="62" t="s">
        <v>1006</v>
      </c>
      <c r="B569" s="63" t="s">
        <v>406</v>
      </c>
      <c r="C569" s="64" t="s">
        <v>407</v>
      </c>
      <c r="D569" s="63" t="s">
        <v>432</v>
      </c>
      <c r="E569" s="64" t="s">
        <v>433</v>
      </c>
      <c r="F569" s="65">
        <v>142685</v>
      </c>
      <c r="G569" s="66" t="s">
        <v>437</v>
      </c>
      <c r="H569" s="67">
        <v>0</v>
      </c>
      <c r="I569" s="68">
        <v>3</v>
      </c>
      <c r="J569" s="68">
        <v>3</v>
      </c>
      <c r="K569" s="91">
        <v>0</v>
      </c>
      <c r="L569" s="91">
        <v>0</v>
      </c>
      <c r="M569" s="91">
        <v>0</v>
      </c>
      <c r="N569" s="91">
        <v>0</v>
      </c>
      <c r="O569" s="91">
        <v>0</v>
      </c>
      <c r="P569" s="91">
        <v>0</v>
      </c>
      <c r="Q569" s="85">
        <v>0</v>
      </c>
      <c r="R569" s="68" t="s">
        <v>1107</v>
      </c>
      <c r="S569" s="86">
        <v>0</v>
      </c>
      <c r="T569" s="68">
        <v>0</v>
      </c>
      <c r="U569" s="68">
        <v>0</v>
      </c>
      <c r="V569" s="68">
        <v>0</v>
      </c>
      <c r="W569" s="68">
        <v>0</v>
      </c>
      <c r="X569" s="68">
        <v>0</v>
      </c>
      <c r="Y569" s="68">
        <v>0</v>
      </c>
      <c r="Z569" s="68">
        <v>0</v>
      </c>
      <c r="AA569" s="68">
        <v>0</v>
      </c>
      <c r="AB569" s="69">
        <v>0</v>
      </c>
      <c r="AC569" s="69">
        <v>0</v>
      </c>
      <c r="AD569" s="70">
        <f>IFERROR(tblTarget[[#This Row],[Cluster Target]]/tblTarget[[#This Row],[Cluster PiN]],0)</f>
        <v>0</v>
      </c>
      <c r="AE569" s="79">
        <f>_xlfn.XLOOKUP(tblTarget[[#This Row],[ID]],tblResponse[ID],tblResponse[2024 Projected reached (Dec 2024)])</f>
        <v>0</v>
      </c>
      <c r="AF569" s="79">
        <f>_xlfn.XLOOKUP(tblTarget[[#This Row],[ID]],tblResponse[ID],tblResponse[2024 Intercluster reached -August RPM])</f>
        <v>0</v>
      </c>
      <c r="AG569" s="79">
        <v>1</v>
      </c>
      <c r="AH569" s="79"/>
      <c r="AI569" s="79"/>
      <c r="AJ569" s="70" t="str">
        <f>IF(tblTarget[[#This Row],[Target to PiN (%)]]&gt;Targ_vs_PiN,"Flagged","")</f>
        <v/>
      </c>
      <c r="AK569" s="69" t="str">
        <f>IF(AND(tblTarget[[#This Row],[Qualifies for exception]]="Flagged",tblTarget[[#This Row],[Target to PiN (%)]]&gt;Targ_severity5),"Flagged","")</f>
        <v/>
      </c>
      <c r="AL569" s="68" t="str">
        <f>IFERROR(IF(AND(tblTarget[[#This Row],[Intercluser Severity]]=4,tblTarget[[#This Row],[Qualifies for exception]]="Flagged",(tblTarget[[#This Row],[Cluster Target]]-tblTarget[[#This Row],[2024 Response capacity up to December]])/tblTarget[[#This Row],[Cluster Target]]&gt;Diff_severity4),"Flagged",""),"No target")</f>
        <v>No target</v>
      </c>
      <c r="AM569" s="68" t="str">
        <f>IFERROR(IF(AND(tblTarget[[#This Row],[Intercluser Severity]]=3,tblTarget[[#This Row],[Qualifies for exception]]="Flagged",(tblTarget[[#This Row],[Cluster Target]]-tblTarget[[#This Row],[2024 Response capacity up to December]])/tblTarget[[#This Row],[Cluster Target]]&gt;Diff_severity3),"Flagged",""),"No target")</f>
        <v>No target</v>
      </c>
      <c r="AN569" s="81" t="s">
        <v>1099</v>
      </c>
      <c r="AO569" s="81"/>
      <c r="AP569" s="81" t="s">
        <v>1099</v>
      </c>
      <c r="AQ569" s="81" t="s">
        <v>1107</v>
      </c>
    </row>
    <row r="570" spans="1:43" ht="15.95" customHeight="1" x14ac:dyDescent="0.2">
      <c r="A570" s="62" t="s">
        <v>1007</v>
      </c>
      <c r="B570" s="63" t="s">
        <v>406</v>
      </c>
      <c r="C570" s="64" t="s">
        <v>407</v>
      </c>
      <c r="D570" s="63" t="s">
        <v>434</v>
      </c>
      <c r="E570" s="64" t="s">
        <v>435</v>
      </c>
      <c r="F570" s="65">
        <v>46255</v>
      </c>
      <c r="G570" s="66" t="s">
        <v>437</v>
      </c>
      <c r="H570" s="67">
        <v>3133</v>
      </c>
      <c r="I570" s="68">
        <v>3</v>
      </c>
      <c r="J570" s="68">
        <v>4</v>
      </c>
      <c r="K570" s="91">
        <v>106.56</v>
      </c>
      <c r="L570" s="91">
        <v>52.958636025939683</v>
      </c>
      <c r="M570" s="91">
        <v>53.60136397406032</v>
      </c>
      <c r="N570" s="91">
        <v>53.28</v>
      </c>
      <c r="O570" s="91">
        <v>46.886400000000002</v>
      </c>
      <c r="P570" s="91">
        <v>6.3936000000000002</v>
      </c>
      <c r="Q570" s="85">
        <v>15.984</v>
      </c>
      <c r="R570" s="68" t="s">
        <v>15</v>
      </c>
      <c r="S570" s="86">
        <v>15</v>
      </c>
      <c r="T570" s="68">
        <v>4</v>
      </c>
      <c r="U570" s="68">
        <v>0</v>
      </c>
      <c r="V570" s="68">
        <v>0</v>
      </c>
      <c r="W570" s="68">
        <v>1</v>
      </c>
      <c r="X570" s="68">
        <v>2</v>
      </c>
      <c r="Y570" s="68">
        <v>7</v>
      </c>
      <c r="Z570" s="68">
        <v>0</v>
      </c>
      <c r="AA570" s="68">
        <v>0</v>
      </c>
      <c r="AB570" s="69">
        <v>0</v>
      </c>
      <c r="AC570" s="69">
        <v>0</v>
      </c>
      <c r="AD570" s="70">
        <f>IFERROR(tblTarget[[#This Row],[Cluster Target]]/tblTarget[[#This Row],[Cluster PiN]],0)</f>
        <v>3.4012128949888289E-2</v>
      </c>
      <c r="AE570" s="79">
        <f>_xlfn.XLOOKUP(tblTarget[[#This Row],[ID]],tblResponse[ID],tblResponse[2024 Projected reached (Dec 2024)])</f>
        <v>0</v>
      </c>
      <c r="AF570" s="79">
        <f>_xlfn.XLOOKUP(tblTarget[[#This Row],[ID]],tblResponse[ID],tblResponse[2024 Intercluster reached -August RPM])</f>
        <v>0.22328639936588188</v>
      </c>
      <c r="AG570" s="79">
        <v>1</v>
      </c>
      <c r="AH570" s="79"/>
      <c r="AI570" s="79"/>
      <c r="AJ570" s="70" t="str">
        <f>IF(tblTarget[[#This Row],[Target to PiN (%)]]&gt;Targ_vs_PiN,"Flagged","")</f>
        <v/>
      </c>
      <c r="AK570" s="69" t="str">
        <f>IF(AND(tblTarget[[#This Row],[Qualifies for exception]]="Flagged",tblTarget[[#This Row],[Target to PiN (%)]]&gt;Targ_severity5),"Flagged","")</f>
        <v/>
      </c>
      <c r="AL570" s="68" t="str">
        <f>IFERROR(IF(AND(tblTarget[[#This Row],[Intercluser Severity]]=4,tblTarget[[#This Row],[Qualifies for exception]]="Flagged",(tblTarget[[#This Row],[Cluster Target]]-tblTarget[[#This Row],[2024 Response capacity up to December]])/tblTarget[[#This Row],[Cluster Target]]&gt;Diff_severity4),"Flagged",""),"No target")</f>
        <v/>
      </c>
      <c r="AM570" s="68" t="str">
        <f>IFERROR(IF(AND(tblTarget[[#This Row],[Intercluser Severity]]=3,tblTarget[[#This Row],[Qualifies for exception]]="Flagged",(tblTarget[[#This Row],[Cluster Target]]-tblTarget[[#This Row],[2024 Response capacity up to December]])/tblTarget[[#This Row],[Cluster Target]]&gt;Diff_severity3),"Flagged",""),"No target")</f>
        <v/>
      </c>
      <c r="AN570" s="83" t="s">
        <v>1099</v>
      </c>
      <c r="AO570" s="83"/>
      <c r="AP570" s="83" t="s">
        <v>15</v>
      </c>
      <c r="AQ570" s="83" t="s">
        <v>1098</v>
      </c>
    </row>
  </sheetData>
  <mergeCells count="3">
    <mergeCell ref="AJ5:AM5"/>
    <mergeCell ref="AN5:AQ5"/>
    <mergeCell ref="AE5:AI5"/>
  </mergeCells>
  <phoneticPr fontId="2" type="noConversion"/>
  <conditionalFormatting sqref="AJ7:AM570">
    <cfRule type="containsText" dxfId="145" priority="1" operator="containsText" text="Flagged">
      <formula>NOT(ISERROR(SEARCH("Flagged",AJ7)))</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345C-3CAE-411F-9447-0AE3999FE279}">
  <dimension ref="A1:K566"/>
  <sheetViews>
    <sheetView topLeftCell="A32" workbookViewId="0">
      <selection activeCell="I51" sqref="I51"/>
    </sheetView>
  </sheetViews>
  <sheetFormatPr defaultColWidth="9.140625" defaultRowHeight="12.75" x14ac:dyDescent="0.25"/>
  <cols>
    <col min="1" max="1" width="14.85546875" style="110" bestFit="1" customWidth="1"/>
    <col min="2" max="3" width="9.140625" style="110"/>
    <col min="4" max="4" width="13.42578125" style="110" customWidth="1"/>
    <col min="5" max="5" width="14.140625" style="110" customWidth="1"/>
    <col min="6" max="6" width="17.140625" style="110" customWidth="1"/>
    <col min="7" max="7" width="21.5703125" style="110" customWidth="1"/>
    <col min="8" max="8" width="22.28515625" style="115" customWidth="1"/>
    <col min="9" max="9" width="30.42578125" style="114" customWidth="1"/>
    <col min="10" max="10" width="24.140625" style="110" customWidth="1"/>
    <col min="11" max="16384" width="9.140625" style="110"/>
  </cols>
  <sheetData>
    <row r="1" spans="1:11" ht="25.5" customHeight="1" x14ac:dyDescent="0.25">
      <c r="F1" s="96">
        <f>SUM(tblResponse[2024 Target])</f>
        <v>2104048</v>
      </c>
      <c r="G1" s="96">
        <f>SUM(tblResponse[2024 Cumulative reached (August RPM)])</f>
        <v>618462</v>
      </c>
      <c r="H1" s="96">
        <f>SUM(tblResponse[2024 Intercluster reached -August RPM])</f>
        <v>10107922.999999996</v>
      </c>
      <c r="I1" s="97" t="s">
        <v>1104</v>
      </c>
      <c r="K1" s="113"/>
    </row>
    <row r="2" spans="1:11" ht="23.1" customHeight="1" x14ac:dyDescent="0.25">
      <c r="A2" s="98" t="s">
        <v>19</v>
      </c>
      <c r="B2" s="99" t="s">
        <v>20</v>
      </c>
      <c r="C2" s="100" t="s">
        <v>22</v>
      </c>
      <c r="D2" s="101" t="s">
        <v>23</v>
      </c>
      <c r="E2" s="102" t="s">
        <v>25</v>
      </c>
      <c r="F2" s="102" t="s">
        <v>1046</v>
      </c>
      <c r="G2" s="102" t="s">
        <v>1047</v>
      </c>
      <c r="H2" s="103" t="s">
        <v>1115</v>
      </c>
      <c r="I2" s="104" t="s">
        <v>1100</v>
      </c>
      <c r="J2" s="98" t="s">
        <v>1108</v>
      </c>
    </row>
    <row r="3" spans="1:11" ht="23.1" customHeight="1" x14ac:dyDescent="0.25">
      <c r="A3" s="105" t="s">
        <v>444</v>
      </c>
      <c r="B3" s="105" t="s">
        <v>26</v>
      </c>
      <c r="C3" s="106" t="s">
        <v>28</v>
      </c>
      <c r="D3" s="107" t="s">
        <v>29</v>
      </c>
      <c r="E3" s="108" t="s">
        <v>30</v>
      </c>
      <c r="F3" s="108">
        <v>706.40000000000009</v>
      </c>
      <c r="G3" s="108">
        <v>0</v>
      </c>
      <c r="H3" s="109">
        <v>41948.265497596905</v>
      </c>
      <c r="I3" s="114">
        <v>0</v>
      </c>
      <c r="J3" s="110">
        <v>1</v>
      </c>
    </row>
    <row r="4" spans="1:11" ht="23.1" customHeight="1" x14ac:dyDescent="0.25">
      <c r="A4" s="105" t="s">
        <v>445</v>
      </c>
      <c r="B4" s="105" t="s">
        <v>26</v>
      </c>
      <c r="C4" s="106" t="s">
        <v>31</v>
      </c>
      <c r="D4" s="107" t="s">
        <v>32</v>
      </c>
      <c r="E4" s="108" t="s">
        <v>30</v>
      </c>
      <c r="F4" s="108">
        <v>357.6</v>
      </c>
      <c r="G4" s="108">
        <v>0</v>
      </c>
      <c r="H4" s="109">
        <v>1988.3745108022483</v>
      </c>
      <c r="I4" s="114">
        <v>0</v>
      </c>
      <c r="J4" s="110">
        <v>0</v>
      </c>
    </row>
    <row r="5" spans="1:11" ht="23.1" customHeight="1" x14ac:dyDescent="0.25">
      <c r="A5" s="105" t="s">
        <v>446</v>
      </c>
      <c r="B5" s="105" t="s">
        <v>26</v>
      </c>
      <c r="C5" s="106" t="s">
        <v>33</v>
      </c>
      <c r="D5" s="107" t="s">
        <v>34</v>
      </c>
      <c r="E5" s="108" t="s">
        <v>30</v>
      </c>
      <c r="F5" s="108">
        <v>319.20000000000005</v>
      </c>
      <c r="G5" s="108">
        <v>0</v>
      </c>
      <c r="H5" s="109">
        <v>24487.370822687786</v>
      </c>
      <c r="I5" s="114">
        <v>0</v>
      </c>
      <c r="J5" s="110">
        <v>0</v>
      </c>
    </row>
    <row r="6" spans="1:11" ht="23.1" customHeight="1" x14ac:dyDescent="0.25">
      <c r="A6" s="105" t="s">
        <v>447</v>
      </c>
      <c r="B6" s="105" t="s">
        <v>26</v>
      </c>
      <c r="C6" s="106" t="s">
        <v>35</v>
      </c>
      <c r="D6" s="107" t="s">
        <v>36</v>
      </c>
      <c r="E6" s="108" t="s">
        <v>30</v>
      </c>
      <c r="F6" s="108">
        <v>728.80000000000007</v>
      </c>
      <c r="G6" s="108">
        <v>0</v>
      </c>
      <c r="H6" s="109">
        <v>13992.783327250165</v>
      </c>
      <c r="I6" s="114">
        <v>0</v>
      </c>
      <c r="J6" s="110">
        <v>0</v>
      </c>
    </row>
    <row r="7" spans="1:11" ht="23.1" customHeight="1" x14ac:dyDescent="0.25">
      <c r="A7" s="105" t="s">
        <v>448</v>
      </c>
      <c r="B7" s="105" t="s">
        <v>26</v>
      </c>
      <c r="C7" s="106" t="s">
        <v>37</v>
      </c>
      <c r="D7" s="107" t="s">
        <v>38</v>
      </c>
      <c r="E7" s="108" t="s">
        <v>30</v>
      </c>
      <c r="F7" s="108">
        <v>335.20000000000005</v>
      </c>
      <c r="G7" s="108">
        <v>0</v>
      </c>
      <c r="H7" s="109">
        <v>59550.487284111252</v>
      </c>
      <c r="I7" s="114">
        <v>0</v>
      </c>
      <c r="J7" s="110">
        <v>2</v>
      </c>
    </row>
    <row r="8" spans="1:11" ht="23.1" customHeight="1" x14ac:dyDescent="0.25">
      <c r="A8" s="105" t="s">
        <v>449</v>
      </c>
      <c r="B8" s="105" t="s">
        <v>26</v>
      </c>
      <c r="C8" s="106" t="s">
        <v>39</v>
      </c>
      <c r="D8" s="107" t="s">
        <v>40</v>
      </c>
      <c r="E8" s="108" t="s">
        <v>30</v>
      </c>
      <c r="F8" s="108">
        <v>317.60000000000002</v>
      </c>
      <c r="G8" s="108">
        <v>0</v>
      </c>
      <c r="H8" s="109">
        <v>54410.937968012266</v>
      </c>
      <c r="I8" s="114">
        <v>0</v>
      </c>
      <c r="J8" s="110">
        <v>1</v>
      </c>
    </row>
    <row r="9" spans="1:11" ht="23.1" customHeight="1" x14ac:dyDescent="0.25">
      <c r="A9" s="105" t="s">
        <v>450</v>
      </c>
      <c r="B9" s="105" t="s">
        <v>26</v>
      </c>
      <c r="C9" s="106" t="s">
        <v>26</v>
      </c>
      <c r="D9" s="107" t="s">
        <v>41</v>
      </c>
      <c r="E9" s="108" t="s">
        <v>30</v>
      </c>
      <c r="F9" s="108">
        <v>664</v>
      </c>
      <c r="G9" s="108">
        <v>0</v>
      </c>
      <c r="H9" s="109">
        <v>69852.674008799178</v>
      </c>
      <c r="I9" s="114">
        <v>0</v>
      </c>
      <c r="J9" s="110">
        <v>0</v>
      </c>
    </row>
    <row r="10" spans="1:11" ht="23.1" customHeight="1" x14ac:dyDescent="0.25">
      <c r="A10" s="105" t="s">
        <v>451</v>
      </c>
      <c r="B10" s="105" t="s">
        <v>42</v>
      </c>
      <c r="C10" s="106" t="s">
        <v>44</v>
      </c>
      <c r="D10" s="107" t="s">
        <v>45</v>
      </c>
      <c r="E10" s="108" t="s">
        <v>30</v>
      </c>
      <c r="F10" s="108">
        <v>3530.4</v>
      </c>
      <c r="G10" s="108">
        <v>0</v>
      </c>
      <c r="H10" s="109">
        <v>3113.3942903131615</v>
      </c>
      <c r="I10" s="114">
        <v>0</v>
      </c>
      <c r="J10" s="110">
        <v>0</v>
      </c>
    </row>
    <row r="11" spans="1:11" ht="23.1" customHeight="1" x14ac:dyDescent="0.25">
      <c r="A11" s="105" t="s">
        <v>452</v>
      </c>
      <c r="B11" s="105" t="s">
        <v>42</v>
      </c>
      <c r="C11" s="106" t="s">
        <v>46</v>
      </c>
      <c r="D11" s="107" t="s">
        <v>47</v>
      </c>
      <c r="E11" s="108" t="s">
        <v>30</v>
      </c>
      <c r="F11" s="108">
        <v>29244.800000000003</v>
      </c>
      <c r="G11" s="108">
        <v>2500</v>
      </c>
      <c r="H11" s="109">
        <v>110436.6431319892</v>
      </c>
      <c r="I11" s="114">
        <v>3335</v>
      </c>
      <c r="J11" s="110">
        <v>1</v>
      </c>
    </row>
    <row r="12" spans="1:11" ht="23.1" customHeight="1" x14ac:dyDescent="0.25">
      <c r="A12" s="105" t="s">
        <v>453</v>
      </c>
      <c r="B12" s="105" t="s">
        <v>42</v>
      </c>
      <c r="C12" s="106" t="s">
        <v>48</v>
      </c>
      <c r="D12" s="107" t="s">
        <v>49</v>
      </c>
      <c r="E12" s="108" t="s">
        <v>30</v>
      </c>
      <c r="F12" s="108">
        <v>0</v>
      </c>
      <c r="G12" s="108">
        <v>0</v>
      </c>
      <c r="H12" s="109">
        <v>1342.6075602496533</v>
      </c>
      <c r="I12" s="114">
        <v>0</v>
      </c>
      <c r="J12" s="110">
        <v>0</v>
      </c>
    </row>
    <row r="13" spans="1:11" ht="23.1" customHeight="1" x14ac:dyDescent="0.25">
      <c r="A13" s="105" t="s">
        <v>454</v>
      </c>
      <c r="B13" s="105" t="s">
        <v>42</v>
      </c>
      <c r="C13" s="106" t="s">
        <v>50</v>
      </c>
      <c r="D13" s="107" t="s">
        <v>51</v>
      </c>
      <c r="E13" s="108" t="s">
        <v>30</v>
      </c>
      <c r="F13" s="108">
        <v>0</v>
      </c>
      <c r="G13" s="108">
        <v>0</v>
      </c>
      <c r="H13" s="109">
        <v>14211.77038632163</v>
      </c>
      <c r="I13" s="114">
        <v>0</v>
      </c>
      <c r="J13" s="110">
        <v>0</v>
      </c>
    </row>
    <row r="14" spans="1:11" ht="23.1" customHeight="1" x14ac:dyDescent="0.25">
      <c r="A14" s="105" t="s">
        <v>455</v>
      </c>
      <c r="B14" s="105" t="s">
        <v>42</v>
      </c>
      <c r="C14" s="106" t="s">
        <v>52</v>
      </c>
      <c r="D14" s="107" t="s">
        <v>53</v>
      </c>
      <c r="E14" s="108" t="s">
        <v>30</v>
      </c>
      <c r="F14" s="108">
        <v>0</v>
      </c>
      <c r="G14" s="108">
        <v>0</v>
      </c>
      <c r="H14" s="109">
        <v>1083.0414295291628</v>
      </c>
      <c r="I14" s="114">
        <v>0</v>
      </c>
      <c r="J14" s="110">
        <v>0</v>
      </c>
    </row>
    <row r="15" spans="1:11" ht="23.1" customHeight="1" x14ac:dyDescent="0.25">
      <c r="A15" s="105" t="s">
        <v>456</v>
      </c>
      <c r="B15" s="105" t="s">
        <v>42</v>
      </c>
      <c r="C15" s="106" t="s">
        <v>54</v>
      </c>
      <c r="D15" s="107" t="s">
        <v>55</v>
      </c>
      <c r="E15" s="108" t="s">
        <v>30</v>
      </c>
      <c r="F15" s="108">
        <v>0</v>
      </c>
      <c r="G15" s="108">
        <v>0</v>
      </c>
      <c r="H15" s="109">
        <v>1903.7181716723849</v>
      </c>
      <c r="I15" s="114">
        <v>0</v>
      </c>
      <c r="J15" s="110">
        <v>0</v>
      </c>
    </row>
    <row r="16" spans="1:11" ht="23.1" customHeight="1" x14ac:dyDescent="0.25">
      <c r="A16" s="105" t="s">
        <v>457</v>
      </c>
      <c r="B16" s="105" t="s">
        <v>42</v>
      </c>
      <c r="C16" s="106" t="s">
        <v>56</v>
      </c>
      <c r="D16" s="107" t="s">
        <v>57</v>
      </c>
      <c r="E16" s="108" t="s">
        <v>30</v>
      </c>
      <c r="F16" s="108">
        <v>0</v>
      </c>
      <c r="G16" s="108">
        <v>0</v>
      </c>
      <c r="H16" s="109">
        <v>2448.737082268779</v>
      </c>
      <c r="I16" s="114">
        <v>0</v>
      </c>
      <c r="J16" s="110">
        <v>1</v>
      </c>
    </row>
    <row r="17" spans="1:10" ht="23.1" customHeight="1" x14ac:dyDescent="0.25">
      <c r="A17" s="105" t="s">
        <v>458</v>
      </c>
      <c r="B17" s="105" t="s">
        <v>42</v>
      </c>
      <c r="C17" s="106" t="s">
        <v>58</v>
      </c>
      <c r="D17" s="107" t="s">
        <v>59</v>
      </c>
      <c r="E17" s="108" t="s">
        <v>30</v>
      </c>
      <c r="F17" s="108">
        <v>1025.6000000000001</v>
      </c>
      <c r="G17" s="108">
        <v>0</v>
      </c>
      <c r="H17" s="109">
        <v>10773.743522816265</v>
      </c>
      <c r="I17" s="114">
        <v>0</v>
      </c>
      <c r="J17" s="110">
        <v>0</v>
      </c>
    </row>
    <row r="18" spans="1:10" ht="23.1" customHeight="1" x14ac:dyDescent="0.25">
      <c r="A18" s="105" t="s">
        <v>459</v>
      </c>
      <c r="B18" s="105" t="s">
        <v>42</v>
      </c>
      <c r="C18" s="106" t="s">
        <v>60</v>
      </c>
      <c r="D18" s="107" t="s">
        <v>61</v>
      </c>
      <c r="E18" s="108" t="s">
        <v>30</v>
      </c>
      <c r="F18" s="108">
        <v>1400</v>
      </c>
      <c r="G18" s="108">
        <v>0</v>
      </c>
      <c r="H18" s="109">
        <v>2657.2295538448061</v>
      </c>
      <c r="I18" s="114">
        <v>0</v>
      </c>
      <c r="J18" s="110">
        <v>0</v>
      </c>
    </row>
    <row r="19" spans="1:10" ht="23.1" customHeight="1" x14ac:dyDescent="0.25">
      <c r="A19" s="105" t="s">
        <v>460</v>
      </c>
      <c r="B19" s="105" t="s">
        <v>42</v>
      </c>
      <c r="C19" s="106" t="s">
        <v>62</v>
      </c>
      <c r="D19" s="107" t="s">
        <v>63</v>
      </c>
      <c r="E19" s="108" t="s">
        <v>30</v>
      </c>
      <c r="F19" s="108">
        <v>223.20000000000002</v>
      </c>
      <c r="G19" s="108">
        <v>0</v>
      </c>
      <c r="H19" s="109">
        <v>12563.420510371559</v>
      </c>
      <c r="I19" s="114">
        <v>0</v>
      </c>
      <c r="J19" s="110">
        <v>0</v>
      </c>
    </row>
    <row r="20" spans="1:10" ht="23.1" customHeight="1" x14ac:dyDescent="0.25">
      <c r="A20" s="105" t="s">
        <v>461</v>
      </c>
      <c r="B20" s="105" t="s">
        <v>42</v>
      </c>
      <c r="C20" s="106" t="s">
        <v>64</v>
      </c>
      <c r="D20" s="107" t="s">
        <v>65</v>
      </c>
      <c r="E20" s="108" t="s">
        <v>30</v>
      </c>
      <c r="F20" s="108">
        <v>172.8</v>
      </c>
      <c r="G20" s="108">
        <v>0</v>
      </c>
      <c r="H20" s="109">
        <v>59363.683626692458</v>
      </c>
      <c r="I20" s="114">
        <v>0</v>
      </c>
      <c r="J20" s="110">
        <v>0</v>
      </c>
    </row>
    <row r="21" spans="1:10" ht="23.1" customHeight="1" x14ac:dyDescent="0.25">
      <c r="A21" s="105" t="s">
        <v>462</v>
      </c>
      <c r="B21" s="105" t="s">
        <v>42</v>
      </c>
      <c r="C21" s="106" t="s">
        <v>66</v>
      </c>
      <c r="D21" s="107" t="s">
        <v>67</v>
      </c>
      <c r="E21" s="108" t="s">
        <v>30</v>
      </c>
      <c r="F21" s="108">
        <v>7549.6</v>
      </c>
      <c r="G21" s="108">
        <v>0</v>
      </c>
      <c r="H21" s="109">
        <v>6716.5359970800791</v>
      </c>
      <c r="I21" s="114">
        <v>0</v>
      </c>
      <c r="J21" s="110">
        <v>0</v>
      </c>
    </row>
    <row r="22" spans="1:10" ht="23.1" customHeight="1" x14ac:dyDescent="0.25">
      <c r="A22" s="105" t="s">
        <v>463</v>
      </c>
      <c r="B22" s="105" t="s">
        <v>42</v>
      </c>
      <c r="C22" s="106" t="s">
        <v>68</v>
      </c>
      <c r="D22" s="107" t="s">
        <v>69</v>
      </c>
      <c r="E22" s="108" t="s">
        <v>30</v>
      </c>
      <c r="F22" s="108">
        <v>0</v>
      </c>
      <c r="G22" s="108">
        <v>0</v>
      </c>
      <c r="H22" s="109">
        <v>1945.6965216541353</v>
      </c>
      <c r="I22" s="114">
        <v>0</v>
      </c>
      <c r="J22" s="110">
        <v>0</v>
      </c>
    </row>
    <row r="23" spans="1:10" ht="23.1" customHeight="1" x14ac:dyDescent="0.25">
      <c r="A23" s="105" t="s">
        <v>464</v>
      </c>
      <c r="B23" s="105" t="s">
        <v>42</v>
      </c>
      <c r="C23" s="106" t="s">
        <v>70</v>
      </c>
      <c r="D23" s="107" t="s">
        <v>71</v>
      </c>
      <c r="E23" s="108" t="s">
        <v>30</v>
      </c>
      <c r="F23" s="108">
        <v>0</v>
      </c>
      <c r="G23" s="108">
        <v>0</v>
      </c>
      <c r="H23" s="109">
        <v>1661.643020110957</v>
      </c>
      <c r="I23" s="114">
        <v>0</v>
      </c>
      <c r="J23" s="110">
        <v>1</v>
      </c>
    </row>
    <row r="24" spans="1:10" ht="23.1" customHeight="1" x14ac:dyDescent="0.25">
      <c r="A24" s="105" t="s">
        <v>465</v>
      </c>
      <c r="B24" s="105" t="s">
        <v>42</v>
      </c>
      <c r="C24" s="106" t="s">
        <v>72</v>
      </c>
      <c r="D24" s="107" t="s">
        <v>73</v>
      </c>
      <c r="E24" s="108" t="s">
        <v>30</v>
      </c>
      <c r="F24" s="108">
        <v>0</v>
      </c>
      <c r="G24" s="108">
        <v>0</v>
      </c>
      <c r="H24" s="109">
        <v>2969.9682612088473</v>
      </c>
      <c r="I24" s="114">
        <v>0</v>
      </c>
      <c r="J24" s="110">
        <v>1</v>
      </c>
    </row>
    <row r="25" spans="1:10" ht="23.1" customHeight="1" x14ac:dyDescent="0.25">
      <c r="A25" s="105" t="s">
        <v>466</v>
      </c>
      <c r="B25" s="105" t="s">
        <v>42</v>
      </c>
      <c r="C25" s="106" t="s">
        <v>74</v>
      </c>
      <c r="D25" s="107" t="s">
        <v>75</v>
      </c>
      <c r="E25" s="108" t="s">
        <v>30</v>
      </c>
      <c r="F25" s="108">
        <v>372.8</v>
      </c>
      <c r="G25" s="108">
        <v>0</v>
      </c>
      <c r="H25" s="109">
        <v>9668.3136399635005</v>
      </c>
      <c r="I25" s="114">
        <v>0</v>
      </c>
      <c r="J25" s="110">
        <v>0</v>
      </c>
    </row>
    <row r="26" spans="1:10" ht="23.1" customHeight="1" x14ac:dyDescent="0.25">
      <c r="A26" s="105" t="s">
        <v>467</v>
      </c>
      <c r="B26" s="105" t="s">
        <v>42</v>
      </c>
      <c r="C26" s="106" t="s">
        <v>76</v>
      </c>
      <c r="D26" s="107" t="s">
        <v>77</v>
      </c>
      <c r="E26" s="108" t="s">
        <v>30</v>
      </c>
      <c r="F26" s="108">
        <v>0</v>
      </c>
      <c r="G26" s="108">
        <v>0</v>
      </c>
      <c r="H26" s="109">
        <v>1262.8486952843273</v>
      </c>
      <c r="I26" s="114">
        <v>0</v>
      </c>
      <c r="J26" s="110">
        <v>1</v>
      </c>
    </row>
    <row r="27" spans="1:10" ht="23.1" customHeight="1" x14ac:dyDescent="0.25">
      <c r="A27" s="105" t="s">
        <v>468</v>
      </c>
      <c r="B27" s="105" t="s">
        <v>78</v>
      </c>
      <c r="C27" s="106" t="s">
        <v>80</v>
      </c>
      <c r="D27" s="107" t="s">
        <v>81</v>
      </c>
      <c r="E27" s="108" t="s">
        <v>30</v>
      </c>
      <c r="F27" s="108">
        <v>1636.8000000000002</v>
      </c>
      <c r="G27" s="108">
        <v>0</v>
      </c>
      <c r="H27" s="109">
        <v>20.989174990875245</v>
      </c>
      <c r="I27" s="114">
        <v>0</v>
      </c>
      <c r="J27" s="110">
        <v>0</v>
      </c>
    </row>
    <row r="28" spans="1:10" ht="23.1" customHeight="1" x14ac:dyDescent="0.25">
      <c r="A28" s="105" t="s">
        <v>469</v>
      </c>
      <c r="B28" s="105" t="s">
        <v>78</v>
      </c>
      <c r="C28" s="106" t="s">
        <v>82</v>
      </c>
      <c r="D28" s="107" t="s">
        <v>83</v>
      </c>
      <c r="E28" s="108" t="s">
        <v>30</v>
      </c>
      <c r="F28" s="108">
        <v>0</v>
      </c>
      <c r="G28" s="108">
        <v>0</v>
      </c>
      <c r="H28" s="109">
        <v>0</v>
      </c>
      <c r="I28" s="114">
        <v>0</v>
      </c>
      <c r="J28" s="110">
        <v>0</v>
      </c>
    </row>
    <row r="29" spans="1:10" ht="23.1" customHeight="1" x14ac:dyDescent="0.25">
      <c r="A29" s="105" t="s">
        <v>470</v>
      </c>
      <c r="B29" s="105" t="s">
        <v>78</v>
      </c>
      <c r="C29" s="106" t="s">
        <v>84</v>
      </c>
      <c r="D29" s="107" t="s">
        <v>85</v>
      </c>
      <c r="E29" s="108" t="s">
        <v>30</v>
      </c>
      <c r="F29" s="108">
        <v>11916</v>
      </c>
      <c r="G29" s="108">
        <v>0</v>
      </c>
      <c r="H29" s="109">
        <v>40066.236140081761</v>
      </c>
      <c r="I29" s="114">
        <v>0</v>
      </c>
      <c r="J29" s="110">
        <v>0</v>
      </c>
    </row>
    <row r="30" spans="1:10" ht="23.1" customHeight="1" x14ac:dyDescent="0.25">
      <c r="A30" s="105" t="s">
        <v>471</v>
      </c>
      <c r="B30" s="105" t="s">
        <v>78</v>
      </c>
      <c r="C30" s="106" t="s">
        <v>86</v>
      </c>
      <c r="D30" s="107" t="s">
        <v>87</v>
      </c>
      <c r="E30" s="108" t="s">
        <v>30</v>
      </c>
      <c r="F30" s="108">
        <v>1317.6000000000001</v>
      </c>
      <c r="G30" s="108">
        <v>0</v>
      </c>
      <c r="H30" s="109">
        <v>566.70772475363162</v>
      </c>
      <c r="I30" s="114">
        <v>0</v>
      </c>
      <c r="J30" s="110">
        <v>0</v>
      </c>
    </row>
    <row r="31" spans="1:10" ht="23.1" customHeight="1" x14ac:dyDescent="0.25">
      <c r="A31" s="105" t="s">
        <v>472</v>
      </c>
      <c r="B31" s="105" t="s">
        <v>78</v>
      </c>
      <c r="C31" s="106" t="s">
        <v>88</v>
      </c>
      <c r="D31" s="107" t="s">
        <v>89</v>
      </c>
      <c r="E31" s="108" t="s">
        <v>30</v>
      </c>
      <c r="F31" s="108">
        <v>80</v>
      </c>
      <c r="G31" s="108">
        <v>0</v>
      </c>
      <c r="H31" s="109">
        <v>0</v>
      </c>
      <c r="I31" s="114">
        <v>0</v>
      </c>
      <c r="J31" s="110">
        <v>0</v>
      </c>
    </row>
    <row r="32" spans="1:10" ht="23.1" customHeight="1" x14ac:dyDescent="0.25">
      <c r="A32" s="105" t="s">
        <v>473</v>
      </c>
      <c r="B32" s="105" t="s">
        <v>78</v>
      </c>
      <c r="C32" s="106" t="s">
        <v>90</v>
      </c>
      <c r="D32" s="107" t="s">
        <v>91</v>
      </c>
      <c r="E32" s="108" t="s">
        <v>30</v>
      </c>
      <c r="F32" s="108">
        <v>61.6</v>
      </c>
      <c r="G32" s="108">
        <v>0</v>
      </c>
      <c r="H32" s="109">
        <v>31956.018923607564</v>
      </c>
      <c r="I32" s="114">
        <v>0</v>
      </c>
      <c r="J32" s="110">
        <v>0</v>
      </c>
    </row>
    <row r="33" spans="1:10" ht="23.1" customHeight="1" x14ac:dyDescent="0.25">
      <c r="A33" s="105" t="s">
        <v>474</v>
      </c>
      <c r="B33" s="105" t="s">
        <v>78</v>
      </c>
      <c r="C33" s="106" t="s">
        <v>92</v>
      </c>
      <c r="D33" s="107" t="s">
        <v>93</v>
      </c>
      <c r="E33" s="108" t="s">
        <v>30</v>
      </c>
      <c r="F33" s="108">
        <v>0</v>
      </c>
      <c r="G33" s="108">
        <v>0</v>
      </c>
      <c r="H33" s="109">
        <v>0</v>
      </c>
      <c r="I33" s="114">
        <v>0</v>
      </c>
      <c r="J33" s="110">
        <v>0</v>
      </c>
    </row>
    <row r="34" spans="1:10" ht="23.1" customHeight="1" x14ac:dyDescent="0.25">
      <c r="A34" s="105" t="s">
        <v>475</v>
      </c>
      <c r="B34" s="105" t="s">
        <v>78</v>
      </c>
      <c r="C34" s="106" t="s">
        <v>94</v>
      </c>
      <c r="D34" s="107" t="s">
        <v>95</v>
      </c>
      <c r="E34" s="108" t="s">
        <v>30</v>
      </c>
      <c r="F34" s="108">
        <v>0</v>
      </c>
      <c r="G34" s="108">
        <v>0</v>
      </c>
      <c r="H34" s="109">
        <v>3314.8903702255639</v>
      </c>
      <c r="I34" s="114">
        <v>0</v>
      </c>
      <c r="J34" s="110">
        <v>0</v>
      </c>
    </row>
    <row r="35" spans="1:10" ht="23.1" customHeight="1" x14ac:dyDescent="0.25">
      <c r="A35" s="105" t="s">
        <v>476</v>
      </c>
      <c r="B35" s="105" t="s">
        <v>78</v>
      </c>
      <c r="C35" s="106" t="s">
        <v>96</v>
      </c>
      <c r="D35" s="107" t="s">
        <v>97</v>
      </c>
      <c r="E35" s="108" t="s">
        <v>30</v>
      </c>
      <c r="F35" s="108">
        <v>0</v>
      </c>
      <c r="G35" s="108">
        <v>0</v>
      </c>
      <c r="H35" s="109">
        <v>3215.5416086020878</v>
      </c>
      <c r="I35" s="114">
        <v>0</v>
      </c>
      <c r="J35" s="110">
        <v>0</v>
      </c>
    </row>
    <row r="36" spans="1:10" ht="23.1" customHeight="1" x14ac:dyDescent="0.25">
      <c r="A36" s="105" t="s">
        <v>477</v>
      </c>
      <c r="B36" s="105" t="s">
        <v>78</v>
      </c>
      <c r="C36" s="106" t="s">
        <v>98</v>
      </c>
      <c r="D36" s="107" t="s">
        <v>99</v>
      </c>
      <c r="E36" s="108" t="s">
        <v>30</v>
      </c>
      <c r="F36" s="108">
        <v>506.40000000000003</v>
      </c>
      <c r="G36" s="108">
        <v>0</v>
      </c>
      <c r="H36" s="109">
        <v>62485.473587001972</v>
      </c>
      <c r="I36" s="114">
        <v>0</v>
      </c>
      <c r="J36" s="110">
        <v>0</v>
      </c>
    </row>
    <row r="37" spans="1:10" ht="23.1" customHeight="1" x14ac:dyDescent="0.25">
      <c r="A37" s="105" t="s">
        <v>478</v>
      </c>
      <c r="B37" s="105" t="s">
        <v>78</v>
      </c>
      <c r="C37" s="106" t="s">
        <v>100</v>
      </c>
      <c r="D37" s="107" t="s">
        <v>101</v>
      </c>
      <c r="E37" s="108" t="s">
        <v>30</v>
      </c>
      <c r="F37" s="108">
        <v>0</v>
      </c>
      <c r="G37" s="108">
        <v>0</v>
      </c>
      <c r="H37" s="109">
        <v>3927.0746407927586</v>
      </c>
      <c r="I37" s="114">
        <v>0</v>
      </c>
      <c r="J37" s="110">
        <v>0</v>
      </c>
    </row>
    <row r="38" spans="1:10" ht="23.1" customHeight="1" x14ac:dyDescent="0.25">
      <c r="A38" s="105" t="s">
        <v>479</v>
      </c>
      <c r="B38" s="105" t="s">
        <v>78</v>
      </c>
      <c r="C38" s="106" t="s">
        <v>102</v>
      </c>
      <c r="D38" s="107" t="s">
        <v>103</v>
      </c>
      <c r="E38" s="108" t="s">
        <v>30</v>
      </c>
      <c r="F38" s="108">
        <v>0</v>
      </c>
      <c r="G38" s="108">
        <v>0</v>
      </c>
      <c r="H38" s="109">
        <v>0</v>
      </c>
      <c r="I38" s="114">
        <v>0</v>
      </c>
      <c r="J38" s="110">
        <v>0</v>
      </c>
    </row>
    <row r="39" spans="1:10" ht="23.1" customHeight="1" x14ac:dyDescent="0.25">
      <c r="A39" s="105" t="s">
        <v>480</v>
      </c>
      <c r="B39" s="105" t="s">
        <v>78</v>
      </c>
      <c r="C39" s="106" t="s">
        <v>104</v>
      </c>
      <c r="D39" s="107" t="s">
        <v>105</v>
      </c>
      <c r="E39" s="108" t="s">
        <v>30</v>
      </c>
      <c r="F39" s="108">
        <v>0</v>
      </c>
      <c r="G39" s="108">
        <v>0</v>
      </c>
      <c r="H39" s="109">
        <v>552.01530226001898</v>
      </c>
      <c r="I39" s="114">
        <v>0</v>
      </c>
      <c r="J39" s="110">
        <v>0</v>
      </c>
    </row>
    <row r="40" spans="1:10" ht="23.1" customHeight="1" x14ac:dyDescent="0.25">
      <c r="A40" s="105" t="s">
        <v>481</v>
      </c>
      <c r="B40" s="105" t="s">
        <v>78</v>
      </c>
      <c r="C40" s="106" t="s">
        <v>106</v>
      </c>
      <c r="D40" s="107" t="s">
        <v>107</v>
      </c>
      <c r="E40" s="108" t="s">
        <v>30</v>
      </c>
      <c r="F40" s="108">
        <v>0</v>
      </c>
      <c r="G40" s="108">
        <v>0</v>
      </c>
      <c r="H40" s="109">
        <v>0</v>
      </c>
      <c r="I40" s="114">
        <v>0</v>
      </c>
      <c r="J40" s="110">
        <v>0</v>
      </c>
    </row>
    <row r="41" spans="1:10" ht="23.1" customHeight="1" x14ac:dyDescent="0.25">
      <c r="A41" s="105" t="s">
        <v>482</v>
      </c>
      <c r="B41" s="105" t="s">
        <v>78</v>
      </c>
      <c r="C41" s="106" t="s">
        <v>108</v>
      </c>
      <c r="D41" s="107" t="s">
        <v>109</v>
      </c>
      <c r="E41" s="108" t="s">
        <v>30</v>
      </c>
      <c r="F41" s="108">
        <v>0</v>
      </c>
      <c r="G41" s="108">
        <v>0</v>
      </c>
      <c r="H41" s="109">
        <v>3498.1958318125412</v>
      </c>
      <c r="I41" s="114">
        <v>0</v>
      </c>
      <c r="J41" s="110">
        <v>0</v>
      </c>
    </row>
    <row r="42" spans="1:10" ht="23.1" customHeight="1" x14ac:dyDescent="0.25">
      <c r="A42" s="105" t="s">
        <v>483</v>
      </c>
      <c r="B42" s="105" t="s">
        <v>78</v>
      </c>
      <c r="C42" s="106" t="s">
        <v>110</v>
      </c>
      <c r="D42" s="107" t="s">
        <v>111</v>
      </c>
      <c r="E42" s="108" t="s">
        <v>30</v>
      </c>
      <c r="F42" s="108">
        <v>3000</v>
      </c>
      <c r="G42" s="108">
        <v>0</v>
      </c>
      <c r="H42" s="109">
        <v>5947.6325532476822</v>
      </c>
      <c r="I42" s="114">
        <v>0</v>
      </c>
      <c r="J42" s="110">
        <v>0</v>
      </c>
    </row>
    <row r="43" spans="1:10" ht="23.1" customHeight="1" x14ac:dyDescent="0.25">
      <c r="A43" s="105" t="s">
        <v>484</v>
      </c>
      <c r="B43" s="105" t="s">
        <v>78</v>
      </c>
      <c r="C43" s="106" t="s">
        <v>112</v>
      </c>
      <c r="D43" s="107" t="s">
        <v>113</v>
      </c>
      <c r="E43" s="108" t="s">
        <v>30</v>
      </c>
      <c r="F43" s="108">
        <v>843.2</v>
      </c>
      <c r="G43" s="108">
        <v>1900</v>
      </c>
      <c r="H43" s="109">
        <v>87990.819396747203</v>
      </c>
      <c r="I43" s="114">
        <v>2535</v>
      </c>
      <c r="J43" s="110">
        <v>1</v>
      </c>
    </row>
    <row r="44" spans="1:10" ht="23.1" customHeight="1" x14ac:dyDescent="0.25">
      <c r="A44" s="105" t="s">
        <v>485</v>
      </c>
      <c r="B44" s="105" t="s">
        <v>78</v>
      </c>
      <c r="C44" s="106" t="s">
        <v>114</v>
      </c>
      <c r="D44" s="107" t="s">
        <v>115</v>
      </c>
      <c r="E44" s="108" t="s">
        <v>30</v>
      </c>
      <c r="F44" s="108">
        <v>7252</v>
      </c>
      <c r="G44" s="108">
        <v>0</v>
      </c>
      <c r="H44" s="109">
        <v>16573.752211961459</v>
      </c>
      <c r="I44" s="114">
        <v>0</v>
      </c>
      <c r="J44" s="110">
        <v>1</v>
      </c>
    </row>
    <row r="45" spans="1:10" ht="23.1" customHeight="1" x14ac:dyDescent="0.25">
      <c r="A45" s="105" t="s">
        <v>486</v>
      </c>
      <c r="B45" s="105" t="s">
        <v>78</v>
      </c>
      <c r="C45" s="106" t="s">
        <v>116</v>
      </c>
      <c r="D45" s="107" t="s">
        <v>117</v>
      </c>
      <c r="E45" s="108" t="s">
        <v>30</v>
      </c>
      <c r="F45" s="108">
        <v>0</v>
      </c>
      <c r="G45" s="108">
        <v>0</v>
      </c>
      <c r="H45" s="109">
        <v>23835.307119637931</v>
      </c>
      <c r="I45" s="114">
        <v>0</v>
      </c>
      <c r="J45" s="110">
        <v>0</v>
      </c>
    </row>
    <row r="46" spans="1:10" ht="23.1" customHeight="1" x14ac:dyDescent="0.25">
      <c r="A46" s="105" t="s">
        <v>487</v>
      </c>
      <c r="B46" s="105" t="s">
        <v>78</v>
      </c>
      <c r="C46" s="106" t="s">
        <v>118</v>
      </c>
      <c r="D46" s="107" t="s">
        <v>119</v>
      </c>
      <c r="E46" s="108" t="s">
        <v>30</v>
      </c>
      <c r="F46" s="108">
        <v>8280.8000000000011</v>
      </c>
      <c r="G46" s="108">
        <v>0</v>
      </c>
      <c r="H46" s="109">
        <v>10379.14703298781</v>
      </c>
      <c r="I46" s="114">
        <v>0</v>
      </c>
      <c r="J46" s="110">
        <v>2</v>
      </c>
    </row>
    <row r="47" spans="1:10" ht="23.1" customHeight="1" x14ac:dyDescent="0.25">
      <c r="A47" s="105" t="s">
        <v>488</v>
      </c>
      <c r="B47" s="105" t="s">
        <v>78</v>
      </c>
      <c r="C47" s="106" t="s">
        <v>120</v>
      </c>
      <c r="D47" s="107" t="s">
        <v>121</v>
      </c>
      <c r="E47" s="108" t="s">
        <v>30</v>
      </c>
      <c r="F47" s="108">
        <v>0</v>
      </c>
      <c r="G47" s="108">
        <v>0</v>
      </c>
      <c r="H47" s="109">
        <v>483.4506639564932</v>
      </c>
      <c r="I47" s="114">
        <v>0</v>
      </c>
      <c r="J47" s="110">
        <v>0</v>
      </c>
    </row>
    <row r="48" spans="1:10" ht="23.1" customHeight="1" x14ac:dyDescent="0.25">
      <c r="A48" s="105" t="s">
        <v>489</v>
      </c>
      <c r="B48" s="105" t="s">
        <v>122</v>
      </c>
      <c r="C48" s="106" t="s">
        <v>124</v>
      </c>
      <c r="D48" s="107" t="s">
        <v>125</v>
      </c>
      <c r="E48" s="108" t="s">
        <v>30</v>
      </c>
      <c r="F48" s="108">
        <v>1641.6000000000001</v>
      </c>
      <c r="G48" s="108">
        <v>0</v>
      </c>
      <c r="H48" s="109">
        <v>1704.32100925907</v>
      </c>
      <c r="I48" s="114">
        <v>0</v>
      </c>
      <c r="J48" s="110">
        <v>0</v>
      </c>
    </row>
    <row r="49" spans="1:10" ht="23.1" customHeight="1" x14ac:dyDescent="0.25">
      <c r="A49" s="105" t="s">
        <v>490</v>
      </c>
      <c r="B49" s="105" t="s">
        <v>122</v>
      </c>
      <c r="C49" s="106" t="s">
        <v>126</v>
      </c>
      <c r="D49" s="107" t="s">
        <v>127</v>
      </c>
      <c r="E49" s="108" t="s">
        <v>30</v>
      </c>
      <c r="F49" s="108">
        <v>1053.6000000000001</v>
      </c>
      <c r="G49" s="108">
        <v>0</v>
      </c>
      <c r="H49" s="109">
        <v>180128.40013252501</v>
      </c>
      <c r="I49" s="114">
        <v>6385</v>
      </c>
      <c r="J49" s="110">
        <v>1</v>
      </c>
    </row>
    <row r="50" spans="1:10" ht="23.1" customHeight="1" x14ac:dyDescent="0.25">
      <c r="A50" s="105" t="s">
        <v>491</v>
      </c>
      <c r="B50" s="105" t="s">
        <v>122</v>
      </c>
      <c r="C50" s="106" t="s">
        <v>128</v>
      </c>
      <c r="D50" s="107" t="s">
        <v>129</v>
      </c>
      <c r="E50" s="108" t="s">
        <v>30</v>
      </c>
      <c r="F50" s="108">
        <v>0</v>
      </c>
      <c r="G50" s="108">
        <v>0</v>
      </c>
      <c r="H50" s="109">
        <v>39125.221461324189</v>
      </c>
      <c r="I50" s="114">
        <v>0</v>
      </c>
      <c r="J50" s="110">
        <v>1</v>
      </c>
    </row>
    <row r="51" spans="1:10" ht="23.1" customHeight="1" x14ac:dyDescent="0.25">
      <c r="A51" s="105" t="s">
        <v>492</v>
      </c>
      <c r="B51" s="105" t="s">
        <v>122</v>
      </c>
      <c r="C51" s="106" t="s">
        <v>130</v>
      </c>
      <c r="D51" s="107" t="s">
        <v>131</v>
      </c>
      <c r="E51" s="108" t="s">
        <v>30</v>
      </c>
      <c r="F51" s="108">
        <v>0</v>
      </c>
      <c r="G51" s="108">
        <v>0</v>
      </c>
      <c r="H51" s="109">
        <v>20422.467266121614</v>
      </c>
      <c r="I51" s="114">
        <v>0</v>
      </c>
      <c r="J51" s="110">
        <v>1</v>
      </c>
    </row>
    <row r="52" spans="1:10" ht="23.1" customHeight="1" x14ac:dyDescent="0.25">
      <c r="A52" s="105" t="s">
        <v>493</v>
      </c>
      <c r="B52" s="105" t="s">
        <v>122</v>
      </c>
      <c r="C52" s="106" t="s">
        <v>132</v>
      </c>
      <c r="D52" s="107" t="s">
        <v>133</v>
      </c>
      <c r="E52" s="108" t="s">
        <v>30</v>
      </c>
      <c r="F52" s="108">
        <v>689.6</v>
      </c>
      <c r="G52" s="108">
        <v>0</v>
      </c>
      <c r="H52" s="109">
        <v>47047.935381213225</v>
      </c>
      <c r="I52" s="114">
        <v>0</v>
      </c>
      <c r="J52" s="110">
        <v>0</v>
      </c>
    </row>
    <row r="53" spans="1:10" ht="23.1" customHeight="1" x14ac:dyDescent="0.25">
      <c r="A53" s="105" t="s">
        <v>494</v>
      </c>
      <c r="B53" s="105" t="s">
        <v>122</v>
      </c>
      <c r="C53" s="106" t="s">
        <v>134</v>
      </c>
      <c r="D53" s="107" t="s">
        <v>135</v>
      </c>
      <c r="E53" s="108" t="s">
        <v>30</v>
      </c>
      <c r="F53" s="108">
        <v>3687.2000000000003</v>
      </c>
      <c r="G53" s="108">
        <v>0</v>
      </c>
      <c r="H53" s="109">
        <v>63282.362597488871</v>
      </c>
      <c r="I53" s="114">
        <v>10200</v>
      </c>
      <c r="J53" s="110">
        <v>1</v>
      </c>
    </row>
    <row r="54" spans="1:10" ht="23.1" customHeight="1" x14ac:dyDescent="0.25">
      <c r="A54" s="105" t="s">
        <v>495</v>
      </c>
      <c r="B54" s="105" t="s">
        <v>122</v>
      </c>
      <c r="C54" s="106" t="s">
        <v>136</v>
      </c>
      <c r="D54" s="107" t="s">
        <v>137</v>
      </c>
      <c r="E54" s="108" t="s">
        <v>30</v>
      </c>
      <c r="F54" s="108">
        <v>1103.2</v>
      </c>
      <c r="G54" s="108">
        <v>0</v>
      </c>
      <c r="H54" s="109">
        <v>173457.3406812585</v>
      </c>
      <c r="I54" s="114">
        <v>0</v>
      </c>
      <c r="J54" s="110">
        <v>0</v>
      </c>
    </row>
    <row r="55" spans="1:10" ht="23.1" customHeight="1" x14ac:dyDescent="0.25">
      <c r="A55" s="105" t="s">
        <v>496</v>
      </c>
      <c r="B55" s="105" t="s">
        <v>122</v>
      </c>
      <c r="C55" s="106" t="s">
        <v>138</v>
      </c>
      <c r="D55" s="107" t="s">
        <v>139</v>
      </c>
      <c r="E55" s="108" t="s">
        <v>30</v>
      </c>
      <c r="F55" s="108">
        <v>342.40000000000003</v>
      </c>
      <c r="G55" s="108">
        <v>20870</v>
      </c>
      <c r="H55" s="109">
        <v>22311.493015300388</v>
      </c>
      <c r="I55" s="114">
        <v>30895</v>
      </c>
      <c r="J55" s="110">
        <v>2</v>
      </c>
    </row>
    <row r="56" spans="1:10" ht="23.1" customHeight="1" x14ac:dyDescent="0.25">
      <c r="A56" s="105" t="s">
        <v>497</v>
      </c>
      <c r="B56" s="105" t="s">
        <v>140</v>
      </c>
      <c r="C56" s="106" t="s">
        <v>142</v>
      </c>
      <c r="D56" s="107" t="s">
        <v>143</v>
      </c>
      <c r="E56" s="108" t="s">
        <v>30</v>
      </c>
      <c r="F56" s="108">
        <v>2587.2000000000003</v>
      </c>
      <c r="G56" s="108">
        <v>500</v>
      </c>
      <c r="H56" s="109">
        <v>19428.979649886853</v>
      </c>
      <c r="I56" s="114">
        <v>665</v>
      </c>
      <c r="J56" s="110">
        <v>1</v>
      </c>
    </row>
    <row r="57" spans="1:10" ht="23.1" customHeight="1" x14ac:dyDescent="0.25">
      <c r="A57" s="105" t="s">
        <v>498</v>
      </c>
      <c r="B57" s="105" t="s">
        <v>140</v>
      </c>
      <c r="C57" s="106" t="s">
        <v>144</v>
      </c>
      <c r="D57" s="107" t="s">
        <v>145</v>
      </c>
      <c r="E57" s="108" t="s">
        <v>30</v>
      </c>
      <c r="F57" s="108">
        <v>3183.2000000000003</v>
      </c>
      <c r="G57" s="108">
        <v>0</v>
      </c>
      <c r="H57" s="109">
        <v>3773.8536633593694</v>
      </c>
      <c r="I57" s="114">
        <v>0</v>
      </c>
      <c r="J57" s="110">
        <v>0</v>
      </c>
    </row>
    <row r="58" spans="1:10" ht="23.1" customHeight="1" x14ac:dyDescent="0.25">
      <c r="A58" s="105" t="s">
        <v>499</v>
      </c>
      <c r="B58" s="105" t="s">
        <v>140</v>
      </c>
      <c r="C58" s="106" t="s">
        <v>146</v>
      </c>
      <c r="D58" s="107" t="s">
        <v>147</v>
      </c>
      <c r="E58" s="108" t="s">
        <v>30</v>
      </c>
      <c r="F58" s="108">
        <v>8516</v>
      </c>
      <c r="G58" s="108">
        <v>4915</v>
      </c>
      <c r="H58" s="109">
        <v>74040.014419478801</v>
      </c>
      <c r="I58" s="114">
        <v>6555</v>
      </c>
      <c r="J58" s="110">
        <v>3</v>
      </c>
    </row>
    <row r="59" spans="1:10" ht="23.1" customHeight="1" x14ac:dyDescent="0.25">
      <c r="A59" s="105" t="s">
        <v>500</v>
      </c>
      <c r="B59" s="105" t="s">
        <v>140</v>
      </c>
      <c r="C59" s="106" t="s">
        <v>148</v>
      </c>
      <c r="D59" s="107" t="s">
        <v>149</v>
      </c>
      <c r="E59" s="108" t="s">
        <v>30</v>
      </c>
      <c r="F59" s="108">
        <v>128.80000000000001</v>
      </c>
      <c r="G59" s="108">
        <v>0</v>
      </c>
      <c r="H59" s="109">
        <v>20360.899019481716</v>
      </c>
      <c r="I59" s="114">
        <v>0</v>
      </c>
      <c r="J59" s="110">
        <v>0</v>
      </c>
    </row>
    <row r="60" spans="1:10" ht="23.1" customHeight="1" x14ac:dyDescent="0.25">
      <c r="A60" s="105" t="s">
        <v>501</v>
      </c>
      <c r="B60" s="105" t="s">
        <v>140</v>
      </c>
      <c r="C60" s="106" t="s">
        <v>150</v>
      </c>
      <c r="D60" s="107" t="s">
        <v>151</v>
      </c>
      <c r="E60" s="108" t="s">
        <v>30</v>
      </c>
      <c r="F60" s="108">
        <v>1143.2</v>
      </c>
      <c r="G60" s="108">
        <v>0</v>
      </c>
      <c r="H60" s="109">
        <v>10137.771520592743</v>
      </c>
      <c r="I60" s="114">
        <v>0</v>
      </c>
      <c r="J60" s="110">
        <v>0</v>
      </c>
    </row>
    <row r="61" spans="1:10" ht="23.1" customHeight="1" x14ac:dyDescent="0.25">
      <c r="A61" s="105" t="s">
        <v>502</v>
      </c>
      <c r="B61" s="105" t="s">
        <v>140</v>
      </c>
      <c r="C61" s="106" t="s">
        <v>152</v>
      </c>
      <c r="D61" s="107" t="s">
        <v>153</v>
      </c>
      <c r="E61" s="108" t="s">
        <v>30</v>
      </c>
      <c r="F61" s="108">
        <v>2345.6</v>
      </c>
      <c r="G61" s="108">
        <v>0</v>
      </c>
      <c r="H61" s="109">
        <v>16212.738402118403</v>
      </c>
      <c r="I61" s="114">
        <v>0</v>
      </c>
      <c r="J61" s="110">
        <v>0</v>
      </c>
    </row>
    <row r="62" spans="1:10" ht="23.1" customHeight="1" x14ac:dyDescent="0.25">
      <c r="A62" s="105" t="s">
        <v>503</v>
      </c>
      <c r="B62" s="105" t="s">
        <v>140</v>
      </c>
      <c r="C62" s="106" t="s">
        <v>154</v>
      </c>
      <c r="D62" s="107" t="s">
        <v>155</v>
      </c>
      <c r="E62" s="108" t="s">
        <v>30</v>
      </c>
      <c r="F62" s="108">
        <v>4068.8</v>
      </c>
      <c r="G62" s="108">
        <v>0</v>
      </c>
      <c r="H62" s="109">
        <v>1973.6820883086357</v>
      </c>
      <c r="I62" s="114">
        <v>0</v>
      </c>
      <c r="J62" s="110">
        <v>0</v>
      </c>
    </row>
    <row r="63" spans="1:10" ht="23.1" customHeight="1" x14ac:dyDescent="0.25">
      <c r="A63" s="105" t="s">
        <v>504</v>
      </c>
      <c r="B63" s="105" t="s">
        <v>140</v>
      </c>
      <c r="C63" s="106" t="s">
        <v>156</v>
      </c>
      <c r="D63" s="107" t="s">
        <v>157</v>
      </c>
      <c r="E63" s="108" t="s">
        <v>30</v>
      </c>
      <c r="F63" s="108">
        <v>262.40000000000003</v>
      </c>
      <c r="G63" s="108">
        <v>0</v>
      </c>
      <c r="H63" s="109">
        <v>4615.5195804934665</v>
      </c>
      <c r="I63" s="114">
        <v>0</v>
      </c>
      <c r="J63" s="110">
        <v>0</v>
      </c>
    </row>
    <row r="64" spans="1:10" ht="23.1" customHeight="1" x14ac:dyDescent="0.25">
      <c r="A64" s="105" t="s">
        <v>505</v>
      </c>
      <c r="B64" s="105" t="s">
        <v>140</v>
      </c>
      <c r="C64" s="106" t="s">
        <v>158</v>
      </c>
      <c r="D64" s="107" t="s">
        <v>159</v>
      </c>
      <c r="E64" s="108" t="s">
        <v>30</v>
      </c>
      <c r="F64" s="108">
        <v>419.20000000000005</v>
      </c>
      <c r="G64" s="108">
        <v>0</v>
      </c>
      <c r="H64" s="109">
        <v>32871.146953209725</v>
      </c>
      <c r="I64" s="114">
        <v>0</v>
      </c>
      <c r="J64" s="110">
        <v>0</v>
      </c>
    </row>
    <row r="65" spans="1:10" ht="23.1" customHeight="1" x14ac:dyDescent="0.25">
      <c r="A65" s="105" t="s">
        <v>506</v>
      </c>
      <c r="B65" s="105" t="s">
        <v>160</v>
      </c>
      <c r="C65" s="106" t="s">
        <v>162</v>
      </c>
      <c r="D65" s="107" t="s">
        <v>163</v>
      </c>
      <c r="E65" s="108" t="s">
        <v>30</v>
      </c>
      <c r="F65" s="108">
        <v>6696.8</v>
      </c>
      <c r="G65" s="108">
        <v>0</v>
      </c>
      <c r="H65" s="109">
        <v>45014.783963763781</v>
      </c>
      <c r="I65" s="114">
        <v>0</v>
      </c>
      <c r="J65" s="110">
        <v>0</v>
      </c>
    </row>
    <row r="66" spans="1:10" ht="23.1" customHeight="1" x14ac:dyDescent="0.25">
      <c r="A66" s="105" t="s">
        <v>507</v>
      </c>
      <c r="B66" s="105" t="s">
        <v>160</v>
      </c>
      <c r="C66" s="106" t="s">
        <v>164</v>
      </c>
      <c r="D66" s="107" t="s">
        <v>165</v>
      </c>
      <c r="E66" s="108" t="s">
        <v>30</v>
      </c>
      <c r="F66" s="108">
        <v>1884</v>
      </c>
      <c r="G66" s="108">
        <v>0</v>
      </c>
      <c r="H66" s="109">
        <v>30559.539147547996</v>
      </c>
      <c r="I66" s="114">
        <v>0</v>
      </c>
      <c r="J66" s="110">
        <v>1</v>
      </c>
    </row>
    <row r="67" spans="1:10" ht="23.1" customHeight="1" x14ac:dyDescent="0.25">
      <c r="A67" s="105" t="s">
        <v>508</v>
      </c>
      <c r="B67" s="105" t="s">
        <v>160</v>
      </c>
      <c r="C67" s="106" t="s">
        <v>166</v>
      </c>
      <c r="D67" s="107" t="s">
        <v>167</v>
      </c>
      <c r="E67" s="108" t="s">
        <v>30</v>
      </c>
      <c r="F67" s="108">
        <v>0</v>
      </c>
      <c r="G67" s="108">
        <v>0</v>
      </c>
      <c r="H67" s="109">
        <v>8395.6699963500978</v>
      </c>
      <c r="I67" s="114">
        <v>0</v>
      </c>
      <c r="J67" s="110">
        <v>0</v>
      </c>
    </row>
    <row r="68" spans="1:10" ht="23.1" customHeight="1" x14ac:dyDescent="0.25">
      <c r="A68" s="105" t="s">
        <v>509</v>
      </c>
      <c r="B68" s="105" t="s">
        <v>160</v>
      </c>
      <c r="C68" s="106" t="s">
        <v>168</v>
      </c>
      <c r="D68" s="107" t="s">
        <v>169</v>
      </c>
      <c r="E68" s="108" t="s">
        <v>30</v>
      </c>
      <c r="F68" s="108">
        <v>0</v>
      </c>
      <c r="G68" s="108">
        <v>0</v>
      </c>
      <c r="H68" s="109">
        <v>26517.723683471788</v>
      </c>
      <c r="I68" s="114">
        <v>0</v>
      </c>
      <c r="J68" s="110">
        <v>1</v>
      </c>
    </row>
    <row r="69" spans="1:10" ht="23.1" customHeight="1" x14ac:dyDescent="0.25">
      <c r="A69" s="105" t="s">
        <v>510</v>
      </c>
      <c r="B69" s="105" t="s">
        <v>160</v>
      </c>
      <c r="C69" s="106" t="s">
        <v>170</v>
      </c>
      <c r="D69" s="107" t="s">
        <v>171</v>
      </c>
      <c r="E69" s="108" t="s">
        <v>30</v>
      </c>
      <c r="F69" s="108">
        <v>3578.4</v>
      </c>
      <c r="G69" s="108">
        <v>0</v>
      </c>
      <c r="H69" s="109">
        <v>22037.234462086282</v>
      </c>
      <c r="I69" s="114">
        <v>0</v>
      </c>
      <c r="J69" s="110">
        <v>1</v>
      </c>
    </row>
    <row r="70" spans="1:10" ht="23.1" customHeight="1" x14ac:dyDescent="0.25">
      <c r="A70" s="105" t="s">
        <v>511</v>
      </c>
      <c r="B70" s="105" t="s">
        <v>160</v>
      </c>
      <c r="C70" s="106" t="s">
        <v>172</v>
      </c>
      <c r="D70" s="107" t="s">
        <v>173</v>
      </c>
      <c r="E70" s="108" t="s">
        <v>30</v>
      </c>
      <c r="F70" s="108">
        <v>2416</v>
      </c>
      <c r="G70" s="108">
        <v>0</v>
      </c>
      <c r="H70" s="109">
        <v>122506.81803007518</v>
      </c>
      <c r="I70" s="114">
        <v>0</v>
      </c>
      <c r="J70" s="110">
        <v>2</v>
      </c>
    </row>
    <row r="71" spans="1:10" ht="23.1" customHeight="1" x14ac:dyDescent="0.25">
      <c r="A71" s="105" t="s">
        <v>512</v>
      </c>
      <c r="B71" s="105" t="s">
        <v>160</v>
      </c>
      <c r="C71" s="106" t="s">
        <v>174</v>
      </c>
      <c r="D71" s="107" t="s">
        <v>175</v>
      </c>
      <c r="E71" s="108" t="s">
        <v>30</v>
      </c>
      <c r="F71" s="108">
        <v>868.80000000000007</v>
      </c>
      <c r="G71" s="108">
        <v>0</v>
      </c>
      <c r="H71" s="109">
        <v>39295.233778750277</v>
      </c>
      <c r="I71" s="114">
        <v>0</v>
      </c>
      <c r="J71" s="110">
        <v>0</v>
      </c>
    </row>
    <row r="72" spans="1:10" ht="23.1" customHeight="1" x14ac:dyDescent="0.25">
      <c r="A72" s="105" t="s">
        <v>513</v>
      </c>
      <c r="B72" s="105" t="s">
        <v>160</v>
      </c>
      <c r="C72" s="106" t="s">
        <v>176</v>
      </c>
      <c r="D72" s="107" t="s">
        <v>177</v>
      </c>
      <c r="E72" s="108" t="s">
        <v>30</v>
      </c>
      <c r="F72" s="108">
        <v>8816.8000000000011</v>
      </c>
      <c r="G72" s="108">
        <v>0</v>
      </c>
      <c r="H72" s="109">
        <v>82715.540082373904</v>
      </c>
      <c r="I72" s="114">
        <v>0</v>
      </c>
      <c r="J72" s="110">
        <v>0</v>
      </c>
    </row>
    <row r="73" spans="1:10" ht="23.1" customHeight="1" x14ac:dyDescent="0.25">
      <c r="A73" s="105" t="s">
        <v>514</v>
      </c>
      <c r="B73" s="105" t="s">
        <v>160</v>
      </c>
      <c r="C73" s="106" t="s">
        <v>178</v>
      </c>
      <c r="D73" s="107" t="s">
        <v>179</v>
      </c>
      <c r="E73" s="108" t="s">
        <v>30</v>
      </c>
      <c r="F73" s="108">
        <v>3560.8</v>
      </c>
      <c r="G73" s="108">
        <v>0</v>
      </c>
      <c r="H73" s="109">
        <v>86660.805341492087</v>
      </c>
      <c r="I73" s="114">
        <v>0</v>
      </c>
      <c r="J73" s="110">
        <v>1</v>
      </c>
    </row>
    <row r="74" spans="1:10" ht="23.1" customHeight="1" x14ac:dyDescent="0.25">
      <c r="A74" s="105" t="s">
        <v>515</v>
      </c>
      <c r="B74" s="105" t="s">
        <v>180</v>
      </c>
      <c r="C74" s="106" t="s">
        <v>182</v>
      </c>
      <c r="D74" s="107" t="s">
        <v>183</v>
      </c>
      <c r="E74" s="108" t="s">
        <v>30</v>
      </c>
      <c r="F74" s="108">
        <v>12008</v>
      </c>
      <c r="G74" s="108">
        <v>0</v>
      </c>
      <c r="H74" s="109">
        <v>165218.38985817358</v>
      </c>
      <c r="I74" s="114">
        <v>0</v>
      </c>
      <c r="J74" s="110">
        <v>0</v>
      </c>
    </row>
    <row r="75" spans="1:10" ht="23.1" customHeight="1" x14ac:dyDescent="0.25">
      <c r="A75" s="105" t="s">
        <v>516</v>
      </c>
      <c r="B75" s="105" t="s">
        <v>180</v>
      </c>
      <c r="C75" s="106" t="s">
        <v>184</v>
      </c>
      <c r="D75" s="107" t="s">
        <v>185</v>
      </c>
      <c r="E75" s="108" t="s">
        <v>30</v>
      </c>
      <c r="F75" s="108">
        <v>0</v>
      </c>
      <c r="G75" s="108">
        <v>0</v>
      </c>
      <c r="H75" s="109">
        <v>40264.234024162346</v>
      </c>
      <c r="I75" s="114">
        <v>0</v>
      </c>
      <c r="J75" s="110">
        <v>0</v>
      </c>
    </row>
    <row r="76" spans="1:10" ht="23.1" customHeight="1" x14ac:dyDescent="0.25">
      <c r="A76" s="105" t="s">
        <v>517</v>
      </c>
      <c r="B76" s="105" t="s">
        <v>180</v>
      </c>
      <c r="C76" s="106" t="s">
        <v>186</v>
      </c>
      <c r="D76" s="107" t="s">
        <v>187</v>
      </c>
      <c r="E76" s="108" t="s">
        <v>30</v>
      </c>
      <c r="F76" s="108">
        <v>4000</v>
      </c>
      <c r="G76" s="108">
        <v>0</v>
      </c>
      <c r="H76" s="109">
        <v>41444.525297815897</v>
      </c>
      <c r="I76" s="114">
        <v>0</v>
      </c>
      <c r="J76" s="110">
        <v>0</v>
      </c>
    </row>
    <row r="77" spans="1:10" ht="23.1" customHeight="1" x14ac:dyDescent="0.25">
      <c r="A77" s="105" t="s">
        <v>518</v>
      </c>
      <c r="B77" s="105" t="s">
        <v>180</v>
      </c>
      <c r="C77" s="106" t="s">
        <v>188</v>
      </c>
      <c r="D77" s="107" t="s">
        <v>189</v>
      </c>
      <c r="E77" s="108" t="s">
        <v>30</v>
      </c>
      <c r="F77" s="108">
        <v>0</v>
      </c>
      <c r="G77" s="108">
        <v>0</v>
      </c>
      <c r="H77" s="109">
        <v>3498.1958318125412</v>
      </c>
      <c r="I77" s="114">
        <v>0</v>
      </c>
      <c r="J77" s="110">
        <v>0</v>
      </c>
    </row>
    <row r="78" spans="1:10" ht="23.1" customHeight="1" x14ac:dyDescent="0.25">
      <c r="A78" s="105" t="s">
        <v>519</v>
      </c>
      <c r="B78" s="105" t="s">
        <v>180</v>
      </c>
      <c r="C78" s="106" t="s">
        <v>190</v>
      </c>
      <c r="D78" s="107" t="s">
        <v>191</v>
      </c>
      <c r="E78" s="108" t="s">
        <v>30</v>
      </c>
      <c r="F78" s="108">
        <v>0</v>
      </c>
      <c r="G78" s="108">
        <v>0</v>
      </c>
      <c r="H78" s="109">
        <v>37003.915508913058</v>
      </c>
      <c r="I78" s="114">
        <v>0</v>
      </c>
      <c r="J78" s="110">
        <v>0</v>
      </c>
    </row>
    <row r="79" spans="1:10" ht="23.1" customHeight="1" x14ac:dyDescent="0.25">
      <c r="A79" s="105" t="s">
        <v>520</v>
      </c>
      <c r="B79" s="105" t="s">
        <v>180</v>
      </c>
      <c r="C79" s="106" t="s">
        <v>192</v>
      </c>
      <c r="D79" s="107" t="s">
        <v>193</v>
      </c>
      <c r="E79" s="108" t="s">
        <v>30</v>
      </c>
      <c r="F79" s="108">
        <v>0</v>
      </c>
      <c r="G79" s="108">
        <v>0</v>
      </c>
      <c r="H79" s="109">
        <v>0</v>
      </c>
      <c r="I79" s="114">
        <v>0</v>
      </c>
      <c r="J79" s="110">
        <v>0</v>
      </c>
    </row>
    <row r="80" spans="1:10" ht="23.1" customHeight="1" x14ac:dyDescent="0.25">
      <c r="A80" s="105" t="s">
        <v>521</v>
      </c>
      <c r="B80" s="105" t="s">
        <v>180</v>
      </c>
      <c r="C80" s="106" t="s">
        <v>194</v>
      </c>
      <c r="D80" s="107" t="s">
        <v>195</v>
      </c>
      <c r="E80" s="108" t="s">
        <v>30</v>
      </c>
      <c r="F80" s="108">
        <v>0</v>
      </c>
      <c r="G80" s="108">
        <v>0</v>
      </c>
      <c r="H80" s="109">
        <v>15175.873157569165</v>
      </c>
      <c r="I80" s="114">
        <v>0</v>
      </c>
      <c r="J80" s="110">
        <v>0</v>
      </c>
    </row>
    <row r="81" spans="1:10" ht="23.1" customHeight="1" x14ac:dyDescent="0.25">
      <c r="A81" s="105" t="s">
        <v>522</v>
      </c>
      <c r="B81" s="105" t="s">
        <v>180</v>
      </c>
      <c r="C81" s="106" t="s">
        <v>196</v>
      </c>
      <c r="D81" s="107" t="s">
        <v>197</v>
      </c>
      <c r="E81" s="108" t="s">
        <v>30</v>
      </c>
      <c r="F81" s="108">
        <v>0</v>
      </c>
      <c r="G81" s="108">
        <v>0</v>
      </c>
      <c r="H81" s="109">
        <v>71057.452653275424</v>
      </c>
      <c r="I81" s="114">
        <v>0</v>
      </c>
      <c r="J81" s="110">
        <v>0</v>
      </c>
    </row>
    <row r="82" spans="1:10" ht="23.1" customHeight="1" x14ac:dyDescent="0.25">
      <c r="A82" s="105" t="s">
        <v>523</v>
      </c>
      <c r="B82" s="105" t="s">
        <v>180</v>
      </c>
      <c r="C82" s="106" t="s">
        <v>198</v>
      </c>
      <c r="D82" s="107" t="s">
        <v>199</v>
      </c>
      <c r="E82" s="108" t="s">
        <v>30</v>
      </c>
      <c r="F82" s="108">
        <v>2000</v>
      </c>
      <c r="G82" s="108">
        <v>0</v>
      </c>
      <c r="H82" s="109">
        <v>14817.657904391561</v>
      </c>
      <c r="I82" s="114">
        <v>0</v>
      </c>
      <c r="J82" s="110">
        <v>0</v>
      </c>
    </row>
    <row r="83" spans="1:10" ht="23.1" customHeight="1" x14ac:dyDescent="0.25">
      <c r="A83" s="105" t="s">
        <v>524</v>
      </c>
      <c r="B83" s="105" t="s">
        <v>180</v>
      </c>
      <c r="C83" s="106" t="s">
        <v>200</v>
      </c>
      <c r="D83" s="107" t="s">
        <v>201</v>
      </c>
      <c r="E83" s="108" t="s">
        <v>30</v>
      </c>
      <c r="F83" s="108">
        <v>10805.6</v>
      </c>
      <c r="G83" s="108">
        <v>0</v>
      </c>
      <c r="H83" s="109">
        <v>20923.408909237172</v>
      </c>
      <c r="I83" s="114">
        <v>0</v>
      </c>
      <c r="J83" s="110">
        <v>1</v>
      </c>
    </row>
    <row r="84" spans="1:10" ht="23.1" customHeight="1" x14ac:dyDescent="0.25">
      <c r="A84" s="105" t="s">
        <v>525</v>
      </c>
      <c r="B84" s="105" t="s">
        <v>180</v>
      </c>
      <c r="C84" s="106" t="s">
        <v>202</v>
      </c>
      <c r="D84" s="107" t="s">
        <v>203</v>
      </c>
      <c r="E84" s="108" t="s">
        <v>30</v>
      </c>
      <c r="F84" s="108">
        <v>0</v>
      </c>
      <c r="G84" s="108">
        <v>0</v>
      </c>
      <c r="H84" s="109">
        <v>24273.281237780859</v>
      </c>
      <c r="I84" s="114">
        <v>0</v>
      </c>
      <c r="J84" s="110">
        <v>0</v>
      </c>
    </row>
    <row r="85" spans="1:10" ht="23.1" customHeight="1" x14ac:dyDescent="0.25">
      <c r="A85" s="105" t="s">
        <v>526</v>
      </c>
      <c r="B85" s="105" t="s">
        <v>180</v>
      </c>
      <c r="C85" s="106" t="s">
        <v>204</v>
      </c>
      <c r="D85" s="107" t="s">
        <v>205</v>
      </c>
      <c r="E85" s="108" t="s">
        <v>30</v>
      </c>
      <c r="F85" s="108">
        <v>1000</v>
      </c>
      <c r="G85" s="108">
        <v>0</v>
      </c>
      <c r="H85" s="109">
        <v>3169.3654236221623</v>
      </c>
      <c r="I85" s="114">
        <v>0</v>
      </c>
      <c r="J85" s="110">
        <v>0</v>
      </c>
    </row>
    <row r="86" spans="1:10" ht="23.1" customHeight="1" x14ac:dyDescent="0.25">
      <c r="A86" s="105" t="s">
        <v>527</v>
      </c>
      <c r="B86" s="105" t="s">
        <v>180</v>
      </c>
      <c r="C86" s="106" t="s">
        <v>206</v>
      </c>
      <c r="D86" s="107" t="s">
        <v>207</v>
      </c>
      <c r="E86" s="108" t="s">
        <v>30</v>
      </c>
      <c r="F86" s="108">
        <v>0</v>
      </c>
      <c r="G86" s="108">
        <v>0</v>
      </c>
      <c r="H86" s="109">
        <v>8525.8028812935245</v>
      </c>
      <c r="I86" s="114">
        <v>0</v>
      </c>
      <c r="J86" s="110">
        <v>0</v>
      </c>
    </row>
    <row r="87" spans="1:10" ht="23.1" customHeight="1" x14ac:dyDescent="0.25">
      <c r="A87" s="105" t="s">
        <v>528</v>
      </c>
      <c r="B87" s="105" t="s">
        <v>180</v>
      </c>
      <c r="C87" s="106" t="s">
        <v>208</v>
      </c>
      <c r="D87" s="107" t="s">
        <v>209</v>
      </c>
      <c r="E87" s="108" t="s">
        <v>30</v>
      </c>
      <c r="F87" s="108">
        <v>0</v>
      </c>
      <c r="G87" s="108">
        <v>0</v>
      </c>
      <c r="H87" s="109">
        <v>124798.13629991241</v>
      </c>
      <c r="I87" s="114">
        <v>0</v>
      </c>
      <c r="J87" s="110">
        <v>1</v>
      </c>
    </row>
    <row r="88" spans="1:10" ht="23.1" customHeight="1" x14ac:dyDescent="0.25">
      <c r="A88" s="105" t="s">
        <v>529</v>
      </c>
      <c r="B88" s="105" t="s">
        <v>180</v>
      </c>
      <c r="C88" s="106" t="s">
        <v>210</v>
      </c>
      <c r="D88" s="107" t="s">
        <v>211</v>
      </c>
      <c r="E88" s="108" t="s">
        <v>30</v>
      </c>
      <c r="F88" s="108">
        <v>0</v>
      </c>
      <c r="G88" s="108">
        <v>0</v>
      </c>
      <c r="H88" s="109">
        <v>48338.070003985697</v>
      </c>
      <c r="I88" s="114">
        <v>0</v>
      </c>
      <c r="J88" s="110">
        <v>0</v>
      </c>
    </row>
    <row r="89" spans="1:10" ht="23.1" customHeight="1" x14ac:dyDescent="0.25">
      <c r="A89" s="105" t="s">
        <v>530</v>
      </c>
      <c r="B89" s="105" t="s">
        <v>180</v>
      </c>
      <c r="C89" s="106" t="s">
        <v>212</v>
      </c>
      <c r="D89" s="107" t="s">
        <v>213</v>
      </c>
      <c r="E89" s="108" t="s">
        <v>30</v>
      </c>
      <c r="F89" s="108">
        <v>0</v>
      </c>
      <c r="G89" s="108">
        <v>0</v>
      </c>
      <c r="H89" s="109">
        <v>1609.170082633769</v>
      </c>
      <c r="I89" s="114">
        <v>0</v>
      </c>
      <c r="J89" s="110">
        <v>0</v>
      </c>
    </row>
    <row r="90" spans="1:10" ht="23.1" customHeight="1" x14ac:dyDescent="0.25">
      <c r="A90" s="105" t="s">
        <v>531</v>
      </c>
      <c r="B90" s="105" t="s">
        <v>180</v>
      </c>
      <c r="C90" s="106" t="s">
        <v>214</v>
      </c>
      <c r="D90" s="107" t="s">
        <v>215</v>
      </c>
      <c r="E90" s="108" t="s">
        <v>30</v>
      </c>
      <c r="F90" s="108">
        <v>0</v>
      </c>
      <c r="G90" s="108">
        <v>0</v>
      </c>
      <c r="H90" s="109">
        <v>45861.347355062411</v>
      </c>
      <c r="I90" s="114">
        <v>0</v>
      </c>
      <c r="J90" s="110">
        <v>0</v>
      </c>
    </row>
    <row r="91" spans="1:10" ht="23.1" customHeight="1" x14ac:dyDescent="0.25">
      <c r="A91" s="105" t="s">
        <v>532</v>
      </c>
      <c r="B91" s="105" t="s">
        <v>216</v>
      </c>
      <c r="C91" s="106" t="s">
        <v>218</v>
      </c>
      <c r="D91" s="107" t="s">
        <v>219</v>
      </c>
      <c r="E91" s="108" t="s">
        <v>30</v>
      </c>
      <c r="F91" s="108">
        <v>2640</v>
      </c>
      <c r="G91" s="108">
        <v>0</v>
      </c>
      <c r="H91" s="109">
        <v>32230.977115988029</v>
      </c>
      <c r="I91" s="114">
        <v>0</v>
      </c>
      <c r="J91" s="110">
        <v>0</v>
      </c>
    </row>
    <row r="92" spans="1:10" ht="23.1" customHeight="1" x14ac:dyDescent="0.25">
      <c r="A92" s="105" t="s">
        <v>533</v>
      </c>
      <c r="B92" s="105" t="s">
        <v>216</v>
      </c>
      <c r="C92" s="106" t="s">
        <v>220</v>
      </c>
      <c r="D92" s="107" t="s">
        <v>221</v>
      </c>
      <c r="E92" s="108" t="s">
        <v>30</v>
      </c>
      <c r="F92" s="108">
        <v>4784.8</v>
      </c>
      <c r="G92" s="108">
        <v>0</v>
      </c>
      <c r="H92" s="109">
        <v>167142.39756567049</v>
      </c>
      <c r="I92" s="114">
        <v>0</v>
      </c>
      <c r="J92" s="110">
        <v>3</v>
      </c>
    </row>
    <row r="93" spans="1:10" ht="23.1" customHeight="1" x14ac:dyDescent="0.25">
      <c r="A93" s="105" t="s">
        <v>534</v>
      </c>
      <c r="B93" s="105" t="s">
        <v>216</v>
      </c>
      <c r="C93" s="106" t="s">
        <v>222</v>
      </c>
      <c r="D93" s="107" t="s">
        <v>223</v>
      </c>
      <c r="E93" s="108" t="s">
        <v>30</v>
      </c>
      <c r="F93" s="108">
        <v>1223.2</v>
      </c>
      <c r="G93" s="108">
        <v>0</v>
      </c>
      <c r="H93" s="109">
        <v>74643.103380883273</v>
      </c>
      <c r="I93" s="114">
        <v>0</v>
      </c>
      <c r="J93" s="110">
        <v>1</v>
      </c>
    </row>
    <row r="94" spans="1:10" ht="23.1" customHeight="1" x14ac:dyDescent="0.25">
      <c r="A94" s="105" t="s">
        <v>535</v>
      </c>
      <c r="B94" s="105" t="s">
        <v>216</v>
      </c>
      <c r="C94" s="106" t="s">
        <v>224</v>
      </c>
      <c r="D94" s="107" t="s">
        <v>225</v>
      </c>
      <c r="E94" s="108" t="s">
        <v>30</v>
      </c>
      <c r="F94" s="108">
        <v>4192.8</v>
      </c>
      <c r="G94" s="108">
        <v>0</v>
      </c>
      <c r="H94" s="109">
        <v>107441.4878607913</v>
      </c>
      <c r="I94" s="114">
        <v>0</v>
      </c>
      <c r="J94" s="110">
        <v>0</v>
      </c>
    </row>
    <row r="95" spans="1:10" ht="23.1" customHeight="1" x14ac:dyDescent="0.25">
      <c r="A95" s="105" t="s">
        <v>536</v>
      </c>
      <c r="B95" s="105" t="s">
        <v>216</v>
      </c>
      <c r="C95" s="106" t="s">
        <v>226</v>
      </c>
      <c r="D95" s="107" t="s">
        <v>227</v>
      </c>
      <c r="E95" s="108" t="s">
        <v>30</v>
      </c>
      <c r="F95" s="108">
        <v>1608</v>
      </c>
      <c r="G95" s="108">
        <v>0</v>
      </c>
      <c r="H95" s="109">
        <v>46763.182240503687</v>
      </c>
      <c r="I95" s="114">
        <v>0</v>
      </c>
      <c r="J95" s="110">
        <v>0</v>
      </c>
    </row>
    <row r="96" spans="1:10" ht="23.1" customHeight="1" x14ac:dyDescent="0.25">
      <c r="A96" s="105" t="s">
        <v>537</v>
      </c>
      <c r="B96" s="105" t="s">
        <v>216</v>
      </c>
      <c r="C96" s="106" t="s">
        <v>228</v>
      </c>
      <c r="D96" s="107" t="s">
        <v>229</v>
      </c>
      <c r="E96" s="108" t="s">
        <v>30</v>
      </c>
      <c r="F96" s="108">
        <v>0</v>
      </c>
      <c r="G96" s="108">
        <v>0</v>
      </c>
      <c r="H96" s="109">
        <v>35685.095680319733</v>
      </c>
      <c r="I96" s="114">
        <v>0</v>
      </c>
      <c r="J96" s="110">
        <v>0</v>
      </c>
    </row>
    <row r="97" spans="1:10" ht="23.1" customHeight="1" x14ac:dyDescent="0.25">
      <c r="A97" s="105" t="s">
        <v>538</v>
      </c>
      <c r="B97" s="105" t="s">
        <v>216</v>
      </c>
      <c r="C97" s="106" t="s">
        <v>230</v>
      </c>
      <c r="D97" s="107" t="s">
        <v>231</v>
      </c>
      <c r="E97" s="108" t="s">
        <v>30</v>
      </c>
      <c r="F97" s="108">
        <v>2603.2000000000003</v>
      </c>
      <c r="G97" s="108">
        <v>0</v>
      </c>
      <c r="H97" s="109">
        <v>29297.390091430032</v>
      </c>
      <c r="I97" s="114">
        <v>0</v>
      </c>
      <c r="J97" s="110">
        <v>0</v>
      </c>
    </row>
    <row r="98" spans="1:10" ht="23.1" customHeight="1" x14ac:dyDescent="0.25">
      <c r="A98" s="105" t="s">
        <v>539</v>
      </c>
      <c r="B98" s="105" t="s">
        <v>232</v>
      </c>
      <c r="C98" s="106" t="s">
        <v>234</v>
      </c>
      <c r="D98" s="107" t="s">
        <v>235</v>
      </c>
      <c r="E98" s="108" t="s">
        <v>30</v>
      </c>
      <c r="F98" s="108">
        <v>13485.6</v>
      </c>
      <c r="G98" s="108">
        <v>0</v>
      </c>
      <c r="H98" s="109">
        <v>69814.893493815602</v>
      </c>
      <c r="I98" s="114">
        <v>0</v>
      </c>
      <c r="J98" s="110">
        <v>1</v>
      </c>
    </row>
    <row r="99" spans="1:10" ht="23.1" customHeight="1" x14ac:dyDescent="0.25">
      <c r="A99" s="105" t="s">
        <v>540</v>
      </c>
      <c r="B99" s="105" t="s">
        <v>232</v>
      </c>
      <c r="C99" s="106" t="s">
        <v>236</v>
      </c>
      <c r="D99" s="107" t="s">
        <v>237</v>
      </c>
      <c r="E99" s="108" t="s">
        <v>30</v>
      </c>
      <c r="F99" s="108">
        <v>2000</v>
      </c>
      <c r="G99" s="108">
        <v>0</v>
      </c>
      <c r="H99" s="109">
        <v>4514.7715405372655</v>
      </c>
      <c r="I99" s="114">
        <v>0</v>
      </c>
      <c r="J99" s="110">
        <v>0</v>
      </c>
    </row>
    <row r="100" spans="1:10" ht="23.1" customHeight="1" x14ac:dyDescent="0.25">
      <c r="A100" s="105" t="s">
        <v>541</v>
      </c>
      <c r="B100" s="105" t="s">
        <v>232</v>
      </c>
      <c r="C100" s="106" t="s">
        <v>238</v>
      </c>
      <c r="D100" s="107" t="s">
        <v>239</v>
      </c>
      <c r="E100" s="108" t="s">
        <v>30</v>
      </c>
      <c r="F100" s="108">
        <v>7688</v>
      </c>
      <c r="G100" s="108">
        <v>0</v>
      </c>
      <c r="H100" s="109">
        <v>58261.052300505151</v>
      </c>
      <c r="I100" s="114">
        <v>0</v>
      </c>
      <c r="J100" s="110">
        <v>3</v>
      </c>
    </row>
    <row r="101" spans="1:10" ht="23.1" customHeight="1" x14ac:dyDescent="0.25">
      <c r="A101" s="105" t="s">
        <v>542</v>
      </c>
      <c r="B101" s="105" t="s">
        <v>232</v>
      </c>
      <c r="C101" s="106" t="s">
        <v>240</v>
      </c>
      <c r="D101" s="107" t="s">
        <v>241</v>
      </c>
      <c r="E101" s="108" t="s">
        <v>30</v>
      </c>
      <c r="F101" s="108">
        <v>2720.8</v>
      </c>
      <c r="G101" s="108">
        <v>0</v>
      </c>
      <c r="H101" s="109">
        <v>48970.543810377399</v>
      </c>
      <c r="I101" s="114">
        <v>0</v>
      </c>
      <c r="J101" s="110">
        <v>5</v>
      </c>
    </row>
    <row r="102" spans="1:10" ht="23.1" customHeight="1" x14ac:dyDescent="0.25">
      <c r="A102" s="105" t="s">
        <v>543</v>
      </c>
      <c r="B102" s="105" t="s">
        <v>232</v>
      </c>
      <c r="C102" s="106" t="s">
        <v>242</v>
      </c>
      <c r="D102" s="107" t="s">
        <v>243</v>
      </c>
      <c r="E102" s="108" t="s">
        <v>30</v>
      </c>
      <c r="F102" s="108">
        <v>2000</v>
      </c>
      <c r="G102" s="108">
        <v>0</v>
      </c>
      <c r="H102" s="109">
        <v>5177.3298310825612</v>
      </c>
      <c r="I102" s="114">
        <v>0</v>
      </c>
      <c r="J102" s="110">
        <v>2</v>
      </c>
    </row>
    <row r="103" spans="1:10" ht="23.1" customHeight="1" x14ac:dyDescent="0.25">
      <c r="A103" s="105" t="s">
        <v>544</v>
      </c>
      <c r="B103" s="105" t="s">
        <v>232</v>
      </c>
      <c r="C103" s="106" t="s">
        <v>244</v>
      </c>
      <c r="D103" s="107" t="s">
        <v>245</v>
      </c>
      <c r="E103" s="108" t="s">
        <v>30</v>
      </c>
      <c r="F103" s="108">
        <v>3225.6000000000004</v>
      </c>
      <c r="G103" s="108">
        <v>0</v>
      </c>
      <c r="H103" s="109">
        <v>32897.03360236514</v>
      </c>
      <c r="I103" s="114">
        <v>0</v>
      </c>
      <c r="J103" s="110">
        <v>2</v>
      </c>
    </row>
    <row r="104" spans="1:10" ht="23.1" customHeight="1" x14ac:dyDescent="0.25">
      <c r="A104" s="105" t="s">
        <v>545</v>
      </c>
      <c r="B104" s="105" t="s">
        <v>232</v>
      </c>
      <c r="C104" s="106" t="s">
        <v>246</v>
      </c>
      <c r="D104" s="107" t="s">
        <v>247</v>
      </c>
      <c r="E104" s="108" t="s">
        <v>30</v>
      </c>
      <c r="F104" s="108">
        <v>4045.6000000000004</v>
      </c>
      <c r="G104" s="108">
        <v>0</v>
      </c>
      <c r="H104" s="109">
        <v>7048.8646011022702</v>
      </c>
      <c r="I104" s="114">
        <v>0</v>
      </c>
      <c r="J104" s="110">
        <v>0</v>
      </c>
    </row>
    <row r="105" spans="1:10" ht="23.1" customHeight="1" x14ac:dyDescent="0.25">
      <c r="A105" s="105" t="s">
        <v>546</v>
      </c>
      <c r="B105" s="105" t="s">
        <v>232</v>
      </c>
      <c r="C105" s="106" t="s">
        <v>248</v>
      </c>
      <c r="D105" s="107" t="s">
        <v>249</v>
      </c>
      <c r="E105" s="108" t="s">
        <v>30</v>
      </c>
      <c r="F105" s="108">
        <v>8928</v>
      </c>
      <c r="G105" s="108">
        <v>0</v>
      </c>
      <c r="H105" s="109">
        <v>37369.127153754293</v>
      </c>
      <c r="I105" s="114">
        <v>0</v>
      </c>
      <c r="J105" s="110">
        <v>2</v>
      </c>
    </row>
    <row r="106" spans="1:10" ht="23.1" customHeight="1" x14ac:dyDescent="0.25">
      <c r="A106" s="105" t="s">
        <v>547</v>
      </c>
      <c r="B106" s="105" t="s">
        <v>232</v>
      </c>
      <c r="C106" s="106" t="s">
        <v>250</v>
      </c>
      <c r="D106" s="107" t="s">
        <v>251</v>
      </c>
      <c r="E106" s="108" t="s">
        <v>30</v>
      </c>
      <c r="F106" s="108">
        <v>7165.6</v>
      </c>
      <c r="G106" s="108">
        <v>0</v>
      </c>
      <c r="H106" s="109">
        <v>35682.29712365428</v>
      </c>
      <c r="I106" s="114">
        <v>0</v>
      </c>
      <c r="J106" s="110">
        <v>0</v>
      </c>
    </row>
    <row r="107" spans="1:10" ht="23.1" customHeight="1" x14ac:dyDescent="0.25">
      <c r="A107" s="105" t="s">
        <v>548</v>
      </c>
      <c r="B107" s="105" t="s">
        <v>252</v>
      </c>
      <c r="C107" s="106" t="s">
        <v>254</v>
      </c>
      <c r="D107" s="107" t="s">
        <v>255</v>
      </c>
      <c r="E107" s="108" t="s">
        <v>30</v>
      </c>
      <c r="F107" s="108">
        <v>0</v>
      </c>
      <c r="G107" s="108">
        <v>0</v>
      </c>
      <c r="H107" s="109">
        <v>21318.005399065627</v>
      </c>
      <c r="I107" s="114">
        <v>0</v>
      </c>
      <c r="J107" s="110">
        <v>0</v>
      </c>
    </row>
    <row r="108" spans="1:10" ht="23.1" customHeight="1" x14ac:dyDescent="0.25">
      <c r="A108" s="105" t="s">
        <v>549</v>
      </c>
      <c r="B108" s="105" t="s">
        <v>252</v>
      </c>
      <c r="C108" s="106" t="s">
        <v>256</v>
      </c>
      <c r="D108" s="107" t="s">
        <v>257</v>
      </c>
      <c r="E108" s="108" t="s">
        <v>30</v>
      </c>
      <c r="F108" s="108">
        <v>13028</v>
      </c>
      <c r="G108" s="108">
        <v>0</v>
      </c>
      <c r="H108" s="109">
        <v>82942.223172275349</v>
      </c>
      <c r="I108" s="114">
        <v>0</v>
      </c>
      <c r="J108" s="110">
        <v>4</v>
      </c>
    </row>
    <row r="109" spans="1:10" ht="23.1" customHeight="1" x14ac:dyDescent="0.25">
      <c r="A109" s="105" t="s">
        <v>550</v>
      </c>
      <c r="B109" s="105" t="s">
        <v>252</v>
      </c>
      <c r="C109" s="106" t="s">
        <v>258</v>
      </c>
      <c r="D109" s="107" t="s">
        <v>259</v>
      </c>
      <c r="E109" s="108" t="s">
        <v>30</v>
      </c>
      <c r="F109" s="108">
        <v>0</v>
      </c>
      <c r="G109" s="108">
        <v>0</v>
      </c>
      <c r="H109" s="109">
        <v>32064.462994393751</v>
      </c>
      <c r="I109" s="114">
        <v>0</v>
      </c>
      <c r="J109" s="110">
        <v>0</v>
      </c>
    </row>
    <row r="110" spans="1:10" ht="23.1" customHeight="1" x14ac:dyDescent="0.25">
      <c r="A110" s="105" t="s">
        <v>551</v>
      </c>
      <c r="B110" s="105" t="s">
        <v>252</v>
      </c>
      <c r="C110" s="106" t="s">
        <v>260</v>
      </c>
      <c r="D110" s="107" t="s">
        <v>261</v>
      </c>
      <c r="E110" s="108" t="s">
        <v>30</v>
      </c>
      <c r="F110" s="108">
        <v>0</v>
      </c>
      <c r="G110" s="108">
        <v>0</v>
      </c>
      <c r="H110" s="109">
        <v>2211.5594048718885</v>
      </c>
      <c r="I110" s="114">
        <v>0</v>
      </c>
      <c r="J110" s="110">
        <v>0</v>
      </c>
    </row>
    <row r="111" spans="1:10" ht="23.1" customHeight="1" x14ac:dyDescent="0.25">
      <c r="A111" s="105" t="s">
        <v>552</v>
      </c>
      <c r="B111" s="105" t="s">
        <v>252</v>
      </c>
      <c r="C111" s="106" t="s">
        <v>262</v>
      </c>
      <c r="D111" s="107" t="s">
        <v>263</v>
      </c>
      <c r="E111" s="108" t="s">
        <v>30</v>
      </c>
      <c r="F111" s="108">
        <v>0</v>
      </c>
      <c r="G111" s="108">
        <v>0</v>
      </c>
      <c r="H111" s="109">
        <v>6372.313527229725</v>
      </c>
      <c r="I111" s="114">
        <v>0</v>
      </c>
      <c r="J111" s="110">
        <v>0</v>
      </c>
    </row>
    <row r="112" spans="1:10" ht="23.1" customHeight="1" x14ac:dyDescent="0.25">
      <c r="A112" s="105" t="s">
        <v>553</v>
      </c>
      <c r="B112" s="105" t="s">
        <v>252</v>
      </c>
      <c r="C112" s="106" t="s">
        <v>264</v>
      </c>
      <c r="D112" s="107" t="s">
        <v>265</v>
      </c>
      <c r="E112" s="108" t="s">
        <v>30</v>
      </c>
      <c r="F112" s="108">
        <v>0</v>
      </c>
      <c r="G112" s="108">
        <v>0</v>
      </c>
      <c r="H112" s="109">
        <v>14291.529251286955</v>
      </c>
      <c r="I112" s="114">
        <v>0</v>
      </c>
      <c r="J112" s="110">
        <v>0</v>
      </c>
    </row>
    <row r="113" spans="1:10" ht="23.1" customHeight="1" x14ac:dyDescent="0.25">
      <c r="A113" s="105" t="s">
        <v>554</v>
      </c>
      <c r="B113" s="105" t="s">
        <v>252</v>
      </c>
      <c r="C113" s="106" t="s">
        <v>266</v>
      </c>
      <c r="D113" s="107" t="s">
        <v>267</v>
      </c>
      <c r="E113" s="108" t="s">
        <v>30</v>
      </c>
      <c r="F113" s="108">
        <v>0</v>
      </c>
      <c r="G113" s="108">
        <v>0</v>
      </c>
      <c r="H113" s="109">
        <v>55000.733785255856</v>
      </c>
      <c r="I113" s="114">
        <v>3335</v>
      </c>
      <c r="J113" s="110">
        <v>0</v>
      </c>
    </row>
    <row r="114" spans="1:10" ht="23.1" customHeight="1" x14ac:dyDescent="0.25">
      <c r="A114" s="105" t="s">
        <v>555</v>
      </c>
      <c r="B114" s="105" t="s">
        <v>252</v>
      </c>
      <c r="C114" s="106" t="s">
        <v>268</v>
      </c>
      <c r="D114" s="107" t="s">
        <v>269</v>
      </c>
      <c r="E114" s="108" t="s">
        <v>30</v>
      </c>
      <c r="F114" s="108">
        <v>0</v>
      </c>
      <c r="G114" s="108">
        <v>0</v>
      </c>
      <c r="H114" s="109">
        <v>27768.678512927952</v>
      </c>
      <c r="I114" s="114">
        <v>0</v>
      </c>
      <c r="J114" s="110">
        <v>0</v>
      </c>
    </row>
    <row r="115" spans="1:10" ht="23.1" customHeight="1" x14ac:dyDescent="0.25">
      <c r="A115" s="105" t="s">
        <v>556</v>
      </c>
      <c r="B115" s="105" t="s">
        <v>252</v>
      </c>
      <c r="C115" s="106" t="s">
        <v>270</v>
      </c>
      <c r="D115" s="107" t="s">
        <v>271</v>
      </c>
      <c r="E115" s="108" t="s">
        <v>30</v>
      </c>
      <c r="F115" s="108">
        <v>0</v>
      </c>
      <c r="G115" s="108">
        <v>0</v>
      </c>
      <c r="H115" s="109">
        <v>22345.775334452152</v>
      </c>
      <c r="I115" s="114">
        <v>0</v>
      </c>
      <c r="J115" s="110">
        <v>0</v>
      </c>
    </row>
    <row r="116" spans="1:10" ht="23.1" customHeight="1" x14ac:dyDescent="0.25">
      <c r="A116" s="105" t="s">
        <v>557</v>
      </c>
      <c r="B116" s="105" t="s">
        <v>252</v>
      </c>
      <c r="C116" s="106" t="s">
        <v>272</v>
      </c>
      <c r="D116" s="107" t="s">
        <v>273</v>
      </c>
      <c r="E116" s="108" t="s">
        <v>30</v>
      </c>
      <c r="F116" s="108">
        <v>0</v>
      </c>
      <c r="G116" s="108">
        <v>0</v>
      </c>
      <c r="H116" s="109">
        <v>25612.390602198702</v>
      </c>
      <c r="I116" s="114">
        <v>0</v>
      </c>
      <c r="J116" s="110">
        <v>0</v>
      </c>
    </row>
    <row r="117" spans="1:10" ht="23.1" customHeight="1" x14ac:dyDescent="0.25">
      <c r="A117" s="105" t="s">
        <v>558</v>
      </c>
      <c r="B117" s="105" t="s">
        <v>274</v>
      </c>
      <c r="C117" s="106" t="s">
        <v>276</v>
      </c>
      <c r="D117" s="107" t="s">
        <v>277</v>
      </c>
      <c r="E117" s="108" t="s">
        <v>30</v>
      </c>
      <c r="F117" s="108">
        <v>1070.4000000000001</v>
      </c>
      <c r="G117" s="108">
        <v>0</v>
      </c>
      <c r="H117" s="109">
        <v>68420.512635255131</v>
      </c>
      <c r="I117" s="114">
        <v>0</v>
      </c>
      <c r="J117" s="110">
        <v>0</v>
      </c>
    </row>
    <row r="118" spans="1:10" ht="23.1" customHeight="1" x14ac:dyDescent="0.25">
      <c r="A118" s="105" t="s">
        <v>559</v>
      </c>
      <c r="B118" s="105" t="s">
        <v>274</v>
      </c>
      <c r="C118" s="106" t="s">
        <v>278</v>
      </c>
      <c r="D118" s="107" t="s">
        <v>279</v>
      </c>
      <c r="E118" s="108" t="s">
        <v>30</v>
      </c>
      <c r="F118" s="108">
        <v>4375.2</v>
      </c>
      <c r="G118" s="108">
        <v>0</v>
      </c>
      <c r="H118" s="109">
        <v>90848.145752171695</v>
      </c>
      <c r="I118" s="114">
        <v>0</v>
      </c>
      <c r="J118" s="110">
        <v>3</v>
      </c>
    </row>
    <row r="119" spans="1:10" ht="23.1" customHeight="1" x14ac:dyDescent="0.25">
      <c r="A119" s="105" t="s">
        <v>560</v>
      </c>
      <c r="B119" s="105" t="s">
        <v>274</v>
      </c>
      <c r="C119" s="106" t="s">
        <v>280</v>
      </c>
      <c r="D119" s="107" t="s">
        <v>281</v>
      </c>
      <c r="E119" s="108" t="s">
        <v>30</v>
      </c>
      <c r="F119" s="108">
        <v>0</v>
      </c>
      <c r="G119" s="108">
        <v>0</v>
      </c>
      <c r="H119" s="109">
        <v>13808.078587330463</v>
      </c>
      <c r="I119" s="114">
        <v>0</v>
      </c>
      <c r="J119" s="110">
        <v>0</v>
      </c>
    </row>
    <row r="120" spans="1:10" ht="23.1" customHeight="1" x14ac:dyDescent="0.25">
      <c r="A120" s="105" t="s">
        <v>561</v>
      </c>
      <c r="B120" s="105" t="s">
        <v>274</v>
      </c>
      <c r="C120" s="106" t="s">
        <v>282</v>
      </c>
      <c r="D120" s="107" t="s">
        <v>283</v>
      </c>
      <c r="E120" s="108" t="s">
        <v>30</v>
      </c>
      <c r="F120" s="108">
        <v>0</v>
      </c>
      <c r="G120" s="108">
        <v>0</v>
      </c>
      <c r="H120" s="109">
        <v>8286.5262863975477</v>
      </c>
      <c r="I120" s="114">
        <v>0</v>
      </c>
      <c r="J120" s="110">
        <v>0</v>
      </c>
    </row>
    <row r="121" spans="1:10" ht="23.1" customHeight="1" x14ac:dyDescent="0.25">
      <c r="A121" s="105" t="s">
        <v>562</v>
      </c>
      <c r="B121" s="105" t="s">
        <v>274</v>
      </c>
      <c r="C121" s="106" t="s">
        <v>284</v>
      </c>
      <c r="D121" s="107" t="s">
        <v>285</v>
      </c>
      <c r="E121" s="108" t="s">
        <v>30</v>
      </c>
      <c r="F121" s="108">
        <v>0</v>
      </c>
      <c r="G121" s="108">
        <v>0</v>
      </c>
      <c r="H121" s="109">
        <v>13466.654674145559</v>
      </c>
      <c r="I121" s="114">
        <v>0</v>
      </c>
      <c r="J121" s="110">
        <v>1</v>
      </c>
    </row>
    <row r="122" spans="1:10" ht="23.1" customHeight="1" x14ac:dyDescent="0.25">
      <c r="A122" s="105" t="s">
        <v>563</v>
      </c>
      <c r="B122" s="105" t="s">
        <v>274</v>
      </c>
      <c r="C122" s="106" t="s">
        <v>286</v>
      </c>
      <c r="D122" s="107" t="s">
        <v>287</v>
      </c>
      <c r="E122" s="108" t="s">
        <v>30</v>
      </c>
      <c r="F122" s="108">
        <v>328</v>
      </c>
      <c r="G122" s="108">
        <v>0</v>
      </c>
      <c r="H122" s="109">
        <v>60872.10566937003</v>
      </c>
      <c r="I122" s="114">
        <v>0</v>
      </c>
      <c r="J122" s="110">
        <v>0</v>
      </c>
    </row>
    <row r="123" spans="1:10" ht="23.1" customHeight="1" x14ac:dyDescent="0.25">
      <c r="A123" s="105" t="s">
        <v>564</v>
      </c>
      <c r="B123" s="105" t="s">
        <v>274</v>
      </c>
      <c r="C123" s="106" t="s">
        <v>288</v>
      </c>
      <c r="D123" s="107" t="s">
        <v>289</v>
      </c>
      <c r="E123" s="108" t="s">
        <v>30</v>
      </c>
      <c r="F123" s="108">
        <v>0</v>
      </c>
      <c r="G123" s="108">
        <v>0</v>
      </c>
      <c r="H123" s="109">
        <v>106311.57060711585</v>
      </c>
      <c r="I123" s="114">
        <v>0</v>
      </c>
      <c r="J123" s="110">
        <v>0</v>
      </c>
    </row>
    <row r="124" spans="1:10" ht="23.1" customHeight="1" x14ac:dyDescent="0.25">
      <c r="A124" s="105" t="s">
        <v>565</v>
      </c>
      <c r="B124" s="105" t="s">
        <v>274</v>
      </c>
      <c r="C124" s="106" t="s">
        <v>290</v>
      </c>
      <c r="D124" s="107" t="s">
        <v>291</v>
      </c>
      <c r="E124" s="108" t="s">
        <v>30</v>
      </c>
      <c r="F124" s="108">
        <v>0</v>
      </c>
      <c r="G124" s="108">
        <v>0</v>
      </c>
      <c r="H124" s="109">
        <v>50257.879876484418</v>
      </c>
      <c r="I124" s="114">
        <v>0</v>
      </c>
      <c r="J124" s="110">
        <v>0</v>
      </c>
    </row>
    <row r="125" spans="1:10" ht="23.1" customHeight="1" x14ac:dyDescent="0.25">
      <c r="A125" s="105" t="s">
        <v>566</v>
      </c>
      <c r="B125" s="105" t="s">
        <v>274</v>
      </c>
      <c r="C125" s="106" t="s">
        <v>292</v>
      </c>
      <c r="D125" s="107" t="s">
        <v>293</v>
      </c>
      <c r="E125" s="108" t="s">
        <v>30</v>
      </c>
      <c r="F125" s="108">
        <v>0</v>
      </c>
      <c r="G125" s="108">
        <v>0</v>
      </c>
      <c r="H125" s="109">
        <v>17779.230495604061</v>
      </c>
      <c r="I125" s="114">
        <v>0</v>
      </c>
      <c r="J125" s="110">
        <v>2</v>
      </c>
    </row>
    <row r="126" spans="1:10" ht="23.1" customHeight="1" x14ac:dyDescent="0.25">
      <c r="A126" s="105" t="s">
        <v>567</v>
      </c>
      <c r="B126" s="105" t="s">
        <v>274</v>
      </c>
      <c r="C126" s="106" t="s">
        <v>294</v>
      </c>
      <c r="D126" s="107" t="s">
        <v>295</v>
      </c>
      <c r="E126" s="108" t="s">
        <v>30</v>
      </c>
      <c r="F126" s="108">
        <v>0</v>
      </c>
      <c r="G126" s="108">
        <v>0</v>
      </c>
      <c r="H126" s="109">
        <v>57893.04209899847</v>
      </c>
      <c r="I126" s="114">
        <v>0</v>
      </c>
      <c r="J126" s="110">
        <v>0</v>
      </c>
    </row>
    <row r="127" spans="1:10" ht="23.1" customHeight="1" x14ac:dyDescent="0.25">
      <c r="A127" s="105" t="s">
        <v>568</v>
      </c>
      <c r="B127" s="105" t="s">
        <v>274</v>
      </c>
      <c r="C127" s="106" t="s">
        <v>296</v>
      </c>
      <c r="D127" s="107" t="s">
        <v>297</v>
      </c>
      <c r="E127" s="108" t="s">
        <v>30</v>
      </c>
      <c r="F127" s="108">
        <v>0</v>
      </c>
      <c r="G127" s="108">
        <v>0</v>
      </c>
      <c r="H127" s="109">
        <v>46680.624818872908</v>
      </c>
      <c r="I127" s="114">
        <v>0</v>
      </c>
      <c r="J127" s="110">
        <v>0</v>
      </c>
    </row>
    <row r="128" spans="1:10" ht="23.1" customHeight="1" x14ac:dyDescent="0.25">
      <c r="A128" s="105" t="s">
        <v>569</v>
      </c>
      <c r="B128" s="105" t="s">
        <v>298</v>
      </c>
      <c r="C128" s="106" t="s">
        <v>300</v>
      </c>
      <c r="D128" s="107" t="s">
        <v>301</v>
      </c>
      <c r="E128" s="108" t="s">
        <v>30</v>
      </c>
      <c r="F128" s="108">
        <v>0</v>
      </c>
      <c r="G128" s="108">
        <v>0</v>
      </c>
      <c r="H128" s="109">
        <v>38990.191102216224</v>
      </c>
      <c r="I128" s="114">
        <v>0</v>
      </c>
      <c r="J128" s="110">
        <v>0</v>
      </c>
    </row>
    <row r="129" spans="1:10" ht="23.1" customHeight="1" x14ac:dyDescent="0.25">
      <c r="A129" s="105" t="s">
        <v>570</v>
      </c>
      <c r="B129" s="105" t="s">
        <v>298</v>
      </c>
      <c r="C129" s="106" t="s">
        <v>302</v>
      </c>
      <c r="D129" s="107" t="s">
        <v>303</v>
      </c>
      <c r="E129" s="108" t="s">
        <v>30</v>
      </c>
      <c r="F129" s="108">
        <v>0</v>
      </c>
      <c r="G129" s="108">
        <v>0</v>
      </c>
      <c r="H129" s="109">
        <v>137097.79284456529</v>
      </c>
      <c r="I129" s="114">
        <v>0</v>
      </c>
      <c r="J129" s="110">
        <v>0</v>
      </c>
    </row>
    <row r="130" spans="1:10" ht="23.1" customHeight="1" x14ac:dyDescent="0.25">
      <c r="A130" s="105" t="s">
        <v>571</v>
      </c>
      <c r="B130" s="105" t="s">
        <v>298</v>
      </c>
      <c r="C130" s="106" t="s">
        <v>304</v>
      </c>
      <c r="D130" s="107" t="s">
        <v>305</v>
      </c>
      <c r="E130" s="108" t="s">
        <v>30</v>
      </c>
      <c r="F130" s="108">
        <v>0</v>
      </c>
      <c r="G130" s="108">
        <v>0</v>
      </c>
      <c r="H130" s="109">
        <v>51528.42460259873</v>
      </c>
      <c r="I130" s="114">
        <v>0</v>
      </c>
      <c r="J130" s="110">
        <v>0</v>
      </c>
    </row>
    <row r="131" spans="1:10" ht="23.1" customHeight="1" x14ac:dyDescent="0.25">
      <c r="A131" s="105" t="s">
        <v>572</v>
      </c>
      <c r="B131" s="105" t="s">
        <v>298</v>
      </c>
      <c r="C131" s="106" t="s">
        <v>306</v>
      </c>
      <c r="D131" s="107" t="s">
        <v>307</v>
      </c>
      <c r="E131" s="108" t="s">
        <v>30</v>
      </c>
      <c r="F131" s="108">
        <v>0</v>
      </c>
      <c r="G131" s="108">
        <v>0</v>
      </c>
      <c r="H131" s="109">
        <v>32830.567881560695</v>
      </c>
      <c r="I131" s="114">
        <v>0</v>
      </c>
      <c r="J131" s="110">
        <v>1</v>
      </c>
    </row>
    <row r="132" spans="1:10" ht="23.1" customHeight="1" x14ac:dyDescent="0.25">
      <c r="A132" s="105" t="s">
        <v>573</v>
      </c>
      <c r="B132" s="105" t="s">
        <v>298</v>
      </c>
      <c r="C132" s="106" t="s">
        <v>308</v>
      </c>
      <c r="D132" s="107" t="s">
        <v>309</v>
      </c>
      <c r="E132" s="108" t="s">
        <v>30</v>
      </c>
      <c r="F132" s="108">
        <v>2944.8</v>
      </c>
      <c r="G132" s="108">
        <v>0</v>
      </c>
      <c r="H132" s="109">
        <v>46805.8602296518</v>
      </c>
      <c r="I132" s="114">
        <v>0</v>
      </c>
      <c r="J132" s="110">
        <v>1</v>
      </c>
    </row>
    <row r="133" spans="1:10" ht="23.1" customHeight="1" x14ac:dyDescent="0.25">
      <c r="A133" s="105" t="s">
        <v>574</v>
      </c>
      <c r="B133" s="105" t="s">
        <v>298</v>
      </c>
      <c r="C133" s="106" t="s">
        <v>310</v>
      </c>
      <c r="D133" s="107" t="s">
        <v>311</v>
      </c>
      <c r="E133" s="108" t="s">
        <v>30</v>
      </c>
      <c r="F133" s="108">
        <v>0</v>
      </c>
      <c r="G133" s="108">
        <v>0</v>
      </c>
      <c r="H133" s="109">
        <v>68630.404385163885</v>
      </c>
      <c r="I133" s="114">
        <v>0</v>
      </c>
      <c r="J133" s="110">
        <v>3</v>
      </c>
    </row>
    <row r="134" spans="1:10" ht="23.1" customHeight="1" x14ac:dyDescent="0.25">
      <c r="A134" s="105" t="s">
        <v>575</v>
      </c>
      <c r="B134" s="105" t="s">
        <v>298</v>
      </c>
      <c r="C134" s="106" t="s">
        <v>312</v>
      </c>
      <c r="D134" s="107" t="s">
        <v>313</v>
      </c>
      <c r="E134" s="108" t="s">
        <v>30</v>
      </c>
      <c r="F134" s="108">
        <v>0</v>
      </c>
      <c r="G134" s="108">
        <v>0</v>
      </c>
      <c r="H134" s="109">
        <v>36046.109490162788</v>
      </c>
      <c r="I134" s="114">
        <v>0</v>
      </c>
      <c r="J134" s="110">
        <v>0</v>
      </c>
    </row>
    <row r="135" spans="1:10" ht="23.1" customHeight="1" x14ac:dyDescent="0.25">
      <c r="A135" s="105" t="s">
        <v>576</v>
      </c>
      <c r="B135" s="105" t="s">
        <v>298</v>
      </c>
      <c r="C135" s="106" t="s">
        <v>314</v>
      </c>
      <c r="D135" s="107" t="s">
        <v>315</v>
      </c>
      <c r="E135" s="108" t="s">
        <v>30</v>
      </c>
      <c r="F135" s="108">
        <v>13892.800000000001</v>
      </c>
      <c r="G135" s="108">
        <v>5</v>
      </c>
      <c r="H135" s="109">
        <v>77183.493193945542</v>
      </c>
      <c r="I135" s="114">
        <v>5</v>
      </c>
      <c r="J135" s="110">
        <v>3</v>
      </c>
    </row>
    <row r="136" spans="1:10" ht="23.1" customHeight="1" x14ac:dyDescent="0.25">
      <c r="A136" s="105" t="s">
        <v>577</v>
      </c>
      <c r="B136" s="105" t="s">
        <v>298</v>
      </c>
      <c r="C136" s="106" t="s">
        <v>316</v>
      </c>
      <c r="D136" s="107" t="s">
        <v>317</v>
      </c>
      <c r="E136" s="108" t="s">
        <v>30</v>
      </c>
      <c r="F136" s="108">
        <v>0</v>
      </c>
      <c r="G136" s="108">
        <v>0</v>
      </c>
      <c r="H136" s="109">
        <v>82987.699718088916</v>
      </c>
      <c r="I136" s="114">
        <v>0</v>
      </c>
      <c r="J136" s="110">
        <v>1</v>
      </c>
    </row>
    <row r="137" spans="1:10" ht="23.1" customHeight="1" x14ac:dyDescent="0.25">
      <c r="A137" s="105" t="s">
        <v>578</v>
      </c>
      <c r="B137" s="105" t="s">
        <v>298</v>
      </c>
      <c r="C137" s="106" t="s">
        <v>318</v>
      </c>
      <c r="D137" s="107" t="s">
        <v>319</v>
      </c>
      <c r="E137" s="108" t="s">
        <v>30</v>
      </c>
      <c r="F137" s="108">
        <v>5325.6</v>
      </c>
      <c r="G137" s="108">
        <v>1675</v>
      </c>
      <c r="H137" s="109">
        <v>11510.463564995986</v>
      </c>
      <c r="I137" s="114">
        <v>2235</v>
      </c>
      <c r="J137" s="110">
        <v>4</v>
      </c>
    </row>
    <row r="138" spans="1:10" ht="23.1" customHeight="1" x14ac:dyDescent="0.25">
      <c r="A138" s="105" t="s">
        <v>579</v>
      </c>
      <c r="B138" s="105" t="s">
        <v>298</v>
      </c>
      <c r="C138" s="106" t="s">
        <v>320</v>
      </c>
      <c r="D138" s="107" t="s">
        <v>321</v>
      </c>
      <c r="E138" s="108" t="s">
        <v>30</v>
      </c>
      <c r="F138" s="108">
        <v>5846.4000000000005</v>
      </c>
      <c r="G138" s="108">
        <v>0</v>
      </c>
      <c r="H138" s="109">
        <v>60012.948773076867</v>
      </c>
      <c r="I138" s="114">
        <v>0</v>
      </c>
      <c r="J138" s="110">
        <v>4</v>
      </c>
    </row>
    <row r="139" spans="1:10" ht="23.1" customHeight="1" x14ac:dyDescent="0.25">
      <c r="A139" s="105" t="s">
        <v>580</v>
      </c>
      <c r="B139" s="105" t="s">
        <v>298</v>
      </c>
      <c r="C139" s="106" t="s">
        <v>322</v>
      </c>
      <c r="D139" s="107" t="s">
        <v>323</v>
      </c>
      <c r="E139" s="108" t="s">
        <v>30</v>
      </c>
      <c r="F139" s="108">
        <v>1170.4000000000001</v>
      </c>
      <c r="G139" s="108">
        <v>0</v>
      </c>
      <c r="H139" s="109">
        <v>19603.88944147748</v>
      </c>
      <c r="I139" s="114">
        <v>0</v>
      </c>
      <c r="J139" s="110">
        <v>1</v>
      </c>
    </row>
    <row r="140" spans="1:10" ht="23.1" customHeight="1" x14ac:dyDescent="0.25">
      <c r="A140" s="105" t="s">
        <v>581</v>
      </c>
      <c r="B140" s="105" t="s">
        <v>324</v>
      </c>
      <c r="C140" s="106" t="s">
        <v>326</v>
      </c>
      <c r="D140" s="107" t="s">
        <v>327</v>
      </c>
      <c r="E140" s="108" t="s">
        <v>30</v>
      </c>
      <c r="F140" s="108">
        <v>1043.2</v>
      </c>
      <c r="G140" s="108">
        <v>0</v>
      </c>
      <c r="H140" s="109">
        <v>787.79370132418421</v>
      </c>
      <c r="I140" s="114">
        <v>0</v>
      </c>
      <c r="J140" s="110">
        <v>1</v>
      </c>
    </row>
    <row r="141" spans="1:10" ht="23.1" customHeight="1" x14ac:dyDescent="0.25">
      <c r="A141" s="105" t="s">
        <v>582</v>
      </c>
      <c r="B141" s="105" t="s">
        <v>324</v>
      </c>
      <c r="C141" s="106" t="s">
        <v>328</v>
      </c>
      <c r="D141" s="107" t="s">
        <v>329</v>
      </c>
      <c r="E141" s="108" t="s">
        <v>30</v>
      </c>
      <c r="F141" s="108">
        <v>1966.4</v>
      </c>
      <c r="G141" s="108">
        <v>0</v>
      </c>
      <c r="H141" s="109">
        <v>31668.467226232573</v>
      </c>
      <c r="I141" s="114">
        <v>0</v>
      </c>
      <c r="J141" s="110">
        <v>1</v>
      </c>
    </row>
    <row r="142" spans="1:10" ht="23.1" customHeight="1" x14ac:dyDescent="0.25">
      <c r="A142" s="105" t="s">
        <v>583</v>
      </c>
      <c r="B142" s="105" t="s">
        <v>324</v>
      </c>
      <c r="C142" s="106" t="s">
        <v>330</v>
      </c>
      <c r="D142" s="107" t="s">
        <v>331</v>
      </c>
      <c r="E142" s="108" t="s">
        <v>30</v>
      </c>
      <c r="F142" s="108">
        <v>0</v>
      </c>
      <c r="G142" s="108">
        <v>0</v>
      </c>
      <c r="H142" s="109">
        <v>962.00385374844882</v>
      </c>
      <c r="I142" s="114">
        <v>0</v>
      </c>
      <c r="J142" s="110">
        <v>0</v>
      </c>
    </row>
    <row r="143" spans="1:10" ht="23.1" customHeight="1" x14ac:dyDescent="0.25">
      <c r="A143" s="105" t="s">
        <v>584</v>
      </c>
      <c r="B143" s="105" t="s">
        <v>324</v>
      </c>
      <c r="C143" s="106" t="s">
        <v>332</v>
      </c>
      <c r="D143" s="107" t="s">
        <v>333</v>
      </c>
      <c r="E143" s="108" t="s">
        <v>30</v>
      </c>
      <c r="F143" s="108">
        <v>0</v>
      </c>
      <c r="G143" s="108">
        <v>0</v>
      </c>
      <c r="H143" s="109">
        <v>13992.783327250165</v>
      </c>
      <c r="I143" s="114">
        <v>0</v>
      </c>
      <c r="J143" s="110">
        <v>0</v>
      </c>
    </row>
    <row r="144" spans="1:10" ht="23.1" customHeight="1" x14ac:dyDescent="0.25">
      <c r="A144" s="105" t="s">
        <v>585</v>
      </c>
      <c r="B144" s="105" t="s">
        <v>324</v>
      </c>
      <c r="C144" s="106" t="s">
        <v>334</v>
      </c>
      <c r="D144" s="107" t="s">
        <v>335</v>
      </c>
      <c r="E144" s="108" t="s">
        <v>30</v>
      </c>
      <c r="F144" s="108">
        <v>0</v>
      </c>
      <c r="G144" s="108">
        <v>0</v>
      </c>
      <c r="H144" s="109">
        <v>0</v>
      </c>
      <c r="I144" s="114">
        <v>0</v>
      </c>
      <c r="J144" s="110">
        <v>0</v>
      </c>
    </row>
    <row r="145" spans="1:10" ht="23.1" customHeight="1" x14ac:dyDescent="0.25">
      <c r="A145" s="105" t="s">
        <v>586</v>
      </c>
      <c r="B145" s="105" t="s">
        <v>324</v>
      </c>
      <c r="C145" s="106" t="s">
        <v>336</v>
      </c>
      <c r="D145" s="107" t="s">
        <v>337</v>
      </c>
      <c r="E145" s="108" t="s">
        <v>30</v>
      </c>
      <c r="F145" s="108">
        <v>0</v>
      </c>
      <c r="G145" s="108">
        <v>0</v>
      </c>
      <c r="H145" s="109">
        <v>16322.581751237316</v>
      </c>
      <c r="I145" s="114">
        <v>0</v>
      </c>
      <c r="J145" s="110">
        <v>0</v>
      </c>
    </row>
    <row r="146" spans="1:10" ht="23.1" customHeight="1" x14ac:dyDescent="0.25">
      <c r="A146" s="105" t="s">
        <v>587</v>
      </c>
      <c r="B146" s="105" t="s">
        <v>324</v>
      </c>
      <c r="C146" s="106" t="s">
        <v>338</v>
      </c>
      <c r="D146" s="107" t="s">
        <v>339</v>
      </c>
      <c r="E146" s="108" t="s">
        <v>30</v>
      </c>
      <c r="F146" s="108">
        <v>1000</v>
      </c>
      <c r="G146" s="108">
        <v>0</v>
      </c>
      <c r="H146" s="109">
        <v>860.55617462588509</v>
      </c>
      <c r="I146" s="114">
        <v>0</v>
      </c>
      <c r="J146" s="110">
        <v>0</v>
      </c>
    </row>
    <row r="147" spans="1:10" ht="23.1" customHeight="1" x14ac:dyDescent="0.25">
      <c r="A147" s="105" t="s">
        <v>588</v>
      </c>
      <c r="B147" s="105" t="s">
        <v>324</v>
      </c>
      <c r="C147" s="106" t="s">
        <v>322</v>
      </c>
      <c r="D147" s="107" t="s">
        <v>340</v>
      </c>
      <c r="E147" s="108" t="s">
        <v>30</v>
      </c>
      <c r="F147" s="108">
        <v>1017.6</v>
      </c>
      <c r="G147" s="108">
        <v>0</v>
      </c>
      <c r="H147" s="109">
        <v>25816.685238776554</v>
      </c>
      <c r="I147" s="114">
        <v>0</v>
      </c>
      <c r="J147" s="110">
        <v>0</v>
      </c>
    </row>
    <row r="148" spans="1:10" ht="23.1" customHeight="1" x14ac:dyDescent="0.25">
      <c r="A148" s="105" t="s">
        <v>589</v>
      </c>
      <c r="B148" s="105" t="s">
        <v>341</v>
      </c>
      <c r="C148" s="106" t="s">
        <v>343</v>
      </c>
      <c r="D148" s="107" t="s">
        <v>344</v>
      </c>
      <c r="E148" s="108" t="s">
        <v>30</v>
      </c>
      <c r="F148" s="108">
        <v>3404.8</v>
      </c>
      <c r="G148" s="108">
        <v>0</v>
      </c>
      <c r="H148" s="109">
        <v>69264.277469888315</v>
      </c>
      <c r="I148" s="114">
        <v>0</v>
      </c>
      <c r="J148" s="110">
        <v>1</v>
      </c>
    </row>
    <row r="149" spans="1:10" ht="23.1" customHeight="1" x14ac:dyDescent="0.25">
      <c r="A149" s="105" t="s">
        <v>590</v>
      </c>
      <c r="B149" s="105" t="s">
        <v>341</v>
      </c>
      <c r="C149" s="106" t="s">
        <v>341</v>
      </c>
      <c r="D149" s="107" t="s">
        <v>345</v>
      </c>
      <c r="E149" s="108" t="s">
        <v>30</v>
      </c>
      <c r="F149" s="108">
        <v>3251.2000000000003</v>
      </c>
      <c r="G149" s="108">
        <v>0</v>
      </c>
      <c r="H149" s="109">
        <v>135597.06683271771</v>
      </c>
      <c r="I149" s="114">
        <v>0</v>
      </c>
      <c r="J149" s="110">
        <v>2</v>
      </c>
    </row>
    <row r="150" spans="1:10" ht="23.1" customHeight="1" x14ac:dyDescent="0.25">
      <c r="A150" s="105" t="s">
        <v>591</v>
      </c>
      <c r="B150" s="105" t="s">
        <v>341</v>
      </c>
      <c r="C150" s="106" t="s">
        <v>346</v>
      </c>
      <c r="D150" s="107" t="s">
        <v>347</v>
      </c>
      <c r="E150" s="108" t="s">
        <v>30</v>
      </c>
      <c r="F150" s="108">
        <v>1149.6000000000001</v>
      </c>
      <c r="G150" s="108">
        <v>0</v>
      </c>
      <c r="H150" s="109">
        <v>52472.937477188119</v>
      </c>
      <c r="I150" s="114">
        <v>0</v>
      </c>
      <c r="J150" s="110">
        <v>0</v>
      </c>
    </row>
    <row r="151" spans="1:10" ht="23.1" customHeight="1" x14ac:dyDescent="0.25">
      <c r="A151" s="105" t="s">
        <v>592</v>
      </c>
      <c r="B151" s="105" t="s">
        <v>341</v>
      </c>
      <c r="C151" s="106" t="s">
        <v>348</v>
      </c>
      <c r="D151" s="107" t="s">
        <v>349</v>
      </c>
      <c r="E151" s="108" t="s">
        <v>30</v>
      </c>
      <c r="F151" s="108">
        <v>6410.4000000000005</v>
      </c>
      <c r="G151" s="108">
        <v>0</v>
      </c>
      <c r="H151" s="109">
        <v>52472.937477188119</v>
      </c>
      <c r="I151" s="114">
        <v>0</v>
      </c>
      <c r="J151" s="110">
        <v>1</v>
      </c>
    </row>
    <row r="152" spans="1:10" ht="23.1" customHeight="1" x14ac:dyDescent="0.25">
      <c r="A152" s="105" t="s">
        <v>593</v>
      </c>
      <c r="B152" s="105" t="s">
        <v>341</v>
      </c>
      <c r="C152" s="106" t="s">
        <v>350</v>
      </c>
      <c r="D152" s="107" t="s">
        <v>351</v>
      </c>
      <c r="E152" s="108" t="s">
        <v>30</v>
      </c>
      <c r="F152" s="108">
        <v>6008</v>
      </c>
      <c r="G152" s="108">
        <v>0</v>
      </c>
      <c r="H152" s="109">
        <v>22623.532083498067</v>
      </c>
      <c r="I152" s="114">
        <v>0</v>
      </c>
      <c r="J152" s="110">
        <v>1</v>
      </c>
    </row>
    <row r="153" spans="1:10" ht="23.1" customHeight="1" x14ac:dyDescent="0.25">
      <c r="A153" s="105" t="s">
        <v>594</v>
      </c>
      <c r="B153" s="105" t="s">
        <v>341</v>
      </c>
      <c r="C153" s="106" t="s">
        <v>352</v>
      </c>
      <c r="D153" s="107" t="s">
        <v>353</v>
      </c>
      <c r="E153" s="108" t="s">
        <v>30</v>
      </c>
      <c r="F153" s="108">
        <v>2371.2000000000003</v>
      </c>
      <c r="G153" s="108">
        <v>0</v>
      </c>
      <c r="H153" s="109">
        <v>140051.66940494781</v>
      </c>
      <c r="I153" s="114">
        <v>0</v>
      </c>
      <c r="J153" s="110">
        <v>0</v>
      </c>
    </row>
    <row r="154" spans="1:10" ht="23.1" customHeight="1" x14ac:dyDescent="0.25">
      <c r="A154" s="105" t="s">
        <v>595</v>
      </c>
      <c r="B154" s="105" t="s">
        <v>341</v>
      </c>
      <c r="C154" s="106" t="s">
        <v>354</v>
      </c>
      <c r="D154" s="107" t="s">
        <v>355</v>
      </c>
      <c r="E154" s="108" t="s">
        <v>30</v>
      </c>
      <c r="F154" s="108">
        <v>1596.8000000000002</v>
      </c>
      <c r="G154" s="108">
        <v>0</v>
      </c>
      <c r="H154" s="109">
        <v>23577.839906416528</v>
      </c>
      <c r="I154" s="114">
        <v>0</v>
      </c>
      <c r="J154" s="110">
        <v>2</v>
      </c>
    </row>
    <row r="155" spans="1:10" ht="23.1" customHeight="1" x14ac:dyDescent="0.25">
      <c r="A155" s="105" t="s">
        <v>596</v>
      </c>
      <c r="B155" s="105" t="s">
        <v>356</v>
      </c>
      <c r="C155" s="106" t="s">
        <v>358</v>
      </c>
      <c r="D155" s="107" t="s">
        <v>359</v>
      </c>
      <c r="E155" s="108" t="s">
        <v>30</v>
      </c>
      <c r="F155" s="108">
        <v>7402.4000000000005</v>
      </c>
      <c r="G155" s="108">
        <v>0</v>
      </c>
      <c r="H155" s="109">
        <v>1698.0242567618075</v>
      </c>
      <c r="I155" s="114">
        <v>0</v>
      </c>
      <c r="J155" s="110">
        <v>0</v>
      </c>
    </row>
    <row r="156" spans="1:10" ht="23.1" customHeight="1" x14ac:dyDescent="0.25">
      <c r="A156" s="105" t="s">
        <v>597</v>
      </c>
      <c r="B156" s="105" t="s">
        <v>356</v>
      </c>
      <c r="C156" s="106" t="s">
        <v>360</v>
      </c>
      <c r="D156" s="107" t="s">
        <v>361</v>
      </c>
      <c r="E156" s="108" t="s">
        <v>30</v>
      </c>
      <c r="F156" s="108">
        <v>707.2</v>
      </c>
      <c r="G156" s="108">
        <v>0</v>
      </c>
      <c r="H156" s="109">
        <v>7734.5109841375288</v>
      </c>
      <c r="I156" s="114">
        <v>0</v>
      </c>
      <c r="J156" s="110">
        <v>0</v>
      </c>
    </row>
    <row r="157" spans="1:10" ht="23.1" customHeight="1" x14ac:dyDescent="0.25">
      <c r="A157" s="105" t="s">
        <v>598</v>
      </c>
      <c r="B157" s="105" t="s">
        <v>356</v>
      </c>
      <c r="C157" s="106" t="s">
        <v>362</v>
      </c>
      <c r="D157" s="107" t="s">
        <v>363</v>
      </c>
      <c r="E157" s="108" t="s">
        <v>30</v>
      </c>
      <c r="F157" s="108">
        <v>1377.6000000000001</v>
      </c>
      <c r="G157" s="108">
        <v>0</v>
      </c>
      <c r="H157" s="109">
        <v>2704.8050171574569</v>
      </c>
      <c r="I157" s="114">
        <v>0</v>
      </c>
      <c r="J157" s="110">
        <v>0</v>
      </c>
    </row>
    <row r="158" spans="1:10" ht="23.1" customHeight="1" x14ac:dyDescent="0.25">
      <c r="A158" s="105" t="s">
        <v>599</v>
      </c>
      <c r="B158" s="105" t="s">
        <v>356</v>
      </c>
      <c r="C158" s="106" t="s">
        <v>364</v>
      </c>
      <c r="D158" s="107" t="s">
        <v>365</v>
      </c>
      <c r="E158" s="108" t="s">
        <v>30</v>
      </c>
      <c r="F158" s="108">
        <v>0</v>
      </c>
      <c r="G158" s="108">
        <v>0</v>
      </c>
      <c r="H158" s="109">
        <v>11411.114803372509</v>
      </c>
      <c r="I158" s="114">
        <v>0</v>
      </c>
      <c r="J158" s="110">
        <v>0</v>
      </c>
    </row>
    <row r="159" spans="1:10" ht="23.1" customHeight="1" x14ac:dyDescent="0.25">
      <c r="A159" s="105" t="s">
        <v>600</v>
      </c>
      <c r="B159" s="105" t="s">
        <v>356</v>
      </c>
      <c r="C159" s="106" t="s">
        <v>366</v>
      </c>
      <c r="D159" s="107" t="s">
        <v>367</v>
      </c>
      <c r="E159" s="108" t="s">
        <v>30</v>
      </c>
      <c r="F159" s="108">
        <v>3958.4</v>
      </c>
      <c r="G159" s="108">
        <v>0</v>
      </c>
      <c r="H159" s="109">
        <v>132.23180244251407</v>
      </c>
      <c r="I159" s="114">
        <v>0</v>
      </c>
      <c r="J159" s="110">
        <v>0</v>
      </c>
    </row>
    <row r="160" spans="1:10" ht="23.1" customHeight="1" x14ac:dyDescent="0.25">
      <c r="A160" s="105" t="s">
        <v>601</v>
      </c>
      <c r="B160" s="105" t="s">
        <v>356</v>
      </c>
      <c r="C160" s="106" t="s">
        <v>368</v>
      </c>
      <c r="D160" s="107" t="s">
        <v>369</v>
      </c>
      <c r="E160" s="108" t="s">
        <v>30</v>
      </c>
      <c r="F160" s="108">
        <v>1736.8000000000002</v>
      </c>
      <c r="G160" s="108">
        <v>0</v>
      </c>
      <c r="H160" s="109">
        <v>2039.4481699467115</v>
      </c>
      <c r="I160" s="114">
        <v>0</v>
      </c>
      <c r="J160" s="110">
        <v>0</v>
      </c>
    </row>
    <row r="161" spans="1:10" ht="23.1" customHeight="1" x14ac:dyDescent="0.25">
      <c r="A161" s="105" t="s">
        <v>602</v>
      </c>
      <c r="B161" s="105" t="s">
        <v>356</v>
      </c>
      <c r="C161" s="106" t="s">
        <v>370</v>
      </c>
      <c r="D161" s="107" t="s">
        <v>371</v>
      </c>
      <c r="E161" s="108" t="s">
        <v>30</v>
      </c>
      <c r="F161" s="108">
        <v>950.40000000000009</v>
      </c>
      <c r="G161" s="108">
        <v>0</v>
      </c>
      <c r="H161" s="109">
        <v>116342.99697442149</v>
      </c>
      <c r="I161" s="114">
        <v>0</v>
      </c>
      <c r="J161" s="110">
        <v>2</v>
      </c>
    </row>
    <row r="162" spans="1:10" ht="23.1" customHeight="1" x14ac:dyDescent="0.25">
      <c r="A162" s="105" t="s">
        <v>603</v>
      </c>
      <c r="B162" s="105" t="s">
        <v>356</v>
      </c>
      <c r="C162" s="106" t="s">
        <v>372</v>
      </c>
      <c r="D162" s="107" t="s">
        <v>373</v>
      </c>
      <c r="E162" s="108" t="s">
        <v>30</v>
      </c>
      <c r="F162" s="108">
        <v>0</v>
      </c>
      <c r="G162" s="108">
        <v>0</v>
      </c>
      <c r="H162" s="109">
        <v>105998.83189975181</v>
      </c>
      <c r="I162" s="114">
        <v>0</v>
      </c>
      <c r="J162" s="110">
        <v>1</v>
      </c>
    </row>
    <row r="163" spans="1:10" ht="23.1" customHeight="1" x14ac:dyDescent="0.25">
      <c r="A163" s="105" t="s">
        <v>604</v>
      </c>
      <c r="B163" s="105" t="s">
        <v>374</v>
      </c>
      <c r="C163" s="106" t="s">
        <v>376</v>
      </c>
      <c r="D163" s="107" t="s">
        <v>377</v>
      </c>
      <c r="E163" s="108" t="s">
        <v>30</v>
      </c>
      <c r="F163" s="108">
        <v>899.2</v>
      </c>
      <c r="G163" s="108">
        <v>0</v>
      </c>
      <c r="H163" s="109">
        <v>43651.187228523253</v>
      </c>
      <c r="I163" s="114">
        <v>0</v>
      </c>
      <c r="J163" s="110">
        <v>1</v>
      </c>
    </row>
    <row r="164" spans="1:10" ht="23.1" customHeight="1" x14ac:dyDescent="0.25">
      <c r="A164" s="105" t="s">
        <v>605</v>
      </c>
      <c r="B164" s="105" t="s">
        <v>374</v>
      </c>
      <c r="C164" s="106" t="s">
        <v>378</v>
      </c>
      <c r="D164" s="107" t="s">
        <v>379</v>
      </c>
      <c r="E164" s="108" t="s">
        <v>30</v>
      </c>
      <c r="F164" s="108">
        <v>6135.2000000000007</v>
      </c>
      <c r="G164" s="108">
        <v>0</v>
      </c>
      <c r="H164" s="109">
        <v>65803.862153059352</v>
      </c>
      <c r="I164" s="114">
        <v>0</v>
      </c>
      <c r="J164" s="110">
        <v>0</v>
      </c>
    </row>
    <row r="165" spans="1:10" ht="23.1" customHeight="1" x14ac:dyDescent="0.25">
      <c r="A165" s="105" t="s">
        <v>606</v>
      </c>
      <c r="B165" s="105" t="s">
        <v>374</v>
      </c>
      <c r="C165" s="106" t="s">
        <v>380</v>
      </c>
      <c r="D165" s="107" t="s">
        <v>381</v>
      </c>
      <c r="E165" s="108" t="s">
        <v>30</v>
      </c>
      <c r="F165" s="108">
        <v>6472</v>
      </c>
      <c r="G165" s="108">
        <v>0</v>
      </c>
      <c r="H165" s="109">
        <v>76419.487224277691</v>
      </c>
      <c r="I165" s="114">
        <v>0</v>
      </c>
      <c r="J165" s="110">
        <v>2</v>
      </c>
    </row>
    <row r="166" spans="1:10" ht="23.1" customHeight="1" x14ac:dyDescent="0.25">
      <c r="A166" s="105" t="s">
        <v>607</v>
      </c>
      <c r="B166" s="105" t="s">
        <v>374</v>
      </c>
      <c r="C166" s="106" t="s">
        <v>382</v>
      </c>
      <c r="D166" s="107" t="s">
        <v>383</v>
      </c>
      <c r="E166" s="108" t="s">
        <v>30</v>
      </c>
      <c r="F166" s="108">
        <v>7033.6</v>
      </c>
      <c r="G166" s="108">
        <v>0</v>
      </c>
      <c r="H166" s="109">
        <v>91542.187805203299</v>
      </c>
      <c r="I166" s="114">
        <v>0</v>
      </c>
      <c r="J166" s="110">
        <v>3</v>
      </c>
    </row>
    <row r="167" spans="1:10" ht="23.1" customHeight="1" x14ac:dyDescent="0.25">
      <c r="A167" s="105" t="s">
        <v>608</v>
      </c>
      <c r="B167" s="105" t="s">
        <v>374</v>
      </c>
      <c r="C167" s="106" t="s">
        <v>384</v>
      </c>
      <c r="D167" s="107" t="s">
        <v>385</v>
      </c>
      <c r="E167" s="108" t="s">
        <v>30</v>
      </c>
      <c r="F167" s="108">
        <v>6632</v>
      </c>
      <c r="G167" s="108">
        <v>0</v>
      </c>
      <c r="H167" s="109">
        <v>68269.390575320824</v>
      </c>
      <c r="I167" s="114">
        <v>0</v>
      </c>
      <c r="J167" s="110">
        <v>1</v>
      </c>
    </row>
    <row r="168" spans="1:10" ht="23.1" customHeight="1" x14ac:dyDescent="0.25">
      <c r="A168" s="105" t="s">
        <v>609</v>
      </c>
      <c r="B168" s="105" t="s">
        <v>374</v>
      </c>
      <c r="C168" s="106" t="s">
        <v>386</v>
      </c>
      <c r="D168" s="107" t="s">
        <v>387</v>
      </c>
      <c r="E168" s="108" t="s">
        <v>30</v>
      </c>
      <c r="F168" s="108">
        <v>1591.2</v>
      </c>
      <c r="G168" s="108">
        <v>0</v>
      </c>
      <c r="H168" s="109">
        <v>77622.866590421196</v>
      </c>
      <c r="I168" s="114">
        <v>0</v>
      </c>
      <c r="J168" s="110">
        <v>1</v>
      </c>
    </row>
    <row r="169" spans="1:10" ht="23.1" customHeight="1" x14ac:dyDescent="0.25">
      <c r="A169" s="105" t="s">
        <v>610</v>
      </c>
      <c r="B169" s="105" t="s">
        <v>374</v>
      </c>
      <c r="C169" s="106" t="s">
        <v>388</v>
      </c>
      <c r="D169" s="107" t="s">
        <v>389</v>
      </c>
      <c r="E169" s="108" t="s">
        <v>30</v>
      </c>
      <c r="F169" s="108">
        <v>996.80000000000007</v>
      </c>
      <c r="G169" s="108">
        <v>0</v>
      </c>
      <c r="H169" s="109">
        <v>37100.465713871083</v>
      </c>
      <c r="I169" s="114">
        <v>0</v>
      </c>
      <c r="J169" s="110">
        <v>0</v>
      </c>
    </row>
    <row r="170" spans="1:10" ht="23.1" customHeight="1" x14ac:dyDescent="0.25">
      <c r="A170" s="105" t="s">
        <v>611</v>
      </c>
      <c r="B170" s="105" t="s">
        <v>390</v>
      </c>
      <c r="C170" s="106" t="s">
        <v>392</v>
      </c>
      <c r="D170" s="107" t="s">
        <v>393</v>
      </c>
      <c r="E170" s="108" t="s">
        <v>30</v>
      </c>
      <c r="F170" s="108">
        <v>2897.6000000000004</v>
      </c>
      <c r="G170" s="108">
        <v>375</v>
      </c>
      <c r="H170" s="109">
        <v>67596.337697280091</v>
      </c>
      <c r="I170" s="114">
        <v>80</v>
      </c>
      <c r="J170" s="110">
        <v>2</v>
      </c>
    </row>
    <row r="171" spans="1:10" ht="23.1" customHeight="1" x14ac:dyDescent="0.25">
      <c r="A171" s="105" t="s">
        <v>612</v>
      </c>
      <c r="B171" s="105" t="s">
        <v>390</v>
      </c>
      <c r="C171" s="106" t="s">
        <v>394</v>
      </c>
      <c r="D171" s="107" t="s">
        <v>395</v>
      </c>
      <c r="E171" s="108" t="s">
        <v>30</v>
      </c>
      <c r="F171" s="108">
        <v>1432</v>
      </c>
      <c r="G171" s="108">
        <v>0</v>
      </c>
      <c r="H171" s="109">
        <v>16229.529742111103</v>
      </c>
      <c r="I171" s="114">
        <v>0</v>
      </c>
      <c r="J171" s="110">
        <v>1</v>
      </c>
    </row>
    <row r="172" spans="1:10" ht="23.1" customHeight="1" x14ac:dyDescent="0.25">
      <c r="A172" s="105" t="s">
        <v>613</v>
      </c>
      <c r="B172" s="105" t="s">
        <v>390</v>
      </c>
      <c r="C172" s="106" t="s">
        <v>396</v>
      </c>
      <c r="D172" s="107" t="s">
        <v>397</v>
      </c>
      <c r="E172" s="108" t="s">
        <v>30</v>
      </c>
      <c r="F172" s="108">
        <v>1417.6000000000001</v>
      </c>
      <c r="G172" s="108">
        <v>0</v>
      </c>
      <c r="H172" s="109">
        <v>30070.491370260603</v>
      </c>
      <c r="I172" s="114">
        <v>135</v>
      </c>
      <c r="J172" s="110">
        <v>0</v>
      </c>
    </row>
    <row r="173" spans="1:10" ht="23.1" customHeight="1" x14ac:dyDescent="0.25">
      <c r="A173" s="105" t="s">
        <v>614</v>
      </c>
      <c r="B173" s="105" t="s">
        <v>390</v>
      </c>
      <c r="C173" s="106" t="s">
        <v>398</v>
      </c>
      <c r="D173" s="107" t="s">
        <v>399</v>
      </c>
      <c r="E173" s="108" t="s">
        <v>30</v>
      </c>
      <c r="F173" s="108">
        <v>9779.2000000000007</v>
      </c>
      <c r="G173" s="108">
        <v>0</v>
      </c>
      <c r="H173" s="109">
        <v>84626.254645709909</v>
      </c>
      <c r="I173" s="114">
        <v>165</v>
      </c>
      <c r="J173" s="110">
        <v>1</v>
      </c>
    </row>
    <row r="174" spans="1:10" ht="23.1" customHeight="1" x14ac:dyDescent="0.25">
      <c r="A174" s="105" t="s">
        <v>615</v>
      </c>
      <c r="B174" s="105" t="s">
        <v>390</v>
      </c>
      <c r="C174" s="106" t="s">
        <v>400</v>
      </c>
      <c r="D174" s="107" t="s">
        <v>401</v>
      </c>
      <c r="E174" s="108" t="s">
        <v>30</v>
      </c>
      <c r="F174" s="108">
        <v>1289.6000000000001</v>
      </c>
      <c r="G174" s="108">
        <v>0</v>
      </c>
      <c r="H174" s="109">
        <v>30034.809772776116</v>
      </c>
      <c r="I174" s="114">
        <v>0</v>
      </c>
      <c r="J174" s="110">
        <v>1</v>
      </c>
    </row>
    <row r="175" spans="1:10" ht="23.1" customHeight="1" x14ac:dyDescent="0.25">
      <c r="A175" s="105" t="s">
        <v>616</v>
      </c>
      <c r="B175" s="105" t="s">
        <v>390</v>
      </c>
      <c r="C175" s="106" t="s">
        <v>402</v>
      </c>
      <c r="D175" s="107" t="s">
        <v>403</v>
      </c>
      <c r="E175" s="108" t="s">
        <v>30</v>
      </c>
      <c r="F175" s="108">
        <v>6702.4000000000005</v>
      </c>
      <c r="G175" s="108">
        <v>0</v>
      </c>
      <c r="H175" s="109">
        <v>56931.03824525002</v>
      </c>
      <c r="I175" s="114">
        <v>0</v>
      </c>
      <c r="J175" s="110">
        <v>1</v>
      </c>
    </row>
    <row r="176" spans="1:10" ht="23.1" customHeight="1" x14ac:dyDescent="0.25">
      <c r="A176" s="105" t="s">
        <v>617</v>
      </c>
      <c r="B176" s="105" t="s">
        <v>390</v>
      </c>
      <c r="C176" s="106" t="s">
        <v>404</v>
      </c>
      <c r="D176" s="107" t="s">
        <v>405</v>
      </c>
      <c r="E176" s="108" t="s">
        <v>30</v>
      </c>
      <c r="F176" s="108">
        <v>6478.4000000000005</v>
      </c>
      <c r="G176" s="108">
        <v>0</v>
      </c>
      <c r="H176" s="109">
        <v>56386.718973819989</v>
      </c>
      <c r="I176" s="114">
        <v>0</v>
      </c>
      <c r="J176" s="110">
        <v>2</v>
      </c>
    </row>
    <row r="177" spans="1:10" ht="23.1" customHeight="1" x14ac:dyDescent="0.25">
      <c r="A177" s="105" t="s">
        <v>618</v>
      </c>
      <c r="B177" s="105" t="s">
        <v>406</v>
      </c>
      <c r="C177" s="106" t="s">
        <v>408</v>
      </c>
      <c r="D177" s="107" t="s">
        <v>409</v>
      </c>
      <c r="E177" s="108" t="s">
        <v>30</v>
      </c>
      <c r="F177" s="108">
        <v>0</v>
      </c>
      <c r="G177" s="108">
        <v>0</v>
      </c>
      <c r="H177" s="109">
        <v>1399.2783327250165</v>
      </c>
      <c r="I177" s="114">
        <v>0</v>
      </c>
      <c r="J177" s="110">
        <v>0</v>
      </c>
    </row>
    <row r="178" spans="1:10" ht="23.1" customHeight="1" x14ac:dyDescent="0.25">
      <c r="A178" s="105" t="s">
        <v>619</v>
      </c>
      <c r="B178" s="105" t="s">
        <v>406</v>
      </c>
      <c r="C178" s="106" t="s">
        <v>410</v>
      </c>
      <c r="D178" s="107" t="s">
        <v>411</v>
      </c>
      <c r="E178" s="108" t="s">
        <v>30</v>
      </c>
      <c r="F178" s="108">
        <v>3452.8</v>
      </c>
      <c r="G178" s="108">
        <v>0</v>
      </c>
      <c r="H178" s="109">
        <v>142.72638993795167</v>
      </c>
      <c r="I178" s="114">
        <v>0</v>
      </c>
      <c r="J178" s="110">
        <v>0</v>
      </c>
    </row>
    <row r="179" spans="1:10" ht="23.1" customHeight="1" x14ac:dyDescent="0.25">
      <c r="A179" s="105" t="s">
        <v>620</v>
      </c>
      <c r="B179" s="105" t="s">
        <v>406</v>
      </c>
      <c r="C179" s="106" t="s">
        <v>412</v>
      </c>
      <c r="D179" s="107" t="s">
        <v>413</v>
      </c>
      <c r="E179" s="108" t="s">
        <v>30</v>
      </c>
      <c r="F179" s="108">
        <v>0</v>
      </c>
      <c r="G179" s="108">
        <v>0</v>
      </c>
      <c r="H179" s="109">
        <v>24837.190405869042</v>
      </c>
      <c r="I179" s="114">
        <v>0</v>
      </c>
      <c r="J179" s="110">
        <v>0</v>
      </c>
    </row>
    <row r="180" spans="1:10" ht="23.1" customHeight="1" x14ac:dyDescent="0.25">
      <c r="A180" s="105" t="s">
        <v>621</v>
      </c>
      <c r="B180" s="105" t="s">
        <v>406</v>
      </c>
      <c r="C180" s="106" t="s">
        <v>414</v>
      </c>
      <c r="D180" s="107" t="s">
        <v>415</v>
      </c>
      <c r="E180" s="108" t="s">
        <v>30</v>
      </c>
      <c r="F180" s="108">
        <v>0</v>
      </c>
      <c r="G180" s="108">
        <v>0</v>
      </c>
      <c r="H180" s="109">
        <v>0</v>
      </c>
      <c r="I180" s="114">
        <v>0</v>
      </c>
      <c r="J180" s="110">
        <v>0</v>
      </c>
    </row>
    <row r="181" spans="1:10" ht="23.1" customHeight="1" x14ac:dyDescent="0.25">
      <c r="A181" s="105" t="s">
        <v>622</v>
      </c>
      <c r="B181" s="105" t="s">
        <v>406</v>
      </c>
      <c r="C181" s="106" t="s">
        <v>416</v>
      </c>
      <c r="D181" s="107" t="s">
        <v>417</v>
      </c>
      <c r="E181" s="108" t="s">
        <v>30</v>
      </c>
      <c r="F181" s="108">
        <v>0</v>
      </c>
      <c r="G181" s="108">
        <v>0</v>
      </c>
      <c r="H181" s="109">
        <v>0</v>
      </c>
      <c r="I181" s="114">
        <v>0</v>
      </c>
      <c r="J181" s="110">
        <v>0</v>
      </c>
    </row>
    <row r="182" spans="1:10" ht="23.1" customHeight="1" x14ac:dyDescent="0.25">
      <c r="A182" s="105" t="s">
        <v>623</v>
      </c>
      <c r="B182" s="105" t="s">
        <v>406</v>
      </c>
      <c r="C182" s="106" t="s">
        <v>418</v>
      </c>
      <c r="D182" s="107" t="s">
        <v>419</v>
      </c>
      <c r="E182" s="108" t="s">
        <v>30</v>
      </c>
      <c r="F182" s="108">
        <v>0</v>
      </c>
      <c r="G182" s="108">
        <v>0</v>
      </c>
      <c r="H182" s="109">
        <v>5247.2937477188116</v>
      </c>
      <c r="I182" s="114">
        <v>0</v>
      </c>
      <c r="J182" s="110">
        <v>1</v>
      </c>
    </row>
    <row r="183" spans="1:10" ht="23.1" customHeight="1" x14ac:dyDescent="0.25">
      <c r="A183" s="105" t="s">
        <v>624</v>
      </c>
      <c r="B183" s="105" t="s">
        <v>406</v>
      </c>
      <c r="C183" s="106" t="s">
        <v>420</v>
      </c>
      <c r="D183" s="107" t="s">
        <v>421</v>
      </c>
      <c r="E183" s="108" t="s">
        <v>30</v>
      </c>
      <c r="F183" s="108">
        <v>0</v>
      </c>
      <c r="G183" s="108">
        <v>0</v>
      </c>
      <c r="H183" s="109">
        <v>403621.83507453097</v>
      </c>
      <c r="I183" s="114">
        <v>0</v>
      </c>
      <c r="J183" s="110">
        <v>0</v>
      </c>
    </row>
    <row r="184" spans="1:10" ht="23.1" customHeight="1" x14ac:dyDescent="0.25">
      <c r="A184" s="105" t="s">
        <v>625</v>
      </c>
      <c r="B184" s="105" t="s">
        <v>406</v>
      </c>
      <c r="C184" s="106" t="s">
        <v>422</v>
      </c>
      <c r="D184" s="107" t="s">
        <v>423</v>
      </c>
      <c r="E184" s="108" t="s">
        <v>30</v>
      </c>
      <c r="F184" s="108">
        <v>0</v>
      </c>
      <c r="G184" s="108">
        <v>0</v>
      </c>
      <c r="H184" s="109">
        <v>0</v>
      </c>
      <c r="I184" s="114">
        <v>0</v>
      </c>
      <c r="J184" s="110">
        <v>0</v>
      </c>
    </row>
    <row r="185" spans="1:10" ht="23.1" customHeight="1" x14ac:dyDescent="0.25">
      <c r="A185" s="105" t="s">
        <v>626</v>
      </c>
      <c r="B185" s="105" t="s">
        <v>406</v>
      </c>
      <c r="C185" s="106" t="s">
        <v>424</v>
      </c>
      <c r="D185" s="107" t="s">
        <v>425</v>
      </c>
      <c r="E185" s="108" t="s">
        <v>30</v>
      </c>
      <c r="F185" s="108">
        <v>0</v>
      </c>
      <c r="G185" s="108">
        <v>0</v>
      </c>
      <c r="H185" s="109">
        <v>503.74019978100591</v>
      </c>
      <c r="I185" s="114">
        <v>0</v>
      </c>
      <c r="J185" s="110">
        <v>0</v>
      </c>
    </row>
    <row r="186" spans="1:10" ht="23.1" customHeight="1" x14ac:dyDescent="0.25">
      <c r="A186" s="105" t="s">
        <v>627</v>
      </c>
      <c r="B186" s="105" t="s">
        <v>406</v>
      </c>
      <c r="C186" s="106" t="s">
        <v>426</v>
      </c>
      <c r="D186" s="107" t="s">
        <v>427</v>
      </c>
      <c r="E186" s="108" t="s">
        <v>30</v>
      </c>
      <c r="F186" s="108">
        <v>1400</v>
      </c>
      <c r="G186" s="108">
        <v>0</v>
      </c>
      <c r="H186" s="109">
        <v>6609.4912046266154</v>
      </c>
      <c r="I186" s="114">
        <v>0</v>
      </c>
      <c r="J186" s="110">
        <v>0</v>
      </c>
    </row>
    <row r="187" spans="1:10" ht="23.1" customHeight="1" x14ac:dyDescent="0.25">
      <c r="A187" s="105" t="s">
        <v>628</v>
      </c>
      <c r="B187" s="105" t="s">
        <v>406</v>
      </c>
      <c r="C187" s="106" t="s">
        <v>428</v>
      </c>
      <c r="D187" s="107" t="s">
        <v>429</v>
      </c>
      <c r="E187" s="108" t="s">
        <v>30</v>
      </c>
      <c r="F187" s="108">
        <v>0</v>
      </c>
      <c r="G187" s="108">
        <v>0</v>
      </c>
      <c r="H187" s="109">
        <v>46092.228279962044</v>
      </c>
      <c r="I187" s="114">
        <v>0</v>
      </c>
      <c r="J187" s="110">
        <v>1</v>
      </c>
    </row>
    <row r="188" spans="1:10" ht="23.1" customHeight="1" x14ac:dyDescent="0.25">
      <c r="A188" s="105" t="s">
        <v>629</v>
      </c>
      <c r="B188" s="105" t="s">
        <v>406</v>
      </c>
      <c r="C188" s="106" t="s">
        <v>430</v>
      </c>
      <c r="D188" s="107" t="s">
        <v>431</v>
      </c>
      <c r="E188" s="108" t="s">
        <v>30</v>
      </c>
      <c r="F188" s="108">
        <v>0</v>
      </c>
      <c r="G188" s="108">
        <v>0</v>
      </c>
      <c r="H188" s="109">
        <v>153.92061659975181</v>
      </c>
      <c r="I188" s="114">
        <v>0</v>
      </c>
      <c r="J188" s="110">
        <v>0</v>
      </c>
    </row>
    <row r="189" spans="1:10" ht="23.1" customHeight="1" x14ac:dyDescent="0.25">
      <c r="A189" s="105" t="s">
        <v>630</v>
      </c>
      <c r="B189" s="105" t="s">
        <v>406</v>
      </c>
      <c r="C189" s="106" t="s">
        <v>432</v>
      </c>
      <c r="D189" s="107" t="s">
        <v>433</v>
      </c>
      <c r="E189" s="108" t="s">
        <v>30</v>
      </c>
      <c r="F189" s="108">
        <v>0</v>
      </c>
      <c r="G189" s="108"/>
      <c r="H189" s="109">
        <v>0</v>
      </c>
      <c r="I189" s="114">
        <v>0</v>
      </c>
      <c r="J189" s="110">
        <v>0</v>
      </c>
    </row>
    <row r="190" spans="1:10" ht="23.1" customHeight="1" x14ac:dyDescent="0.25">
      <c r="A190" s="105" t="s">
        <v>631</v>
      </c>
      <c r="B190" s="105" t="s">
        <v>406</v>
      </c>
      <c r="C190" s="106" t="s">
        <v>434</v>
      </c>
      <c r="D190" s="107" t="s">
        <v>435</v>
      </c>
      <c r="E190" s="108" t="s">
        <v>30</v>
      </c>
      <c r="F190" s="108">
        <v>0</v>
      </c>
      <c r="G190" s="108"/>
      <c r="H190" s="109">
        <v>10.494587495437623</v>
      </c>
      <c r="I190" s="114">
        <v>0</v>
      </c>
      <c r="J190" s="110">
        <v>0</v>
      </c>
    </row>
    <row r="191" spans="1:10" ht="23.1" customHeight="1" x14ac:dyDescent="0.25">
      <c r="A191" s="105" t="s">
        <v>632</v>
      </c>
      <c r="B191" s="105" t="s">
        <v>26</v>
      </c>
      <c r="C191" s="106" t="s">
        <v>28</v>
      </c>
      <c r="D191" s="107" t="s">
        <v>29</v>
      </c>
      <c r="E191" s="108" t="s">
        <v>436</v>
      </c>
      <c r="F191" s="108">
        <v>1181</v>
      </c>
      <c r="G191" s="108">
        <v>0</v>
      </c>
      <c r="H191" s="109">
        <v>17116.228992617747</v>
      </c>
      <c r="I191" s="114">
        <v>0</v>
      </c>
      <c r="J191" s="110">
        <v>1</v>
      </c>
    </row>
    <row r="192" spans="1:10" ht="23.1" customHeight="1" x14ac:dyDescent="0.25">
      <c r="A192" s="105" t="s">
        <v>633</v>
      </c>
      <c r="B192" s="105" t="s">
        <v>26</v>
      </c>
      <c r="C192" s="106" t="s">
        <v>31</v>
      </c>
      <c r="D192" s="107" t="s">
        <v>32</v>
      </c>
      <c r="E192" s="108" t="s">
        <v>436</v>
      </c>
      <c r="F192" s="108">
        <v>507</v>
      </c>
      <c r="G192" s="108">
        <v>0</v>
      </c>
      <c r="H192" s="109">
        <v>811.32015939789574</v>
      </c>
      <c r="I192" s="114">
        <v>0</v>
      </c>
      <c r="J192" s="110">
        <v>0</v>
      </c>
    </row>
    <row r="193" spans="1:10" ht="23.1" customHeight="1" x14ac:dyDescent="0.25">
      <c r="A193" s="105" t="s">
        <v>634</v>
      </c>
      <c r="B193" s="105" t="s">
        <v>26</v>
      </c>
      <c r="C193" s="106" t="s">
        <v>33</v>
      </c>
      <c r="D193" s="107" t="s">
        <v>34</v>
      </c>
      <c r="E193" s="108" t="s">
        <v>436</v>
      </c>
      <c r="F193" s="108">
        <v>712</v>
      </c>
      <c r="G193" s="108">
        <v>0</v>
      </c>
      <c r="H193" s="109">
        <v>9991.6275787918185</v>
      </c>
      <c r="I193" s="114">
        <v>0</v>
      </c>
      <c r="J193" s="110">
        <v>0</v>
      </c>
    </row>
    <row r="194" spans="1:10" ht="23.1" customHeight="1" x14ac:dyDescent="0.25">
      <c r="A194" s="105" t="s">
        <v>635</v>
      </c>
      <c r="B194" s="105" t="s">
        <v>26</v>
      </c>
      <c r="C194" s="106" t="s">
        <v>35</v>
      </c>
      <c r="D194" s="107" t="s">
        <v>36</v>
      </c>
      <c r="E194" s="108" t="s">
        <v>436</v>
      </c>
      <c r="F194" s="108">
        <v>1480</v>
      </c>
      <c r="G194" s="108">
        <v>0</v>
      </c>
      <c r="H194" s="109">
        <v>5709.5014735953255</v>
      </c>
      <c r="I194" s="114">
        <v>0</v>
      </c>
      <c r="J194" s="110">
        <v>0</v>
      </c>
    </row>
    <row r="195" spans="1:10" ht="23.1" customHeight="1" x14ac:dyDescent="0.25">
      <c r="A195" s="105" t="s">
        <v>636</v>
      </c>
      <c r="B195" s="105" t="s">
        <v>26</v>
      </c>
      <c r="C195" s="106" t="s">
        <v>37</v>
      </c>
      <c r="D195" s="107" t="s">
        <v>38</v>
      </c>
      <c r="E195" s="108" t="s">
        <v>436</v>
      </c>
      <c r="F195" s="108">
        <v>1498</v>
      </c>
      <c r="G195" s="108">
        <v>19320</v>
      </c>
      <c r="H195" s="109">
        <v>24298.496371326986</v>
      </c>
      <c r="I195" s="114">
        <v>33295</v>
      </c>
      <c r="J195" s="110">
        <v>2</v>
      </c>
    </row>
    <row r="196" spans="1:10" ht="23.1" customHeight="1" x14ac:dyDescent="0.25">
      <c r="A196" s="105" t="s">
        <v>637</v>
      </c>
      <c r="B196" s="105" t="s">
        <v>26</v>
      </c>
      <c r="C196" s="106" t="s">
        <v>39</v>
      </c>
      <c r="D196" s="107" t="s">
        <v>40</v>
      </c>
      <c r="E196" s="108" t="s">
        <v>436</v>
      </c>
      <c r="F196" s="108">
        <v>637</v>
      </c>
      <c r="G196" s="108">
        <v>35000</v>
      </c>
      <c r="H196" s="109">
        <v>22201.396480075422</v>
      </c>
      <c r="I196" s="114">
        <v>60000</v>
      </c>
      <c r="J196" s="110">
        <v>1</v>
      </c>
    </row>
    <row r="197" spans="1:10" ht="23.1" customHeight="1" x14ac:dyDescent="0.25">
      <c r="A197" s="105" t="s">
        <v>638</v>
      </c>
      <c r="B197" s="105" t="s">
        <v>26</v>
      </c>
      <c r="C197" s="106" t="s">
        <v>26</v>
      </c>
      <c r="D197" s="107" t="s">
        <v>41</v>
      </c>
      <c r="E197" s="108" t="s">
        <v>436</v>
      </c>
      <c r="F197" s="108">
        <v>513</v>
      </c>
      <c r="G197" s="108">
        <v>0</v>
      </c>
      <c r="H197" s="109">
        <v>28502.116831261545</v>
      </c>
      <c r="I197" s="114">
        <v>0</v>
      </c>
      <c r="J197" s="110">
        <v>0</v>
      </c>
    </row>
    <row r="198" spans="1:10" ht="23.1" customHeight="1" x14ac:dyDescent="0.25">
      <c r="A198" s="105" t="s">
        <v>639</v>
      </c>
      <c r="B198" s="105" t="s">
        <v>42</v>
      </c>
      <c r="C198" s="106" t="s">
        <v>44</v>
      </c>
      <c r="D198" s="107" t="s">
        <v>45</v>
      </c>
      <c r="E198" s="108" t="s">
        <v>436</v>
      </c>
      <c r="F198" s="108">
        <v>13240</v>
      </c>
      <c r="G198" s="108">
        <v>0</v>
      </c>
      <c r="H198" s="109">
        <v>1270.3640778749598</v>
      </c>
      <c r="I198" s="114">
        <v>3750</v>
      </c>
      <c r="J198" s="110">
        <v>0</v>
      </c>
    </row>
    <row r="199" spans="1:10" ht="23.1" customHeight="1" x14ac:dyDescent="0.25">
      <c r="A199" s="105" t="s">
        <v>640</v>
      </c>
      <c r="B199" s="105" t="s">
        <v>42</v>
      </c>
      <c r="C199" s="106" t="s">
        <v>46</v>
      </c>
      <c r="D199" s="107" t="s">
        <v>47</v>
      </c>
      <c r="E199" s="108" t="s">
        <v>436</v>
      </c>
      <c r="F199" s="108">
        <v>77840</v>
      </c>
      <c r="G199" s="108">
        <v>9500</v>
      </c>
      <c r="H199" s="109">
        <v>45061.669430203743</v>
      </c>
      <c r="I199" s="114">
        <v>14665</v>
      </c>
      <c r="J199" s="110">
        <v>1</v>
      </c>
    </row>
    <row r="200" spans="1:10" ht="23.1" customHeight="1" x14ac:dyDescent="0.25">
      <c r="A200" s="105" t="s">
        <v>641</v>
      </c>
      <c r="B200" s="105" t="s">
        <v>42</v>
      </c>
      <c r="C200" s="106" t="s">
        <v>48</v>
      </c>
      <c r="D200" s="107" t="s">
        <v>49</v>
      </c>
      <c r="E200" s="108" t="s">
        <v>436</v>
      </c>
      <c r="F200" s="108">
        <v>0</v>
      </c>
      <c r="G200" s="108">
        <v>0</v>
      </c>
      <c r="H200" s="109">
        <v>547.82666639147146</v>
      </c>
      <c r="I200" s="114">
        <v>0</v>
      </c>
      <c r="J200" s="110">
        <v>0</v>
      </c>
    </row>
    <row r="201" spans="1:10" ht="23.1" customHeight="1" x14ac:dyDescent="0.25">
      <c r="A201" s="105" t="s">
        <v>642</v>
      </c>
      <c r="B201" s="105" t="s">
        <v>42</v>
      </c>
      <c r="C201" s="106" t="s">
        <v>50</v>
      </c>
      <c r="D201" s="107" t="s">
        <v>51</v>
      </c>
      <c r="E201" s="108" t="s">
        <v>436</v>
      </c>
      <c r="F201" s="108">
        <v>0</v>
      </c>
      <c r="G201" s="108">
        <v>0</v>
      </c>
      <c r="H201" s="109">
        <v>5798.8551716570919</v>
      </c>
      <c r="I201" s="114">
        <v>0</v>
      </c>
      <c r="J201" s="110">
        <v>0</v>
      </c>
    </row>
    <row r="202" spans="1:10" ht="23.1" customHeight="1" x14ac:dyDescent="0.25">
      <c r="A202" s="105" t="s">
        <v>643</v>
      </c>
      <c r="B202" s="105" t="s">
        <v>42</v>
      </c>
      <c r="C202" s="106" t="s">
        <v>52</v>
      </c>
      <c r="D202" s="107" t="s">
        <v>53</v>
      </c>
      <c r="E202" s="108" t="s">
        <v>436</v>
      </c>
      <c r="F202" s="108">
        <v>0</v>
      </c>
      <c r="G202" s="108">
        <v>0</v>
      </c>
      <c r="H202" s="109">
        <v>441.91541405627817</v>
      </c>
      <c r="I202" s="114">
        <v>0</v>
      </c>
      <c r="J202" s="110">
        <v>0</v>
      </c>
    </row>
    <row r="203" spans="1:10" ht="23.1" customHeight="1" x14ac:dyDescent="0.25">
      <c r="A203" s="105" t="s">
        <v>644</v>
      </c>
      <c r="B203" s="105" t="s">
        <v>42</v>
      </c>
      <c r="C203" s="106" t="s">
        <v>54</v>
      </c>
      <c r="D203" s="107" t="s">
        <v>55</v>
      </c>
      <c r="E203" s="108" t="s">
        <v>436</v>
      </c>
      <c r="F203" s="108">
        <v>0</v>
      </c>
      <c r="G203" s="108">
        <v>0</v>
      </c>
      <c r="H203" s="109">
        <v>776.77767548264399</v>
      </c>
      <c r="I203" s="114">
        <v>0</v>
      </c>
      <c r="J203" s="110">
        <v>0</v>
      </c>
    </row>
    <row r="204" spans="1:10" ht="23.1" customHeight="1" x14ac:dyDescent="0.25">
      <c r="A204" s="105" t="s">
        <v>645</v>
      </c>
      <c r="B204" s="105" t="s">
        <v>42</v>
      </c>
      <c r="C204" s="106" t="s">
        <v>56</v>
      </c>
      <c r="D204" s="107" t="s">
        <v>57</v>
      </c>
      <c r="E204" s="108" t="s">
        <v>436</v>
      </c>
      <c r="F204" s="108">
        <v>0</v>
      </c>
      <c r="G204" s="108">
        <v>3500</v>
      </c>
      <c r="H204" s="109">
        <v>999.16275787918198</v>
      </c>
      <c r="I204" s="114">
        <v>7500</v>
      </c>
      <c r="J204" s="110">
        <v>1</v>
      </c>
    </row>
    <row r="205" spans="1:10" ht="23.1" customHeight="1" x14ac:dyDescent="0.25">
      <c r="A205" s="105" t="s">
        <v>646</v>
      </c>
      <c r="B205" s="105" t="s">
        <v>42</v>
      </c>
      <c r="C205" s="106" t="s">
        <v>58</v>
      </c>
      <c r="D205" s="107" t="s">
        <v>59</v>
      </c>
      <c r="E205" s="108" t="s">
        <v>436</v>
      </c>
      <c r="F205" s="108">
        <v>9893</v>
      </c>
      <c r="G205" s="108">
        <v>0</v>
      </c>
      <c r="H205" s="109">
        <v>4396.0306595947204</v>
      </c>
      <c r="I205" s="114">
        <v>0</v>
      </c>
      <c r="J205" s="110">
        <v>0</v>
      </c>
    </row>
    <row r="206" spans="1:10" ht="23.1" customHeight="1" x14ac:dyDescent="0.25">
      <c r="A206" s="105" t="s">
        <v>647</v>
      </c>
      <c r="B206" s="105" t="s">
        <v>42</v>
      </c>
      <c r="C206" s="106" t="s">
        <v>60</v>
      </c>
      <c r="D206" s="107" t="s">
        <v>61</v>
      </c>
      <c r="E206" s="108" t="s">
        <v>436</v>
      </c>
      <c r="F206" s="108">
        <v>3000</v>
      </c>
      <c r="G206" s="108">
        <v>0</v>
      </c>
      <c r="H206" s="109">
        <v>1084.2343298357523</v>
      </c>
      <c r="I206" s="114">
        <v>0</v>
      </c>
      <c r="J206" s="110">
        <v>0</v>
      </c>
    </row>
    <row r="207" spans="1:10" ht="23.1" customHeight="1" x14ac:dyDescent="0.25">
      <c r="A207" s="105" t="s">
        <v>648</v>
      </c>
      <c r="B207" s="105" t="s">
        <v>42</v>
      </c>
      <c r="C207" s="106" t="s">
        <v>62</v>
      </c>
      <c r="D207" s="107" t="s">
        <v>63</v>
      </c>
      <c r="E207" s="108" t="s">
        <v>436</v>
      </c>
      <c r="F207" s="108">
        <v>6875</v>
      </c>
      <c r="G207" s="108">
        <v>0</v>
      </c>
      <c r="H207" s="109">
        <v>5126.2758980675626</v>
      </c>
      <c r="I207" s="114">
        <v>0</v>
      </c>
      <c r="J207" s="110">
        <v>0</v>
      </c>
    </row>
    <row r="208" spans="1:10" ht="23.1" customHeight="1" x14ac:dyDescent="0.25">
      <c r="A208" s="105" t="s">
        <v>649</v>
      </c>
      <c r="B208" s="105" t="s">
        <v>42</v>
      </c>
      <c r="C208" s="106" t="s">
        <v>64</v>
      </c>
      <c r="D208" s="107" t="s">
        <v>65</v>
      </c>
      <c r="E208" s="108" t="s">
        <v>436</v>
      </c>
      <c r="F208" s="108">
        <v>431</v>
      </c>
      <c r="G208" s="108">
        <v>0</v>
      </c>
      <c r="H208" s="109">
        <v>24222.274526654488</v>
      </c>
      <c r="I208" s="114">
        <v>0</v>
      </c>
      <c r="J208" s="110">
        <v>0</v>
      </c>
    </row>
    <row r="209" spans="1:10" ht="23.1" customHeight="1" x14ac:dyDescent="0.25">
      <c r="A209" s="105" t="s">
        <v>650</v>
      </c>
      <c r="B209" s="105" t="s">
        <v>42</v>
      </c>
      <c r="C209" s="106" t="s">
        <v>66</v>
      </c>
      <c r="D209" s="107" t="s">
        <v>67</v>
      </c>
      <c r="E209" s="108" t="s">
        <v>436</v>
      </c>
      <c r="F209" s="108">
        <v>28312</v>
      </c>
      <c r="G209" s="108">
        <v>0</v>
      </c>
      <c r="H209" s="109">
        <v>2740.5607073257561</v>
      </c>
      <c r="I209" s="114">
        <v>0</v>
      </c>
      <c r="J209" s="110">
        <v>0</v>
      </c>
    </row>
    <row r="210" spans="1:10" ht="23.1" customHeight="1" x14ac:dyDescent="0.25">
      <c r="A210" s="105" t="s">
        <v>651</v>
      </c>
      <c r="B210" s="105" t="s">
        <v>42</v>
      </c>
      <c r="C210" s="106" t="s">
        <v>68</v>
      </c>
      <c r="D210" s="107" t="s">
        <v>69</v>
      </c>
      <c r="E210" s="108" t="s">
        <v>436</v>
      </c>
      <c r="F210" s="108">
        <v>0</v>
      </c>
      <c r="G210" s="108">
        <v>0</v>
      </c>
      <c r="H210" s="109">
        <v>793.90617990343003</v>
      </c>
      <c r="I210" s="114">
        <v>0</v>
      </c>
      <c r="J210" s="110">
        <v>0</v>
      </c>
    </row>
    <row r="211" spans="1:10" ht="23.1" customHeight="1" x14ac:dyDescent="0.25">
      <c r="A211" s="105" t="s">
        <v>652</v>
      </c>
      <c r="B211" s="105" t="s">
        <v>42</v>
      </c>
      <c r="C211" s="106" t="s">
        <v>70</v>
      </c>
      <c r="D211" s="107" t="s">
        <v>71</v>
      </c>
      <c r="E211" s="108" t="s">
        <v>436</v>
      </c>
      <c r="F211" s="108">
        <v>0</v>
      </c>
      <c r="G211" s="108">
        <v>2215</v>
      </c>
      <c r="H211" s="109">
        <v>678.00329998944494</v>
      </c>
      <c r="I211" s="114">
        <v>8285</v>
      </c>
      <c r="J211" s="110">
        <v>1</v>
      </c>
    </row>
    <row r="212" spans="1:10" ht="23.1" customHeight="1" x14ac:dyDescent="0.25">
      <c r="A212" s="105" t="s">
        <v>653</v>
      </c>
      <c r="B212" s="105" t="s">
        <v>42</v>
      </c>
      <c r="C212" s="106" t="s">
        <v>72</v>
      </c>
      <c r="D212" s="107" t="s">
        <v>73</v>
      </c>
      <c r="E212" s="108" t="s">
        <v>436</v>
      </c>
      <c r="F212" s="108">
        <v>0</v>
      </c>
      <c r="G212" s="108">
        <v>10145</v>
      </c>
      <c r="H212" s="109">
        <v>1211.8416877706079</v>
      </c>
      <c r="I212" s="114">
        <v>13525</v>
      </c>
      <c r="J212" s="110">
        <v>1</v>
      </c>
    </row>
    <row r="213" spans="1:10" ht="23.1" customHeight="1" x14ac:dyDescent="0.25">
      <c r="A213" s="105" t="s">
        <v>654</v>
      </c>
      <c r="B213" s="105" t="s">
        <v>42</v>
      </c>
      <c r="C213" s="106" t="s">
        <v>74</v>
      </c>
      <c r="D213" s="107" t="s">
        <v>75</v>
      </c>
      <c r="E213" s="108" t="s">
        <v>436</v>
      </c>
      <c r="F213" s="108">
        <v>25778</v>
      </c>
      <c r="G213" s="108">
        <v>0</v>
      </c>
      <c r="H213" s="109">
        <v>3944.9800431806902</v>
      </c>
      <c r="I213" s="114">
        <v>0</v>
      </c>
      <c r="J213" s="110">
        <v>0</v>
      </c>
    </row>
    <row r="214" spans="1:10" ht="23.1" customHeight="1" x14ac:dyDescent="0.25">
      <c r="A214" s="105" t="s">
        <v>655</v>
      </c>
      <c r="B214" s="105" t="s">
        <v>42</v>
      </c>
      <c r="C214" s="106" t="s">
        <v>76</v>
      </c>
      <c r="D214" s="107" t="s">
        <v>77</v>
      </c>
      <c r="E214" s="108" t="s">
        <v>436</v>
      </c>
      <c r="F214" s="108">
        <v>0</v>
      </c>
      <c r="G214" s="108">
        <v>685</v>
      </c>
      <c r="H214" s="109">
        <v>515.28250799197815</v>
      </c>
      <c r="I214" s="114">
        <v>915</v>
      </c>
      <c r="J214" s="110">
        <v>1</v>
      </c>
    </row>
    <row r="215" spans="1:10" ht="23.1" customHeight="1" x14ac:dyDescent="0.25">
      <c r="A215" s="105" t="s">
        <v>656</v>
      </c>
      <c r="B215" s="105" t="s">
        <v>78</v>
      </c>
      <c r="C215" s="106" t="s">
        <v>80</v>
      </c>
      <c r="D215" s="107" t="s">
        <v>81</v>
      </c>
      <c r="E215" s="108" t="s">
        <v>436</v>
      </c>
      <c r="F215" s="108">
        <v>4184</v>
      </c>
      <c r="G215" s="108">
        <v>0</v>
      </c>
      <c r="H215" s="109">
        <v>8.5642522103929881</v>
      </c>
      <c r="I215" s="114">
        <v>0</v>
      </c>
      <c r="J215" s="110">
        <v>0</v>
      </c>
    </row>
    <row r="216" spans="1:10" ht="23.1" customHeight="1" x14ac:dyDescent="0.25">
      <c r="A216" s="105" t="s">
        <v>657</v>
      </c>
      <c r="B216" s="105" t="s">
        <v>78</v>
      </c>
      <c r="C216" s="106" t="s">
        <v>82</v>
      </c>
      <c r="D216" s="107" t="s">
        <v>83</v>
      </c>
      <c r="E216" s="108" t="s">
        <v>436</v>
      </c>
      <c r="F216" s="108">
        <v>1000</v>
      </c>
      <c r="G216" s="108">
        <v>0</v>
      </c>
      <c r="H216" s="109">
        <v>0</v>
      </c>
      <c r="I216" s="114">
        <v>0</v>
      </c>
      <c r="J216" s="110">
        <v>0</v>
      </c>
    </row>
    <row r="217" spans="1:10" ht="23.1" customHeight="1" x14ac:dyDescent="0.25">
      <c r="A217" s="105" t="s">
        <v>658</v>
      </c>
      <c r="B217" s="105" t="s">
        <v>78</v>
      </c>
      <c r="C217" s="106" t="s">
        <v>84</v>
      </c>
      <c r="D217" s="107" t="s">
        <v>85</v>
      </c>
      <c r="E217" s="108" t="s">
        <v>436</v>
      </c>
      <c r="F217" s="108">
        <v>30737</v>
      </c>
      <c r="G217" s="108">
        <v>0</v>
      </c>
      <c r="H217" s="109">
        <v>16348.301044419175</v>
      </c>
      <c r="I217" s="114">
        <v>0</v>
      </c>
      <c r="J217" s="110">
        <v>0</v>
      </c>
    </row>
    <row r="218" spans="1:10" ht="23.1" customHeight="1" x14ac:dyDescent="0.25">
      <c r="A218" s="105" t="s">
        <v>659</v>
      </c>
      <c r="B218" s="105" t="s">
        <v>78</v>
      </c>
      <c r="C218" s="106" t="s">
        <v>86</v>
      </c>
      <c r="D218" s="107" t="s">
        <v>87</v>
      </c>
      <c r="E218" s="108" t="s">
        <v>436</v>
      </c>
      <c r="F218" s="108">
        <v>6342</v>
      </c>
      <c r="G218" s="108">
        <v>0</v>
      </c>
      <c r="H218" s="109">
        <v>231.23480968061068</v>
      </c>
      <c r="I218" s="114">
        <v>0</v>
      </c>
      <c r="J218" s="110">
        <v>0</v>
      </c>
    </row>
    <row r="219" spans="1:10" ht="23.1" customHeight="1" x14ac:dyDescent="0.25">
      <c r="A219" s="105" t="s">
        <v>660</v>
      </c>
      <c r="B219" s="105" t="s">
        <v>78</v>
      </c>
      <c r="C219" s="106" t="s">
        <v>88</v>
      </c>
      <c r="D219" s="107" t="s">
        <v>89</v>
      </c>
      <c r="E219" s="108" t="s">
        <v>436</v>
      </c>
      <c r="F219" s="108">
        <v>38</v>
      </c>
      <c r="G219" s="108">
        <v>0</v>
      </c>
      <c r="H219" s="109">
        <v>0</v>
      </c>
      <c r="I219" s="114">
        <v>0</v>
      </c>
      <c r="J219" s="110">
        <v>0</v>
      </c>
    </row>
    <row r="220" spans="1:10" ht="23.1" customHeight="1" x14ac:dyDescent="0.25">
      <c r="A220" s="105" t="s">
        <v>661</v>
      </c>
      <c r="B220" s="105" t="s">
        <v>78</v>
      </c>
      <c r="C220" s="106" t="s">
        <v>90</v>
      </c>
      <c r="D220" s="107" t="s">
        <v>91</v>
      </c>
      <c r="E220" s="108" t="s">
        <v>436</v>
      </c>
      <c r="F220" s="108">
        <v>153</v>
      </c>
      <c r="G220" s="108">
        <v>0</v>
      </c>
      <c r="H220" s="109">
        <v>13039.073990323324</v>
      </c>
      <c r="I220" s="114">
        <v>0</v>
      </c>
      <c r="J220" s="110">
        <v>0</v>
      </c>
    </row>
    <row r="221" spans="1:10" ht="23.1" customHeight="1" x14ac:dyDescent="0.25">
      <c r="A221" s="105" t="s">
        <v>662</v>
      </c>
      <c r="B221" s="105" t="s">
        <v>78</v>
      </c>
      <c r="C221" s="106" t="s">
        <v>92</v>
      </c>
      <c r="D221" s="107" t="s">
        <v>93</v>
      </c>
      <c r="E221" s="108" t="s">
        <v>436</v>
      </c>
      <c r="F221" s="108">
        <v>0</v>
      </c>
      <c r="G221" s="108">
        <v>0</v>
      </c>
      <c r="H221" s="109">
        <v>0</v>
      </c>
      <c r="I221" s="114">
        <v>0</v>
      </c>
      <c r="J221" s="110">
        <v>0</v>
      </c>
    </row>
    <row r="222" spans="1:10" ht="23.1" customHeight="1" x14ac:dyDescent="0.25">
      <c r="A222" s="105" t="s">
        <v>663</v>
      </c>
      <c r="B222" s="105" t="s">
        <v>78</v>
      </c>
      <c r="C222" s="106" t="s">
        <v>94</v>
      </c>
      <c r="D222" s="107" t="s">
        <v>95</v>
      </c>
      <c r="E222" s="108" t="s">
        <v>436</v>
      </c>
      <c r="F222" s="108">
        <v>0</v>
      </c>
      <c r="G222" s="108">
        <v>0</v>
      </c>
      <c r="H222" s="109">
        <v>1352.5808990947326</v>
      </c>
      <c r="I222" s="114">
        <v>0</v>
      </c>
      <c r="J222" s="110">
        <v>0</v>
      </c>
    </row>
    <row r="223" spans="1:10" ht="23.1" customHeight="1" x14ac:dyDescent="0.25">
      <c r="A223" s="105" t="s">
        <v>664</v>
      </c>
      <c r="B223" s="105" t="s">
        <v>78</v>
      </c>
      <c r="C223" s="106" t="s">
        <v>96</v>
      </c>
      <c r="D223" s="107" t="s">
        <v>97</v>
      </c>
      <c r="E223" s="108" t="s">
        <v>436</v>
      </c>
      <c r="F223" s="108">
        <v>0</v>
      </c>
      <c r="G223" s="108">
        <v>0</v>
      </c>
      <c r="H223" s="109">
        <v>1312.0434386322058</v>
      </c>
      <c r="I223" s="114">
        <v>0</v>
      </c>
      <c r="J223" s="110">
        <v>0</v>
      </c>
    </row>
    <row r="224" spans="1:10" ht="23.1" customHeight="1" x14ac:dyDescent="0.25">
      <c r="A224" s="105" t="s">
        <v>665</v>
      </c>
      <c r="B224" s="105" t="s">
        <v>78</v>
      </c>
      <c r="C224" s="106" t="s">
        <v>98</v>
      </c>
      <c r="D224" s="107" t="s">
        <v>99</v>
      </c>
      <c r="E224" s="108" t="s">
        <v>436</v>
      </c>
      <c r="F224" s="108">
        <v>8174</v>
      </c>
      <c r="G224" s="108">
        <v>0</v>
      </c>
      <c r="H224" s="109">
        <v>25496.064305413605</v>
      </c>
      <c r="I224" s="114">
        <v>0</v>
      </c>
      <c r="J224" s="110">
        <v>0</v>
      </c>
    </row>
    <row r="225" spans="1:10" ht="23.1" customHeight="1" x14ac:dyDescent="0.25">
      <c r="A225" s="105" t="s">
        <v>666</v>
      </c>
      <c r="B225" s="105" t="s">
        <v>78</v>
      </c>
      <c r="C225" s="106" t="s">
        <v>100</v>
      </c>
      <c r="D225" s="107" t="s">
        <v>101</v>
      </c>
      <c r="E225" s="108" t="s">
        <v>436</v>
      </c>
      <c r="F225" s="108">
        <v>0</v>
      </c>
      <c r="G225" s="108">
        <v>0</v>
      </c>
      <c r="H225" s="109">
        <v>1602.3715885645281</v>
      </c>
      <c r="I225" s="114">
        <v>0</v>
      </c>
      <c r="J225" s="110">
        <v>0</v>
      </c>
    </row>
    <row r="226" spans="1:10" ht="23.1" customHeight="1" x14ac:dyDescent="0.25">
      <c r="A226" s="105" t="s">
        <v>667</v>
      </c>
      <c r="B226" s="105" t="s">
        <v>78</v>
      </c>
      <c r="C226" s="106" t="s">
        <v>102</v>
      </c>
      <c r="D226" s="107" t="s">
        <v>103</v>
      </c>
      <c r="E226" s="108" t="s">
        <v>436</v>
      </c>
      <c r="F226" s="108">
        <v>0</v>
      </c>
      <c r="G226" s="108">
        <v>0</v>
      </c>
      <c r="H226" s="109">
        <v>0</v>
      </c>
      <c r="I226" s="114">
        <v>0</v>
      </c>
      <c r="J226" s="110">
        <v>0</v>
      </c>
    </row>
    <row r="227" spans="1:10" ht="23.1" customHeight="1" x14ac:dyDescent="0.25">
      <c r="A227" s="105" t="s">
        <v>668</v>
      </c>
      <c r="B227" s="105" t="s">
        <v>78</v>
      </c>
      <c r="C227" s="106" t="s">
        <v>104</v>
      </c>
      <c r="D227" s="107" t="s">
        <v>105</v>
      </c>
      <c r="E227" s="108" t="s">
        <v>436</v>
      </c>
      <c r="F227" s="108">
        <v>200</v>
      </c>
      <c r="G227" s="108">
        <v>0</v>
      </c>
      <c r="H227" s="109">
        <v>225.23983313333559</v>
      </c>
      <c r="I227" s="114">
        <v>0</v>
      </c>
      <c r="J227" s="110">
        <v>0</v>
      </c>
    </row>
    <row r="228" spans="1:10" ht="23.1" customHeight="1" x14ac:dyDescent="0.25">
      <c r="A228" s="105" t="s">
        <v>669</v>
      </c>
      <c r="B228" s="105" t="s">
        <v>78</v>
      </c>
      <c r="C228" s="106" t="s">
        <v>106</v>
      </c>
      <c r="D228" s="107" t="s">
        <v>107</v>
      </c>
      <c r="E228" s="108" t="s">
        <v>436</v>
      </c>
      <c r="F228" s="108">
        <v>0</v>
      </c>
      <c r="G228" s="108">
        <v>0</v>
      </c>
      <c r="H228" s="109">
        <v>0</v>
      </c>
      <c r="I228" s="114">
        <v>0</v>
      </c>
      <c r="J228" s="110">
        <v>0</v>
      </c>
    </row>
    <row r="229" spans="1:10" ht="23.1" customHeight="1" x14ac:dyDescent="0.25">
      <c r="A229" s="105" t="s">
        <v>670</v>
      </c>
      <c r="B229" s="105" t="s">
        <v>78</v>
      </c>
      <c r="C229" s="106" t="s">
        <v>108</v>
      </c>
      <c r="D229" s="107" t="s">
        <v>109</v>
      </c>
      <c r="E229" s="108" t="s">
        <v>436</v>
      </c>
      <c r="F229" s="108">
        <v>0</v>
      </c>
      <c r="G229" s="108">
        <v>0</v>
      </c>
      <c r="H229" s="109">
        <v>1427.3753683988314</v>
      </c>
      <c r="I229" s="114">
        <v>0</v>
      </c>
      <c r="J229" s="110">
        <v>0</v>
      </c>
    </row>
    <row r="230" spans="1:10" ht="23.1" customHeight="1" x14ac:dyDescent="0.25">
      <c r="A230" s="105" t="s">
        <v>671</v>
      </c>
      <c r="B230" s="105" t="s">
        <v>78</v>
      </c>
      <c r="C230" s="106" t="s">
        <v>110</v>
      </c>
      <c r="D230" s="107" t="s">
        <v>111</v>
      </c>
      <c r="E230" s="108" t="s">
        <v>436</v>
      </c>
      <c r="F230" s="108">
        <v>5300</v>
      </c>
      <c r="G230" s="108">
        <v>0</v>
      </c>
      <c r="H230" s="109">
        <v>2426.823601351693</v>
      </c>
      <c r="I230" s="114">
        <v>0</v>
      </c>
      <c r="J230" s="110">
        <v>0</v>
      </c>
    </row>
    <row r="231" spans="1:10" ht="23.1" customHeight="1" x14ac:dyDescent="0.25">
      <c r="A231" s="105" t="s">
        <v>672</v>
      </c>
      <c r="B231" s="105" t="s">
        <v>78</v>
      </c>
      <c r="C231" s="106" t="s">
        <v>112</v>
      </c>
      <c r="D231" s="107" t="s">
        <v>113</v>
      </c>
      <c r="E231" s="108" t="s">
        <v>436</v>
      </c>
      <c r="F231" s="108">
        <v>69276</v>
      </c>
      <c r="G231" s="108">
        <v>0</v>
      </c>
      <c r="H231" s="109">
        <v>35903.058116409484</v>
      </c>
      <c r="I231" s="114">
        <v>0</v>
      </c>
      <c r="J231" s="110">
        <v>1</v>
      </c>
    </row>
    <row r="232" spans="1:10" ht="23.1" customHeight="1" x14ac:dyDescent="0.25">
      <c r="A232" s="105" t="s">
        <v>673</v>
      </c>
      <c r="B232" s="105" t="s">
        <v>78</v>
      </c>
      <c r="C232" s="106" t="s">
        <v>114</v>
      </c>
      <c r="D232" s="107" t="s">
        <v>115</v>
      </c>
      <c r="E232" s="108" t="s">
        <v>436</v>
      </c>
      <c r="F232" s="108">
        <v>18326</v>
      </c>
      <c r="G232" s="108">
        <v>1250</v>
      </c>
      <c r="H232" s="109">
        <v>6762.6190203999831</v>
      </c>
      <c r="I232" s="114">
        <v>1665</v>
      </c>
      <c r="J232" s="110">
        <v>1</v>
      </c>
    </row>
    <row r="233" spans="1:10" ht="23.1" customHeight="1" x14ac:dyDescent="0.25">
      <c r="A233" s="105" t="s">
        <v>674</v>
      </c>
      <c r="B233" s="105" t="s">
        <v>78</v>
      </c>
      <c r="C233" s="106" t="s">
        <v>116</v>
      </c>
      <c r="D233" s="107" t="s">
        <v>117</v>
      </c>
      <c r="E233" s="108" t="s">
        <v>436</v>
      </c>
      <c r="F233" s="108">
        <v>0</v>
      </c>
      <c r="G233" s="108">
        <v>0</v>
      </c>
      <c r="H233" s="109">
        <v>9725.5648101222778</v>
      </c>
      <c r="I233" s="114">
        <v>7065</v>
      </c>
      <c r="J233" s="110">
        <v>0</v>
      </c>
    </row>
    <row r="234" spans="1:10" ht="23.1" customHeight="1" x14ac:dyDescent="0.25">
      <c r="A234" s="105" t="s">
        <v>675</v>
      </c>
      <c r="B234" s="105" t="s">
        <v>78</v>
      </c>
      <c r="C234" s="106" t="s">
        <v>118</v>
      </c>
      <c r="D234" s="107" t="s">
        <v>119</v>
      </c>
      <c r="E234" s="108" t="s">
        <v>436</v>
      </c>
      <c r="F234" s="108">
        <v>20702</v>
      </c>
      <c r="G234" s="108">
        <v>9251</v>
      </c>
      <c r="H234" s="109">
        <v>4235.0227180393322</v>
      </c>
      <c r="I234" s="114">
        <v>10995</v>
      </c>
      <c r="J234" s="110">
        <v>2</v>
      </c>
    </row>
    <row r="235" spans="1:10" ht="23.1" customHeight="1" x14ac:dyDescent="0.25">
      <c r="A235" s="105" t="s">
        <v>676</v>
      </c>
      <c r="B235" s="105" t="s">
        <v>78</v>
      </c>
      <c r="C235" s="106" t="s">
        <v>120</v>
      </c>
      <c r="D235" s="107" t="s">
        <v>121</v>
      </c>
      <c r="E235" s="108" t="s">
        <v>436</v>
      </c>
      <c r="F235" s="108">
        <v>0</v>
      </c>
      <c r="G235" s="108">
        <v>0</v>
      </c>
      <c r="H235" s="109">
        <v>197.26327591271848</v>
      </c>
      <c r="I235" s="114">
        <v>0</v>
      </c>
      <c r="J235" s="110">
        <v>0</v>
      </c>
    </row>
    <row r="236" spans="1:10" ht="23.1" customHeight="1" x14ac:dyDescent="0.25">
      <c r="A236" s="105" t="s">
        <v>677</v>
      </c>
      <c r="B236" s="105" t="s">
        <v>122</v>
      </c>
      <c r="C236" s="106" t="s">
        <v>124</v>
      </c>
      <c r="D236" s="107" t="s">
        <v>125</v>
      </c>
      <c r="E236" s="108" t="s">
        <v>436</v>
      </c>
      <c r="F236" s="108">
        <v>6156</v>
      </c>
      <c r="G236" s="108">
        <v>0</v>
      </c>
      <c r="H236" s="109">
        <v>695.41727948391065</v>
      </c>
      <c r="I236" s="114">
        <v>0</v>
      </c>
      <c r="J236" s="110">
        <v>0</v>
      </c>
    </row>
    <row r="237" spans="1:10" ht="23.1" customHeight="1" x14ac:dyDescent="0.25">
      <c r="A237" s="105" t="s">
        <v>678</v>
      </c>
      <c r="B237" s="105" t="s">
        <v>122</v>
      </c>
      <c r="C237" s="106" t="s">
        <v>126</v>
      </c>
      <c r="D237" s="107" t="s">
        <v>127</v>
      </c>
      <c r="E237" s="108" t="s">
        <v>436</v>
      </c>
      <c r="F237" s="108">
        <v>5148</v>
      </c>
      <c r="G237" s="108">
        <v>15465</v>
      </c>
      <c r="H237" s="109">
        <v>73498.126994518942</v>
      </c>
      <c r="I237" s="114">
        <v>21955</v>
      </c>
      <c r="J237" s="110">
        <v>1</v>
      </c>
    </row>
    <row r="238" spans="1:10" ht="23.1" customHeight="1" x14ac:dyDescent="0.25">
      <c r="A238" s="105" t="s">
        <v>679</v>
      </c>
      <c r="B238" s="105" t="s">
        <v>122</v>
      </c>
      <c r="C238" s="106" t="s">
        <v>128</v>
      </c>
      <c r="D238" s="107" t="s">
        <v>129</v>
      </c>
      <c r="E238" s="108" t="s">
        <v>436</v>
      </c>
      <c r="F238" s="108">
        <v>4300</v>
      </c>
      <c r="G238" s="108">
        <v>2500</v>
      </c>
      <c r="H238" s="109">
        <v>15964.337070319889</v>
      </c>
      <c r="I238" s="114">
        <v>10835</v>
      </c>
      <c r="J238" s="110">
        <v>1</v>
      </c>
    </row>
    <row r="239" spans="1:10" ht="23.1" customHeight="1" x14ac:dyDescent="0.25">
      <c r="A239" s="105" t="s">
        <v>680</v>
      </c>
      <c r="B239" s="105" t="s">
        <v>122</v>
      </c>
      <c r="C239" s="106" t="s">
        <v>130</v>
      </c>
      <c r="D239" s="107" t="s">
        <v>131</v>
      </c>
      <c r="E239" s="108" t="s">
        <v>436</v>
      </c>
      <c r="F239" s="108">
        <v>3800</v>
      </c>
      <c r="G239" s="108">
        <v>2500</v>
      </c>
      <c r="H239" s="109">
        <v>8333.0174007123769</v>
      </c>
      <c r="I239" s="114">
        <v>3335</v>
      </c>
      <c r="J239" s="110">
        <v>1</v>
      </c>
    </row>
    <row r="240" spans="1:10" ht="23.1" customHeight="1" x14ac:dyDescent="0.25">
      <c r="A240" s="105" t="s">
        <v>681</v>
      </c>
      <c r="B240" s="105" t="s">
        <v>122</v>
      </c>
      <c r="C240" s="106" t="s">
        <v>132</v>
      </c>
      <c r="D240" s="107" t="s">
        <v>133</v>
      </c>
      <c r="E240" s="108" t="s">
        <v>436</v>
      </c>
      <c r="F240" s="108">
        <v>12311</v>
      </c>
      <c r="G240" s="108">
        <v>4226</v>
      </c>
      <c r="H240" s="109">
        <v>19197.056804669563</v>
      </c>
      <c r="I240" s="114">
        <v>5635</v>
      </c>
      <c r="J240" s="110">
        <v>0</v>
      </c>
    </row>
    <row r="241" spans="1:10" ht="23.1" customHeight="1" x14ac:dyDescent="0.25">
      <c r="A241" s="105" t="s">
        <v>682</v>
      </c>
      <c r="B241" s="105" t="s">
        <v>122</v>
      </c>
      <c r="C241" s="106" t="s">
        <v>134</v>
      </c>
      <c r="D241" s="107" t="s">
        <v>135</v>
      </c>
      <c r="E241" s="108" t="s">
        <v>436</v>
      </c>
      <c r="F241" s="108">
        <v>13825</v>
      </c>
      <c r="G241" s="108">
        <v>0</v>
      </c>
      <c r="H241" s="109">
        <v>25821.220414334857</v>
      </c>
      <c r="I241" s="114">
        <v>0</v>
      </c>
      <c r="J241" s="110">
        <v>1</v>
      </c>
    </row>
    <row r="242" spans="1:10" ht="23.1" customHeight="1" x14ac:dyDescent="0.25">
      <c r="A242" s="105" t="s">
        <v>683</v>
      </c>
      <c r="B242" s="105" t="s">
        <v>122</v>
      </c>
      <c r="C242" s="106" t="s">
        <v>136</v>
      </c>
      <c r="D242" s="107" t="s">
        <v>137</v>
      </c>
      <c r="E242" s="108" t="s">
        <v>436</v>
      </c>
      <c r="F242" s="108">
        <v>9210</v>
      </c>
      <c r="G242" s="108">
        <v>0</v>
      </c>
      <c r="H242" s="109">
        <v>70776.122166982372</v>
      </c>
      <c r="I242" s="114">
        <v>0</v>
      </c>
      <c r="J242" s="110">
        <v>0</v>
      </c>
    </row>
    <row r="243" spans="1:10" ht="23.1" customHeight="1" x14ac:dyDescent="0.25">
      <c r="A243" s="105" t="s">
        <v>684</v>
      </c>
      <c r="B243" s="105" t="s">
        <v>122</v>
      </c>
      <c r="C243" s="106" t="s">
        <v>138</v>
      </c>
      <c r="D243" s="107" t="s">
        <v>139</v>
      </c>
      <c r="E243" s="108" t="s">
        <v>436</v>
      </c>
      <c r="F243" s="108">
        <v>1283</v>
      </c>
      <c r="G243" s="108">
        <v>0</v>
      </c>
      <c r="H243" s="109">
        <v>9103.8000996477458</v>
      </c>
      <c r="I243" s="114">
        <v>0</v>
      </c>
      <c r="J243" s="110">
        <v>2</v>
      </c>
    </row>
    <row r="244" spans="1:10" ht="23.1" customHeight="1" x14ac:dyDescent="0.25">
      <c r="A244" s="105" t="s">
        <v>685</v>
      </c>
      <c r="B244" s="105" t="s">
        <v>140</v>
      </c>
      <c r="C244" s="106" t="s">
        <v>142</v>
      </c>
      <c r="D244" s="107" t="s">
        <v>143</v>
      </c>
      <c r="E244" s="108" t="s">
        <v>436</v>
      </c>
      <c r="F244" s="108">
        <v>3986</v>
      </c>
      <c r="G244" s="108">
        <v>4500</v>
      </c>
      <c r="H244" s="109">
        <v>7927.6427960871097</v>
      </c>
      <c r="I244" s="114">
        <v>6000</v>
      </c>
      <c r="J244" s="110">
        <v>1</v>
      </c>
    </row>
    <row r="245" spans="1:10" ht="23.1" customHeight="1" x14ac:dyDescent="0.25">
      <c r="A245" s="105" t="s">
        <v>686</v>
      </c>
      <c r="B245" s="105" t="s">
        <v>140</v>
      </c>
      <c r="C245" s="106" t="s">
        <v>144</v>
      </c>
      <c r="D245" s="107" t="s">
        <v>145</v>
      </c>
      <c r="E245" s="108" t="s">
        <v>436</v>
      </c>
      <c r="F245" s="108">
        <v>6522</v>
      </c>
      <c r="G245" s="108">
        <v>0</v>
      </c>
      <c r="H245" s="109">
        <v>1539.8525474286591</v>
      </c>
      <c r="I245" s="114">
        <v>0</v>
      </c>
      <c r="J245" s="110">
        <v>0</v>
      </c>
    </row>
    <row r="246" spans="1:10" ht="23.1" customHeight="1" x14ac:dyDescent="0.25">
      <c r="A246" s="105" t="s">
        <v>687</v>
      </c>
      <c r="B246" s="105" t="s">
        <v>140</v>
      </c>
      <c r="C246" s="106" t="s">
        <v>146</v>
      </c>
      <c r="D246" s="107" t="s">
        <v>147</v>
      </c>
      <c r="E246" s="108" t="s">
        <v>436</v>
      </c>
      <c r="F246" s="108">
        <v>49531</v>
      </c>
      <c r="G246" s="108">
        <v>13790</v>
      </c>
      <c r="H246" s="109">
        <v>30210.685147234944</v>
      </c>
      <c r="I246" s="114">
        <v>20985</v>
      </c>
      <c r="J246" s="110">
        <v>3</v>
      </c>
    </row>
    <row r="247" spans="1:10" ht="23.1" customHeight="1" x14ac:dyDescent="0.25">
      <c r="A247" s="105" t="s">
        <v>688</v>
      </c>
      <c r="B247" s="105" t="s">
        <v>140</v>
      </c>
      <c r="C247" s="106" t="s">
        <v>148</v>
      </c>
      <c r="D247" s="107" t="s">
        <v>149</v>
      </c>
      <c r="E247" s="108" t="s">
        <v>436</v>
      </c>
      <c r="F247" s="108">
        <v>9279</v>
      </c>
      <c r="G247" s="108">
        <v>0</v>
      </c>
      <c r="H247" s="109">
        <v>8307.8955942285575</v>
      </c>
      <c r="I247" s="114">
        <v>0</v>
      </c>
      <c r="J247" s="110">
        <v>0</v>
      </c>
    </row>
    <row r="248" spans="1:10" ht="23.1" customHeight="1" x14ac:dyDescent="0.25">
      <c r="A248" s="105" t="s">
        <v>689</v>
      </c>
      <c r="B248" s="105" t="s">
        <v>140</v>
      </c>
      <c r="C248" s="106" t="s">
        <v>150</v>
      </c>
      <c r="D248" s="107" t="s">
        <v>151</v>
      </c>
      <c r="E248" s="108" t="s">
        <v>436</v>
      </c>
      <c r="F248" s="108">
        <v>14875</v>
      </c>
      <c r="G248" s="108">
        <v>0</v>
      </c>
      <c r="H248" s="109">
        <v>4136.5338176198129</v>
      </c>
      <c r="I248" s="114">
        <v>0</v>
      </c>
      <c r="J248" s="110">
        <v>0</v>
      </c>
    </row>
    <row r="249" spans="1:10" ht="23.1" customHeight="1" x14ac:dyDescent="0.25">
      <c r="A249" s="105" t="s">
        <v>690</v>
      </c>
      <c r="B249" s="105" t="s">
        <v>140</v>
      </c>
      <c r="C249" s="106" t="s">
        <v>152</v>
      </c>
      <c r="D249" s="107" t="s">
        <v>153</v>
      </c>
      <c r="E249" s="108" t="s">
        <v>436</v>
      </c>
      <c r="F249" s="108">
        <v>5449</v>
      </c>
      <c r="G249" s="108">
        <v>0</v>
      </c>
      <c r="H249" s="109">
        <v>6615.3138823812233</v>
      </c>
      <c r="I249" s="114">
        <v>0</v>
      </c>
      <c r="J249" s="110">
        <v>0</v>
      </c>
    </row>
    <row r="250" spans="1:10" ht="23.1" customHeight="1" x14ac:dyDescent="0.25">
      <c r="A250" s="105" t="s">
        <v>691</v>
      </c>
      <c r="B250" s="105" t="s">
        <v>140</v>
      </c>
      <c r="C250" s="106" t="s">
        <v>154</v>
      </c>
      <c r="D250" s="107" t="s">
        <v>155</v>
      </c>
      <c r="E250" s="108" t="s">
        <v>436</v>
      </c>
      <c r="F250" s="108">
        <v>5990</v>
      </c>
      <c r="G250" s="108">
        <v>0</v>
      </c>
      <c r="H250" s="109">
        <v>805.32518285062065</v>
      </c>
      <c r="I250" s="114">
        <v>0</v>
      </c>
      <c r="J250" s="110">
        <v>0</v>
      </c>
    </row>
    <row r="251" spans="1:10" ht="23.1" customHeight="1" x14ac:dyDescent="0.25">
      <c r="A251" s="105" t="s">
        <v>692</v>
      </c>
      <c r="B251" s="105" t="s">
        <v>140</v>
      </c>
      <c r="C251" s="106" t="s">
        <v>156</v>
      </c>
      <c r="D251" s="107" t="s">
        <v>157</v>
      </c>
      <c r="E251" s="108" t="s">
        <v>436</v>
      </c>
      <c r="F251" s="108">
        <v>224</v>
      </c>
      <c r="G251" s="108">
        <v>0</v>
      </c>
      <c r="H251" s="109">
        <v>1883.2790610654181</v>
      </c>
      <c r="I251" s="114">
        <v>0</v>
      </c>
      <c r="J251" s="110">
        <v>0</v>
      </c>
    </row>
    <row r="252" spans="1:10" ht="23.1" customHeight="1" x14ac:dyDescent="0.25">
      <c r="A252" s="105" t="s">
        <v>693</v>
      </c>
      <c r="B252" s="105" t="s">
        <v>140</v>
      </c>
      <c r="C252" s="106" t="s">
        <v>158</v>
      </c>
      <c r="D252" s="107" t="s">
        <v>159</v>
      </c>
      <c r="E252" s="108" t="s">
        <v>436</v>
      </c>
      <c r="F252" s="108">
        <v>23444</v>
      </c>
      <c r="G252" s="108">
        <v>0</v>
      </c>
      <c r="H252" s="109">
        <v>13412.475386696458</v>
      </c>
      <c r="I252" s="114">
        <v>0</v>
      </c>
      <c r="J252" s="110">
        <v>0</v>
      </c>
    </row>
    <row r="253" spans="1:10" ht="23.1" customHeight="1" x14ac:dyDescent="0.25">
      <c r="A253" s="105" t="s">
        <v>694</v>
      </c>
      <c r="B253" s="105" t="s">
        <v>160</v>
      </c>
      <c r="C253" s="106" t="s">
        <v>162</v>
      </c>
      <c r="D253" s="107" t="s">
        <v>163</v>
      </c>
      <c r="E253" s="108" t="s">
        <v>436</v>
      </c>
      <c r="F253" s="108">
        <v>27324</v>
      </c>
      <c r="G253" s="108">
        <v>0</v>
      </c>
      <c r="H253" s="109">
        <v>18367.466240556161</v>
      </c>
      <c r="I253" s="114">
        <v>0</v>
      </c>
      <c r="J253" s="110">
        <v>0</v>
      </c>
    </row>
    <row r="254" spans="1:10" ht="23.1" customHeight="1" x14ac:dyDescent="0.25">
      <c r="A254" s="105" t="s">
        <v>695</v>
      </c>
      <c r="B254" s="105" t="s">
        <v>160</v>
      </c>
      <c r="C254" s="106" t="s">
        <v>164</v>
      </c>
      <c r="D254" s="107" t="s">
        <v>165</v>
      </c>
      <c r="E254" s="108" t="s">
        <v>436</v>
      </c>
      <c r="F254" s="108">
        <v>4710</v>
      </c>
      <c r="G254" s="108">
        <v>2500</v>
      </c>
      <c r="H254" s="109">
        <v>12469.265743258511</v>
      </c>
      <c r="I254" s="114">
        <v>3335</v>
      </c>
      <c r="J254" s="110">
        <v>1</v>
      </c>
    </row>
    <row r="255" spans="1:10" ht="23.1" customHeight="1" x14ac:dyDescent="0.25">
      <c r="A255" s="105" t="s">
        <v>696</v>
      </c>
      <c r="B255" s="105" t="s">
        <v>160</v>
      </c>
      <c r="C255" s="106" t="s">
        <v>166</v>
      </c>
      <c r="D255" s="107" t="s">
        <v>167</v>
      </c>
      <c r="E255" s="108" t="s">
        <v>436</v>
      </c>
      <c r="F255" s="108">
        <v>0</v>
      </c>
      <c r="G255" s="108">
        <v>745</v>
      </c>
      <c r="H255" s="109">
        <v>3425.7008841571951</v>
      </c>
      <c r="I255" s="114">
        <v>995</v>
      </c>
      <c r="J255" s="110">
        <v>0</v>
      </c>
    </row>
    <row r="256" spans="1:10" ht="23.1" customHeight="1" x14ac:dyDescent="0.25">
      <c r="A256" s="105" t="s">
        <v>697</v>
      </c>
      <c r="B256" s="105" t="s">
        <v>160</v>
      </c>
      <c r="C256" s="106" t="s">
        <v>168</v>
      </c>
      <c r="D256" s="107" t="s">
        <v>169</v>
      </c>
      <c r="E256" s="108" t="s">
        <v>436</v>
      </c>
      <c r="F256" s="108">
        <v>1708</v>
      </c>
      <c r="G256" s="108">
        <v>4500</v>
      </c>
      <c r="H256" s="109">
        <v>10820.076242610501</v>
      </c>
      <c r="I256" s="114">
        <v>6000</v>
      </c>
      <c r="J256" s="110">
        <v>1</v>
      </c>
    </row>
    <row r="257" spans="1:10" ht="23.1" customHeight="1" x14ac:dyDescent="0.25">
      <c r="A257" s="105" t="s">
        <v>698</v>
      </c>
      <c r="B257" s="105" t="s">
        <v>160</v>
      </c>
      <c r="C257" s="106" t="s">
        <v>170</v>
      </c>
      <c r="D257" s="107" t="s">
        <v>171</v>
      </c>
      <c r="E257" s="108" t="s">
        <v>436</v>
      </c>
      <c r="F257" s="108">
        <v>13418</v>
      </c>
      <c r="G257" s="108">
        <v>200</v>
      </c>
      <c r="H257" s="109">
        <v>8991.8938707652778</v>
      </c>
      <c r="I257" s="114">
        <v>265</v>
      </c>
      <c r="J257" s="110">
        <v>1</v>
      </c>
    </row>
    <row r="258" spans="1:10" ht="23.1" customHeight="1" x14ac:dyDescent="0.25">
      <c r="A258" s="105" t="s">
        <v>699</v>
      </c>
      <c r="B258" s="105" t="s">
        <v>160</v>
      </c>
      <c r="C258" s="106" t="s">
        <v>172</v>
      </c>
      <c r="D258" s="107" t="s">
        <v>173</v>
      </c>
      <c r="E258" s="108" t="s">
        <v>436</v>
      </c>
      <c r="F258" s="108">
        <v>6039</v>
      </c>
      <c r="G258" s="108">
        <v>450</v>
      </c>
      <c r="H258" s="109">
        <v>49986.685401327071</v>
      </c>
      <c r="I258" s="114">
        <v>600</v>
      </c>
      <c r="J258" s="110">
        <v>2</v>
      </c>
    </row>
    <row r="259" spans="1:10" ht="23.1" customHeight="1" x14ac:dyDescent="0.25">
      <c r="A259" s="105" t="s">
        <v>700</v>
      </c>
      <c r="B259" s="105" t="s">
        <v>160</v>
      </c>
      <c r="C259" s="106" t="s">
        <v>174</v>
      </c>
      <c r="D259" s="107" t="s">
        <v>175</v>
      </c>
      <c r="E259" s="108" t="s">
        <v>436</v>
      </c>
      <c r="F259" s="108">
        <v>2172</v>
      </c>
      <c r="G259" s="108">
        <v>0</v>
      </c>
      <c r="H259" s="109">
        <v>16033.707513224072</v>
      </c>
      <c r="I259" s="114">
        <v>0</v>
      </c>
      <c r="J259" s="110">
        <v>0</v>
      </c>
    </row>
    <row r="260" spans="1:10" ht="23.1" customHeight="1" x14ac:dyDescent="0.25">
      <c r="A260" s="105" t="s">
        <v>701</v>
      </c>
      <c r="B260" s="105" t="s">
        <v>160</v>
      </c>
      <c r="C260" s="106" t="s">
        <v>176</v>
      </c>
      <c r="D260" s="107" t="s">
        <v>177</v>
      </c>
      <c r="E260" s="108" t="s">
        <v>436</v>
      </c>
      <c r="F260" s="108">
        <v>43002</v>
      </c>
      <c r="G260" s="108">
        <v>0</v>
      </c>
      <c r="H260" s="109">
        <v>33750.576060864048</v>
      </c>
      <c r="I260" s="114">
        <v>32335</v>
      </c>
      <c r="J260" s="110">
        <v>0</v>
      </c>
    </row>
    <row r="261" spans="1:10" ht="23.1" customHeight="1" x14ac:dyDescent="0.25">
      <c r="A261" s="105" t="s">
        <v>702</v>
      </c>
      <c r="B261" s="105" t="s">
        <v>160</v>
      </c>
      <c r="C261" s="106" t="s">
        <v>178</v>
      </c>
      <c r="D261" s="107" t="s">
        <v>179</v>
      </c>
      <c r="E261" s="108" t="s">
        <v>436</v>
      </c>
      <c r="F261" s="108">
        <v>10180</v>
      </c>
      <c r="G261" s="108">
        <v>1500</v>
      </c>
      <c r="H261" s="109">
        <v>35360.37000134425</v>
      </c>
      <c r="I261" s="114">
        <v>2000</v>
      </c>
      <c r="J261" s="110">
        <v>1</v>
      </c>
    </row>
    <row r="262" spans="1:10" ht="23.1" customHeight="1" x14ac:dyDescent="0.25">
      <c r="A262" s="105" t="s">
        <v>703</v>
      </c>
      <c r="B262" s="105" t="s">
        <v>180</v>
      </c>
      <c r="C262" s="106" t="s">
        <v>182</v>
      </c>
      <c r="D262" s="107" t="s">
        <v>183</v>
      </c>
      <c r="E262" s="108" t="s">
        <v>436</v>
      </c>
      <c r="F262" s="108">
        <v>24600</v>
      </c>
      <c r="G262" s="108">
        <v>0</v>
      </c>
      <c r="H262" s="109">
        <v>67414.36769932945</v>
      </c>
      <c r="I262" s="114">
        <v>0</v>
      </c>
      <c r="J262" s="110">
        <v>0</v>
      </c>
    </row>
    <row r="263" spans="1:10" ht="23.1" customHeight="1" x14ac:dyDescent="0.25">
      <c r="A263" s="105" t="s">
        <v>704</v>
      </c>
      <c r="B263" s="105" t="s">
        <v>180</v>
      </c>
      <c r="C263" s="106" t="s">
        <v>184</v>
      </c>
      <c r="D263" s="107" t="s">
        <v>185</v>
      </c>
      <c r="E263" s="108" t="s">
        <v>436</v>
      </c>
      <c r="F263" s="108">
        <v>4500</v>
      </c>
      <c r="G263" s="108">
        <v>0</v>
      </c>
      <c r="H263" s="109">
        <v>16429.090490270548</v>
      </c>
      <c r="I263" s="114">
        <v>0</v>
      </c>
      <c r="J263" s="110">
        <v>0</v>
      </c>
    </row>
    <row r="264" spans="1:10" ht="23.1" customHeight="1" x14ac:dyDescent="0.25">
      <c r="A264" s="105" t="s">
        <v>705</v>
      </c>
      <c r="B264" s="105" t="s">
        <v>180</v>
      </c>
      <c r="C264" s="106" t="s">
        <v>186</v>
      </c>
      <c r="D264" s="107" t="s">
        <v>187</v>
      </c>
      <c r="E264" s="108" t="s">
        <v>436</v>
      </c>
      <c r="F264" s="108">
        <v>7400</v>
      </c>
      <c r="G264" s="108">
        <v>0</v>
      </c>
      <c r="H264" s="109">
        <v>16910.686939568313</v>
      </c>
      <c r="I264" s="114">
        <v>0</v>
      </c>
      <c r="J264" s="110">
        <v>0</v>
      </c>
    </row>
    <row r="265" spans="1:10" ht="23.1" customHeight="1" x14ac:dyDescent="0.25">
      <c r="A265" s="105" t="s">
        <v>706</v>
      </c>
      <c r="B265" s="105" t="s">
        <v>180</v>
      </c>
      <c r="C265" s="106" t="s">
        <v>188</v>
      </c>
      <c r="D265" s="107" t="s">
        <v>189</v>
      </c>
      <c r="E265" s="108" t="s">
        <v>436</v>
      </c>
      <c r="F265" s="108">
        <v>0</v>
      </c>
      <c r="G265" s="108">
        <v>0</v>
      </c>
      <c r="H265" s="109">
        <v>1427.3753683988314</v>
      </c>
      <c r="I265" s="114">
        <v>0</v>
      </c>
      <c r="J265" s="110">
        <v>0</v>
      </c>
    </row>
    <row r="266" spans="1:10" ht="23.1" customHeight="1" x14ac:dyDescent="0.25">
      <c r="A266" s="105" t="s">
        <v>707</v>
      </c>
      <c r="B266" s="105" t="s">
        <v>180</v>
      </c>
      <c r="C266" s="106" t="s">
        <v>190</v>
      </c>
      <c r="D266" s="107" t="s">
        <v>191</v>
      </c>
      <c r="E266" s="108" t="s">
        <v>436</v>
      </c>
      <c r="F266" s="108">
        <v>1615</v>
      </c>
      <c r="G266" s="108">
        <v>0</v>
      </c>
      <c r="H266" s="109">
        <v>15098.776646922837</v>
      </c>
      <c r="I266" s="114">
        <v>0</v>
      </c>
      <c r="J266" s="110">
        <v>0</v>
      </c>
    </row>
    <row r="267" spans="1:10" ht="23.1" customHeight="1" x14ac:dyDescent="0.25">
      <c r="A267" s="105" t="s">
        <v>708</v>
      </c>
      <c r="B267" s="105" t="s">
        <v>180</v>
      </c>
      <c r="C267" s="106" t="s">
        <v>192</v>
      </c>
      <c r="D267" s="107" t="s">
        <v>193</v>
      </c>
      <c r="E267" s="108" t="s">
        <v>436</v>
      </c>
      <c r="F267" s="108">
        <v>0</v>
      </c>
      <c r="G267" s="108">
        <v>0</v>
      </c>
      <c r="H267" s="109">
        <v>0</v>
      </c>
      <c r="I267" s="114">
        <v>0</v>
      </c>
      <c r="J267" s="110">
        <v>0</v>
      </c>
    </row>
    <row r="268" spans="1:10" ht="23.1" customHeight="1" x14ac:dyDescent="0.25">
      <c r="A268" s="105" t="s">
        <v>709</v>
      </c>
      <c r="B268" s="105" t="s">
        <v>180</v>
      </c>
      <c r="C268" s="106" t="s">
        <v>194</v>
      </c>
      <c r="D268" s="107" t="s">
        <v>195</v>
      </c>
      <c r="E268" s="108" t="s">
        <v>436</v>
      </c>
      <c r="F268" s="108">
        <v>3800</v>
      </c>
      <c r="G268" s="108">
        <v>0</v>
      </c>
      <c r="H268" s="109">
        <v>6192.2398231878105</v>
      </c>
      <c r="I268" s="114">
        <v>0</v>
      </c>
      <c r="J268" s="110">
        <v>0</v>
      </c>
    </row>
    <row r="269" spans="1:10" ht="23.1" customHeight="1" x14ac:dyDescent="0.25">
      <c r="A269" s="105" t="s">
        <v>710</v>
      </c>
      <c r="B269" s="105" t="s">
        <v>180</v>
      </c>
      <c r="C269" s="106" t="s">
        <v>196</v>
      </c>
      <c r="D269" s="107" t="s">
        <v>197</v>
      </c>
      <c r="E269" s="108" t="s">
        <v>436</v>
      </c>
      <c r="F269" s="108">
        <v>0</v>
      </c>
      <c r="G269" s="108">
        <v>0</v>
      </c>
      <c r="H269" s="109">
        <v>28993.704908138101</v>
      </c>
      <c r="I269" s="114">
        <v>0</v>
      </c>
      <c r="J269" s="110">
        <v>0</v>
      </c>
    </row>
    <row r="270" spans="1:10" ht="23.1" customHeight="1" x14ac:dyDescent="0.25">
      <c r="A270" s="105" t="s">
        <v>711</v>
      </c>
      <c r="B270" s="105" t="s">
        <v>180</v>
      </c>
      <c r="C270" s="106" t="s">
        <v>198</v>
      </c>
      <c r="D270" s="107" t="s">
        <v>199</v>
      </c>
      <c r="E270" s="108" t="s">
        <v>436</v>
      </c>
      <c r="F270" s="108">
        <v>5300</v>
      </c>
      <c r="G270" s="108">
        <v>0</v>
      </c>
      <c r="H270" s="109">
        <v>6046.0765854637693</v>
      </c>
      <c r="I270" s="114">
        <v>0</v>
      </c>
      <c r="J270" s="110">
        <v>0</v>
      </c>
    </row>
    <row r="271" spans="1:10" ht="23.1" customHeight="1" x14ac:dyDescent="0.25">
      <c r="A271" s="105" t="s">
        <v>712</v>
      </c>
      <c r="B271" s="105" t="s">
        <v>180</v>
      </c>
      <c r="C271" s="106" t="s">
        <v>200</v>
      </c>
      <c r="D271" s="107" t="s">
        <v>201</v>
      </c>
      <c r="E271" s="108" t="s">
        <v>436</v>
      </c>
      <c r="F271" s="108">
        <v>34916</v>
      </c>
      <c r="G271" s="108">
        <v>7500</v>
      </c>
      <c r="H271" s="109">
        <v>8537.4175534670903</v>
      </c>
      <c r="I271" s="114">
        <v>15385</v>
      </c>
      <c r="J271" s="110">
        <v>1</v>
      </c>
    </row>
    <row r="272" spans="1:10" ht="23.1" customHeight="1" x14ac:dyDescent="0.25">
      <c r="A272" s="105" t="s">
        <v>713</v>
      </c>
      <c r="B272" s="105" t="s">
        <v>180</v>
      </c>
      <c r="C272" s="106" t="s">
        <v>202</v>
      </c>
      <c r="D272" s="107" t="s">
        <v>203</v>
      </c>
      <c r="E272" s="108" t="s">
        <v>436</v>
      </c>
      <c r="F272" s="108">
        <v>0</v>
      </c>
      <c r="G272" s="108">
        <v>0</v>
      </c>
      <c r="H272" s="109">
        <v>9904.2722062458106</v>
      </c>
      <c r="I272" s="114">
        <v>0</v>
      </c>
      <c r="J272" s="110">
        <v>0</v>
      </c>
    </row>
    <row r="273" spans="1:10" ht="23.1" customHeight="1" x14ac:dyDescent="0.25">
      <c r="A273" s="105" t="s">
        <v>714</v>
      </c>
      <c r="B273" s="105" t="s">
        <v>180</v>
      </c>
      <c r="C273" s="106" t="s">
        <v>204</v>
      </c>
      <c r="D273" s="107" t="s">
        <v>205</v>
      </c>
      <c r="E273" s="108" t="s">
        <v>436</v>
      </c>
      <c r="F273" s="108">
        <v>2300</v>
      </c>
      <c r="G273" s="108">
        <v>0</v>
      </c>
      <c r="H273" s="109">
        <v>1293.2020837693412</v>
      </c>
      <c r="I273" s="114">
        <v>0</v>
      </c>
      <c r="J273" s="110">
        <v>0</v>
      </c>
    </row>
    <row r="274" spans="1:10" ht="23.1" customHeight="1" x14ac:dyDescent="0.25">
      <c r="A274" s="105" t="s">
        <v>715</v>
      </c>
      <c r="B274" s="105" t="s">
        <v>180</v>
      </c>
      <c r="C274" s="106" t="s">
        <v>206</v>
      </c>
      <c r="D274" s="107" t="s">
        <v>207</v>
      </c>
      <c r="E274" s="108" t="s">
        <v>436</v>
      </c>
      <c r="F274" s="108">
        <v>3700</v>
      </c>
      <c r="G274" s="108">
        <v>0</v>
      </c>
      <c r="H274" s="109">
        <v>3478.7992478616316</v>
      </c>
      <c r="I274" s="114">
        <v>0</v>
      </c>
      <c r="J274" s="110">
        <v>0</v>
      </c>
    </row>
    <row r="275" spans="1:10" ht="23.1" customHeight="1" x14ac:dyDescent="0.25">
      <c r="A275" s="105" t="s">
        <v>716</v>
      </c>
      <c r="B275" s="105" t="s">
        <v>180</v>
      </c>
      <c r="C275" s="106" t="s">
        <v>208</v>
      </c>
      <c r="D275" s="107" t="s">
        <v>209</v>
      </c>
      <c r="E275" s="108" t="s">
        <v>436</v>
      </c>
      <c r="F275" s="108">
        <v>400</v>
      </c>
      <c r="G275" s="108">
        <v>0</v>
      </c>
      <c r="H275" s="109">
        <v>50921.616267628306</v>
      </c>
      <c r="I275" s="114">
        <v>0</v>
      </c>
      <c r="J275" s="110">
        <v>1</v>
      </c>
    </row>
    <row r="276" spans="1:10" ht="23.1" customHeight="1" x14ac:dyDescent="0.25">
      <c r="A276" s="105" t="s">
        <v>717</v>
      </c>
      <c r="B276" s="105" t="s">
        <v>180</v>
      </c>
      <c r="C276" s="106" t="s">
        <v>210</v>
      </c>
      <c r="D276" s="107" t="s">
        <v>211</v>
      </c>
      <c r="E276" s="108" t="s">
        <v>436</v>
      </c>
      <c r="F276" s="108">
        <v>0</v>
      </c>
      <c r="G276" s="108">
        <v>0</v>
      </c>
      <c r="H276" s="109">
        <v>19723.472840535051</v>
      </c>
      <c r="I276" s="114">
        <v>0</v>
      </c>
      <c r="J276" s="110">
        <v>0</v>
      </c>
    </row>
    <row r="277" spans="1:10" ht="23.1" customHeight="1" x14ac:dyDescent="0.25">
      <c r="A277" s="105" t="s">
        <v>718</v>
      </c>
      <c r="B277" s="105" t="s">
        <v>180</v>
      </c>
      <c r="C277" s="106" t="s">
        <v>212</v>
      </c>
      <c r="D277" s="107" t="s">
        <v>213</v>
      </c>
      <c r="E277" s="108" t="s">
        <v>436</v>
      </c>
      <c r="F277" s="108">
        <v>0</v>
      </c>
      <c r="G277" s="108">
        <v>0</v>
      </c>
      <c r="H277" s="109">
        <v>656.59266946346236</v>
      </c>
      <c r="I277" s="114">
        <v>0</v>
      </c>
      <c r="J277" s="110">
        <v>0</v>
      </c>
    </row>
    <row r="278" spans="1:10" ht="23.1" customHeight="1" x14ac:dyDescent="0.25">
      <c r="A278" s="105" t="s">
        <v>719</v>
      </c>
      <c r="B278" s="105" t="s">
        <v>180</v>
      </c>
      <c r="C278" s="106" t="s">
        <v>214</v>
      </c>
      <c r="D278" s="107" t="s">
        <v>215</v>
      </c>
      <c r="E278" s="108" t="s">
        <v>436</v>
      </c>
      <c r="F278" s="108">
        <v>1700.0000000000002</v>
      </c>
      <c r="G278" s="108">
        <v>0</v>
      </c>
      <c r="H278" s="109">
        <v>18712.891079708679</v>
      </c>
      <c r="I278" s="114">
        <v>0</v>
      </c>
      <c r="J278" s="110">
        <v>0</v>
      </c>
    </row>
    <row r="279" spans="1:10" ht="23.1" customHeight="1" x14ac:dyDescent="0.25">
      <c r="A279" s="105" t="s">
        <v>720</v>
      </c>
      <c r="B279" s="105" t="s">
        <v>216</v>
      </c>
      <c r="C279" s="106" t="s">
        <v>218</v>
      </c>
      <c r="D279" s="107" t="s">
        <v>219</v>
      </c>
      <c r="E279" s="108" t="s">
        <v>436</v>
      </c>
      <c r="F279" s="108">
        <v>6601</v>
      </c>
      <c r="G279" s="108">
        <v>0</v>
      </c>
      <c r="H279" s="109">
        <v>13151.265694279473</v>
      </c>
      <c r="I279" s="114">
        <v>0</v>
      </c>
      <c r="J279" s="110">
        <v>0</v>
      </c>
    </row>
    <row r="280" spans="1:10" ht="23.1" customHeight="1" x14ac:dyDescent="0.25">
      <c r="A280" s="105" t="s">
        <v>721</v>
      </c>
      <c r="B280" s="105" t="s">
        <v>216</v>
      </c>
      <c r="C280" s="106" t="s">
        <v>220</v>
      </c>
      <c r="D280" s="107" t="s">
        <v>221</v>
      </c>
      <c r="E280" s="108" t="s">
        <v>436</v>
      </c>
      <c r="F280" s="108">
        <v>11828</v>
      </c>
      <c r="G280" s="108">
        <v>60900</v>
      </c>
      <c r="H280" s="109">
        <v>68199.424151948799</v>
      </c>
      <c r="I280" s="114">
        <v>81200</v>
      </c>
      <c r="J280" s="110">
        <v>3</v>
      </c>
    </row>
    <row r="281" spans="1:10" ht="23.1" customHeight="1" x14ac:dyDescent="0.25">
      <c r="A281" s="105" t="s">
        <v>722</v>
      </c>
      <c r="B281" s="105" t="s">
        <v>216</v>
      </c>
      <c r="C281" s="106" t="s">
        <v>222</v>
      </c>
      <c r="D281" s="107" t="s">
        <v>223</v>
      </c>
      <c r="E281" s="108" t="s">
        <v>436</v>
      </c>
      <c r="F281" s="108">
        <v>3058</v>
      </c>
      <c r="G281" s="108">
        <v>2035</v>
      </c>
      <c r="H281" s="109">
        <v>30456.764660746903</v>
      </c>
      <c r="I281" s="114">
        <v>2715</v>
      </c>
      <c r="J281" s="110">
        <v>1</v>
      </c>
    </row>
    <row r="282" spans="1:10" ht="23.1" customHeight="1" x14ac:dyDescent="0.25">
      <c r="A282" s="105" t="s">
        <v>723</v>
      </c>
      <c r="B282" s="105" t="s">
        <v>216</v>
      </c>
      <c r="C282" s="106" t="s">
        <v>224</v>
      </c>
      <c r="D282" s="107" t="s">
        <v>225</v>
      </c>
      <c r="E282" s="108" t="s">
        <v>436</v>
      </c>
      <c r="F282" s="108">
        <v>15722</v>
      </c>
      <c r="G282" s="108">
        <v>0</v>
      </c>
      <c r="H282" s="109">
        <v>43839.550639780668</v>
      </c>
      <c r="I282" s="114">
        <v>0</v>
      </c>
      <c r="J282" s="110">
        <v>0</v>
      </c>
    </row>
    <row r="283" spans="1:10" ht="23.1" customHeight="1" x14ac:dyDescent="0.25">
      <c r="A283" s="105" t="s">
        <v>724</v>
      </c>
      <c r="B283" s="111" t="s">
        <v>216</v>
      </c>
      <c r="C283" s="106" t="s">
        <v>226</v>
      </c>
      <c r="D283" s="107" t="s">
        <v>227</v>
      </c>
      <c r="E283" s="108" t="s">
        <v>436</v>
      </c>
      <c r="F283" s="108">
        <v>4021</v>
      </c>
      <c r="G283" s="108">
        <v>0</v>
      </c>
      <c r="H283" s="109">
        <v>19080.868449681897</v>
      </c>
      <c r="I283" s="114">
        <v>0</v>
      </c>
      <c r="J283" s="110">
        <v>0</v>
      </c>
    </row>
    <row r="284" spans="1:10" ht="23.1" customHeight="1" x14ac:dyDescent="0.25">
      <c r="A284" s="105" t="s">
        <v>725</v>
      </c>
      <c r="B284" s="105" t="s">
        <v>216</v>
      </c>
      <c r="C284" s="106" t="s">
        <v>228</v>
      </c>
      <c r="D284" s="107" t="s">
        <v>229</v>
      </c>
      <c r="E284" s="108" t="s">
        <v>436</v>
      </c>
      <c r="F284" s="108">
        <v>0</v>
      </c>
      <c r="G284" s="108">
        <v>0</v>
      </c>
      <c r="H284" s="109">
        <v>14560.656133036478</v>
      </c>
      <c r="I284" s="114">
        <v>0</v>
      </c>
      <c r="J284" s="110">
        <v>0</v>
      </c>
    </row>
    <row r="285" spans="1:10" ht="23.1" customHeight="1" x14ac:dyDescent="0.25">
      <c r="A285" s="105" t="s">
        <v>726</v>
      </c>
      <c r="B285" s="105" t="s">
        <v>216</v>
      </c>
      <c r="C285" s="106" t="s">
        <v>230</v>
      </c>
      <c r="D285" s="107" t="s">
        <v>231</v>
      </c>
      <c r="E285" s="108" t="s">
        <v>436</v>
      </c>
      <c r="F285" s="108">
        <v>2496</v>
      </c>
      <c r="G285" s="108">
        <v>0</v>
      </c>
      <c r="H285" s="109">
        <v>11954.268710340213</v>
      </c>
      <c r="I285" s="114">
        <v>0</v>
      </c>
      <c r="J285" s="110">
        <v>0</v>
      </c>
    </row>
    <row r="286" spans="1:10" ht="23.1" customHeight="1" x14ac:dyDescent="0.25">
      <c r="A286" s="105" t="s">
        <v>727</v>
      </c>
      <c r="B286" s="105" t="s">
        <v>232</v>
      </c>
      <c r="C286" s="106" t="s">
        <v>234</v>
      </c>
      <c r="D286" s="107" t="s">
        <v>235</v>
      </c>
      <c r="E286" s="108" t="s">
        <v>436</v>
      </c>
      <c r="F286" s="108">
        <v>33711</v>
      </c>
      <c r="G286" s="108">
        <v>1895</v>
      </c>
      <c r="H286" s="109">
        <v>28486.701177282837</v>
      </c>
      <c r="I286" s="114">
        <v>2525</v>
      </c>
      <c r="J286" s="110">
        <v>1</v>
      </c>
    </row>
    <row r="287" spans="1:10" ht="23.1" customHeight="1" x14ac:dyDescent="0.25">
      <c r="A287" s="105" t="s">
        <v>728</v>
      </c>
      <c r="B287" s="105" t="s">
        <v>232</v>
      </c>
      <c r="C287" s="106" t="s">
        <v>236</v>
      </c>
      <c r="D287" s="107" t="s">
        <v>237</v>
      </c>
      <c r="E287" s="108" t="s">
        <v>436</v>
      </c>
      <c r="F287" s="108">
        <v>5000</v>
      </c>
      <c r="G287" s="108">
        <v>0</v>
      </c>
      <c r="H287" s="109">
        <v>1842.1706504555318</v>
      </c>
      <c r="I287" s="114">
        <v>0</v>
      </c>
      <c r="J287" s="110">
        <v>0</v>
      </c>
    </row>
    <row r="288" spans="1:10" ht="23.1" customHeight="1" x14ac:dyDescent="0.25">
      <c r="A288" s="105" t="s">
        <v>729</v>
      </c>
      <c r="B288" s="105" t="s">
        <v>232</v>
      </c>
      <c r="C288" s="106" t="s">
        <v>238</v>
      </c>
      <c r="D288" s="107" t="s">
        <v>239</v>
      </c>
      <c r="E288" s="108" t="s">
        <v>436</v>
      </c>
      <c r="F288" s="108">
        <v>5213</v>
      </c>
      <c r="G288" s="108">
        <v>11465</v>
      </c>
      <c r="H288" s="109">
        <v>23772.365810535175</v>
      </c>
      <c r="I288" s="114">
        <v>11965</v>
      </c>
      <c r="J288" s="110">
        <v>3</v>
      </c>
    </row>
    <row r="289" spans="1:10" ht="23.1" customHeight="1" x14ac:dyDescent="0.25">
      <c r="A289" s="105" t="s">
        <v>730</v>
      </c>
      <c r="B289" s="105" t="s">
        <v>232</v>
      </c>
      <c r="C289" s="106" t="s">
        <v>240</v>
      </c>
      <c r="D289" s="107" t="s">
        <v>241</v>
      </c>
      <c r="E289" s="108" t="s">
        <v>436</v>
      </c>
      <c r="F289" s="108">
        <v>6802</v>
      </c>
      <c r="G289" s="108">
        <v>22440</v>
      </c>
      <c r="H289" s="109">
        <v>19981.542307141561</v>
      </c>
      <c r="I289" s="114">
        <v>31585</v>
      </c>
      <c r="J289" s="110">
        <v>5</v>
      </c>
    </row>
    <row r="290" spans="1:10" ht="23.1" customHeight="1" x14ac:dyDescent="0.25">
      <c r="A290" s="105" t="s">
        <v>731</v>
      </c>
      <c r="B290" s="105" t="s">
        <v>232</v>
      </c>
      <c r="C290" s="106" t="s">
        <v>242</v>
      </c>
      <c r="D290" s="107" t="s">
        <v>243</v>
      </c>
      <c r="E290" s="108" t="s">
        <v>436</v>
      </c>
      <c r="F290" s="108">
        <v>5000</v>
      </c>
      <c r="G290" s="108">
        <v>7400</v>
      </c>
      <c r="H290" s="109">
        <v>2112.5155452302702</v>
      </c>
      <c r="I290" s="114">
        <v>10200</v>
      </c>
      <c r="J290" s="110">
        <v>2</v>
      </c>
    </row>
    <row r="291" spans="1:10" ht="23.1" customHeight="1" x14ac:dyDescent="0.25">
      <c r="A291" s="105" t="s">
        <v>732</v>
      </c>
      <c r="B291" s="105" t="s">
        <v>232</v>
      </c>
      <c r="C291" s="106" t="s">
        <v>244</v>
      </c>
      <c r="D291" s="107" t="s">
        <v>245</v>
      </c>
      <c r="E291" s="108" t="s">
        <v>436</v>
      </c>
      <c r="F291" s="108">
        <v>12095</v>
      </c>
      <c r="G291" s="108">
        <v>835</v>
      </c>
      <c r="H291" s="109">
        <v>13423.03796442261</v>
      </c>
      <c r="I291" s="114">
        <v>1115</v>
      </c>
      <c r="J291" s="110">
        <v>2</v>
      </c>
    </row>
    <row r="292" spans="1:10" ht="23.1" customHeight="1" x14ac:dyDescent="0.25">
      <c r="A292" s="105" t="s">
        <v>733</v>
      </c>
      <c r="B292" s="105" t="s">
        <v>232</v>
      </c>
      <c r="C292" s="106" t="s">
        <v>246</v>
      </c>
      <c r="D292" s="107" t="s">
        <v>247</v>
      </c>
      <c r="E292" s="108" t="s">
        <v>436</v>
      </c>
      <c r="F292" s="108">
        <v>1197</v>
      </c>
      <c r="G292" s="108">
        <v>0</v>
      </c>
      <c r="H292" s="109">
        <v>2876.1613673236452</v>
      </c>
      <c r="I292" s="114">
        <v>0</v>
      </c>
      <c r="J292" s="110">
        <v>0</v>
      </c>
    </row>
    <row r="293" spans="1:10" ht="23.1" customHeight="1" x14ac:dyDescent="0.25">
      <c r="A293" s="105" t="s">
        <v>734</v>
      </c>
      <c r="B293" s="105" t="s">
        <v>232</v>
      </c>
      <c r="C293" s="106" t="s">
        <v>248</v>
      </c>
      <c r="D293" s="107" t="s">
        <v>249</v>
      </c>
      <c r="E293" s="108" t="s">
        <v>436</v>
      </c>
      <c r="F293" s="108">
        <v>33478</v>
      </c>
      <c r="G293" s="108">
        <v>4420</v>
      </c>
      <c r="H293" s="109">
        <v>15247.794635383676</v>
      </c>
      <c r="I293" s="114">
        <v>6060</v>
      </c>
      <c r="J293" s="110">
        <v>2</v>
      </c>
    </row>
    <row r="294" spans="1:10" ht="23.1" customHeight="1" x14ac:dyDescent="0.25">
      <c r="A294" s="105" t="s">
        <v>735</v>
      </c>
      <c r="B294" s="105" t="s">
        <v>232</v>
      </c>
      <c r="C294" s="106" t="s">
        <v>250</v>
      </c>
      <c r="D294" s="107" t="s">
        <v>251</v>
      </c>
      <c r="E294" s="108" t="s">
        <v>436</v>
      </c>
      <c r="F294" s="108">
        <v>0</v>
      </c>
      <c r="G294" s="108">
        <v>0</v>
      </c>
      <c r="H294" s="109">
        <v>14559.51423274176</v>
      </c>
      <c r="I294" s="114">
        <v>0</v>
      </c>
      <c r="J294" s="110">
        <v>0</v>
      </c>
    </row>
    <row r="295" spans="1:10" ht="23.1" customHeight="1" x14ac:dyDescent="0.25">
      <c r="A295" s="105" t="s">
        <v>736</v>
      </c>
      <c r="B295" s="105" t="s">
        <v>252</v>
      </c>
      <c r="C295" s="106" t="s">
        <v>254</v>
      </c>
      <c r="D295" s="107" t="s">
        <v>255</v>
      </c>
      <c r="E295" s="108" t="s">
        <v>436</v>
      </c>
      <c r="F295" s="108">
        <v>0</v>
      </c>
      <c r="G295" s="108">
        <v>0</v>
      </c>
      <c r="H295" s="109">
        <v>8698.4254950224786</v>
      </c>
      <c r="I295" s="114">
        <v>0</v>
      </c>
      <c r="J295" s="110">
        <v>0</v>
      </c>
    </row>
    <row r="296" spans="1:10" ht="23.1" customHeight="1" x14ac:dyDescent="0.25">
      <c r="A296" s="105" t="s">
        <v>737</v>
      </c>
      <c r="B296" s="105" t="s">
        <v>252</v>
      </c>
      <c r="C296" s="106" t="s">
        <v>256</v>
      </c>
      <c r="D296" s="107" t="s">
        <v>257</v>
      </c>
      <c r="E296" s="108" t="s">
        <v>436</v>
      </c>
      <c r="F296" s="108">
        <v>41125</v>
      </c>
      <c r="G296" s="108">
        <v>35076</v>
      </c>
      <c r="H296" s="109">
        <v>33843.069984736292</v>
      </c>
      <c r="I296" s="114">
        <v>48000</v>
      </c>
      <c r="J296" s="110">
        <v>4</v>
      </c>
    </row>
    <row r="297" spans="1:10" ht="23.1" customHeight="1" x14ac:dyDescent="0.25">
      <c r="A297" s="105" t="s">
        <v>738</v>
      </c>
      <c r="B297" s="105" t="s">
        <v>252</v>
      </c>
      <c r="C297" s="106" t="s">
        <v>258</v>
      </c>
      <c r="D297" s="107" t="s">
        <v>259</v>
      </c>
      <c r="E297" s="108" t="s">
        <v>436</v>
      </c>
      <c r="F297" s="108">
        <v>0</v>
      </c>
      <c r="G297" s="108">
        <v>0</v>
      </c>
      <c r="H297" s="109">
        <v>13083.322626743688</v>
      </c>
      <c r="I297" s="114">
        <v>24335</v>
      </c>
      <c r="J297" s="110">
        <v>0</v>
      </c>
    </row>
    <row r="298" spans="1:10" ht="23.1" customHeight="1" x14ac:dyDescent="0.25">
      <c r="A298" s="105" t="s">
        <v>739</v>
      </c>
      <c r="B298" s="105" t="s">
        <v>252</v>
      </c>
      <c r="C298" s="106" t="s">
        <v>260</v>
      </c>
      <c r="D298" s="107" t="s">
        <v>261</v>
      </c>
      <c r="E298" s="108" t="s">
        <v>436</v>
      </c>
      <c r="F298" s="108">
        <v>0</v>
      </c>
      <c r="G298" s="108">
        <v>0</v>
      </c>
      <c r="H298" s="109">
        <v>902.38670790174115</v>
      </c>
      <c r="I298" s="114">
        <v>0</v>
      </c>
      <c r="J298" s="110">
        <v>0</v>
      </c>
    </row>
    <row r="299" spans="1:10" ht="23.1" customHeight="1" x14ac:dyDescent="0.25">
      <c r="A299" s="105" t="s">
        <v>740</v>
      </c>
      <c r="B299" s="105" t="s">
        <v>252</v>
      </c>
      <c r="C299" s="106" t="s">
        <v>262</v>
      </c>
      <c r="D299" s="107" t="s">
        <v>263</v>
      </c>
      <c r="E299" s="108" t="s">
        <v>436</v>
      </c>
      <c r="F299" s="108">
        <v>0</v>
      </c>
      <c r="G299" s="108">
        <v>0</v>
      </c>
      <c r="H299" s="109">
        <v>2600.1069710753113</v>
      </c>
      <c r="I299" s="114">
        <v>0</v>
      </c>
      <c r="J299" s="110">
        <v>0</v>
      </c>
    </row>
    <row r="300" spans="1:10" ht="23.1" customHeight="1" x14ac:dyDescent="0.25">
      <c r="A300" s="105" t="s">
        <v>741</v>
      </c>
      <c r="B300" s="105" t="s">
        <v>252</v>
      </c>
      <c r="C300" s="106" t="s">
        <v>264</v>
      </c>
      <c r="D300" s="107" t="s">
        <v>265</v>
      </c>
      <c r="E300" s="108" t="s">
        <v>436</v>
      </c>
      <c r="F300" s="108">
        <v>0</v>
      </c>
      <c r="G300" s="108">
        <v>0</v>
      </c>
      <c r="H300" s="109">
        <v>5831.3993300565853</v>
      </c>
      <c r="I300" s="114">
        <v>0</v>
      </c>
      <c r="J300" s="110">
        <v>0</v>
      </c>
    </row>
    <row r="301" spans="1:10" ht="23.1" customHeight="1" x14ac:dyDescent="0.25">
      <c r="A301" s="105" t="s">
        <v>742</v>
      </c>
      <c r="B301" s="105" t="s">
        <v>252</v>
      </c>
      <c r="C301" s="106" t="s">
        <v>266</v>
      </c>
      <c r="D301" s="107" t="s">
        <v>267</v>
      </c>
      <c r="E301" s="108" t="s">
        <v>436</v>
      </c>
      <c r="F301" s="108">
        <v>0</v>
      </c>
      <c r="G301" s="108">
        <v>2250</v>
      </c>
      <c r="H301" s="109">
        <v>22442.051967187464</v>
      </c>
      <c r="I301" s="114">
        <v>20665</v>
      </c>
      <c r="J301" s="110">
        <v>0</v>
      </c>
    </row>
    <row r="302" spans="1:10" ht="23.1" customHeight="1" x14ac:dyDescent="0.25">
      <c r="A302" s="105" t="s">
        <v>743</v>
      </c>
      <c r="B302" s="105" t="s">
        <v>252</v>
      </c>
      <c r="C302" s="106" t="s">
        <v>268</v>
      </c>
      <c r="D302" s="107" t="s">
        <v>269</v>
      </c>
      <c r="E302" s="108" t="s">
        <v>436</v>
      </c>
      <c r="F302" s="108">
        <v>0</v>
      </c>
      <c r="G302" s="108">
        <v>0</v>
      </c>
      <c r="H302" s="109">
        <v>11330.505674349923</v>
      </c>
      <c r="I302" s="114">
        <v>0</v>
      </c>
      <c r="J302" s="110">
        <v>0</v>
      </c>
    </row>
    <row r="303" spans="1:10" ht="23.1" customHeight="1" x14ac:dyDescent="0.25">
      <c r="A303" s="105" t="s">
        <v>744</v>
      </c>
      <c r="B303" s="105" t="s">
        <v>252</v>
      </c>
      <c r="C303" s="106" t="s">
        <v>270</v>
      </c>
      <c r="D303" s="107" t="s">
        <v>271</v>
      </c>
      <c r="E303" s="108" t="s">
        <v>436</v>
      </c>
      <c r="F303" s="108">
        <v>0</v>
      </c>
      <c r="G303" s="108">
        <v>5204</v>
      </c>
      <c r="H303" s="109">
        <v>9117.7883782580557</v>
      </c>
      <c r="I303" s="114">
        <v>7000</v>
      </c>
      <c r="J303" s="110">
        <v>0</v>
      </c>
    </row>
    <row r="304" spans="1:10" ht="23.1" customHeight="1" x14ac:dyDescent="0.25">
      <c r="A304" s="105" t="s">
        <v>745</v>
      </c>
      <c r="B304" s="105" t="s">
        <v>252</v>
      </c>
      <c r="C304" s="106" t="s">
        <v>272</v>
      </c>
      <c r="D304" s="107" t="s">
        <v>273</v>
      </c>
      <c r="E304" s="108" t="s">
        <v>436</v>
      </c>
      <c r="F304" s="108">
        <v>0</v>
      </c>
      <c r="G304" s="108">
        <v>0</v>
      </c>
      <c r="H304" s="109">
        <v>10450.671497268884</v>
      </c>
      <c r="I304" s="114">
        <v>0</v>
      </c>
      <c r="J304" s="110">
        <v>0</v>
      </c>
    </row>
    <row r="305" spans="1:10" ht="23.1" customHeight="1" x14ac:dyDescent="0.25">
      <c r="A305" s="105" t="s">
        <v>746</v>
      </c>
      <c r="B305" s="105" t="s">
        <v>274</v>
      </c>
      <c r="C305" s="106" t="s">
        <v>276</v>
      </c>
      <c r="D305" s="107" t="s">
        <v>277</v>
      </c>
      <c r="E305" s="108" t="s">
        <v>436</v>
      </c>
      <c r="F305" s="108">
        <v>2590</v>
      </c>
      <c r="G305" s="108">
        <v>1400</v>
      </c>
      <c r="H305" s="109">
        <v>27917.749355439064</v>
      </c>
      <c r="I305" s="114">
        <v>3865</v>
      </c>
      <c r="J305" s="110">
        <v>0</v>
      </c>
    </row>
    <row r="306" spans="1:10" ht="23.1" customHeight="1" x14ac:dyDescent="0.25">
      <c r="A306" s="105" t="s">
        <v>747</v>
      </c>
      <c r="B306" s="105" t="s">
        <v>274</v>
      </c>
      <c r="C306" s="106" t="s">
        <v>278</v>
      </c>
      <c r="D306" s="107" t="s">
        <v>279</v>
      </c>
      <c r="E306" s="108" t="s">
        <v>436</v>
      </c>
      <c r="F306" s="108">
        <v>9448</v>
      </c>
      <c r="G306" s="108">
        <v>23248</v>
      </c>
      <c r="H306" s="109">
        <v>37068.938317317647</v>
      </c>
      <c r="I306" s="114">
        <v>76525</v>
      </c>
      <c r="J306" s="110">
        <v>3</v>
      </c>
    </row>
    <row r="307" spans="1:10" ht="23.1" customHeight="1" x14ac:dyDescent="0.25">
      <c r="A307" s="105" t="s">
        <v>748</v>
      </c>
      <c r="B307" s="105" t="s">
        <v>274</v>
      </c>
      <c r="C307" s="106" t="s">
        <v>280</v>
      </c>
      <c r="D307" s="107" t="s">
        <v>281</v>
      </c>
      <c r="E307" s="108" t="s">
        <v>436</v>
      </c>
      <c r="F307" s="108">
        <v>0</v>
      </c>
      <c r="G307" s="108">
        <v>0</v>
      </c>
      <c r="H307" s="109">
        <v>5634.1360541438671</v>
      </c>
      <c r="I307" s="114">
        <v>0</v>
      </c>
      <c r="J307" s="110">
        <v>0</v>
      </c>
    </row>
    <row r="308" spans="1:10" ht="23.1" customHeight="1" x14ac:dyDescent="0.25">
      <c r="A308" s="105" t="s">
        <v>749</v>
      </c>
      <c r="B308" s="105" t="s">
        <v>274</v>
      </c>
      <c r="C308" s="106" t="s">
        <v>282</v>
      </c>
      <c r="D308" s="107" t="s">
        <v>283</v>
      </c>
      <c r="E308" s="108" t="s">
        <v>436</v>
      </c>
      <c r="F308" s="108">
        <v>0</v>
      </c>
      <c r="G308" s="108">
        <v>0</v>
      </c>
      <c r="H308" s="109">
        <v>3381.1667726631517</v>
      </c>
      <c r="I308" s="114">
        <v>0</v>
      </c>
      <c r="J308" s="110">
        <v>0</v>
      </c>
    </row>
    <row r="309" spans="1:10" ht="23.1" customHeight="1" x14ac:dyDescent="0.25">
      <c r="A309" s="105" t="s">
        <v>750</v>
      </c>
      <c r="B309" s="105" t="s">
        <v>274</v>
      </c>
      <c r="C309" s="106" t="s">
        <v>284</v>
      </c>
      <c r="D309" s="107" t="s">
        <v>285</v>
      </c>
      <c r="E309" s="108" t="s">
        <v>436</v>
      </c>
      <c r="F309" s="108">
        <v>0</v>
      </c>
      <c r="G309" s="108">
        <v>1790</v>
      </c>
      <c r="H309" s="109">
        <v>5494.8242181881415</v>
      </c>
      <c r="I309" s="114">
        <v>2385</v>
      </c>
      <c r="J309" s="110">
        <v>1</v>
      </c>
    </row>
    <row r="310" spans="1:10" ht="23.1" customHeight="1" x14ac:dyDescent="0.25">
      <c r="A310" s="105" t="s">
        <v>751</v>
      </c>
      <c r="B310" s="105" t="s">
        <v>274</v>
      </c>
      <c r="C310" s="106" t="s">
        <v>286</v>
      </c>
      <c r="D310" s="107" t="s">
        <v>287</v>
      </c>
      <c r="E310" s="108" t="s">
        <v>436</v>
      </c>
      <c r="F310" s="108">
        <v>820</v>
      </c>
      <c r="G310" s="108">
        <v>0</v>
      </c>
      <c r="H310" s="109">
        <v>24837.758785508064</v>
      </c>
      <c r="I310" s="114">
        <v>0</v>
      </c>
      <c r="J310" s="110">
        <v>0</v>
      </c>
    </row>
    <row r="311" spans="1:10" ht="23.1" customHeight="1" x14ac:dyDescent="0.25">
      <c r="A311" s="105" t="s">
        <v>752</v>
      </c>
      <c r="B311" s="105" t="s">
        <v>274</v>
      </c>
      <c r="C311" s="106" t="s">
        <v>288</v>
      </c>
      <c r="D311" s="107" t="s">
        <v>289</v>
      </c>
      <c r="E311" s="108" t="s">
        <v>436</v>
      </c>
      <c r="F311" s="108">
        <v>0</v>
      </c>
      <c r="G311" s="108">
        <v>0</v>
      </c>
      <c r="H311" s="109">
        <v>43378.508395787845</v>
      </c>
      <c r="I311" s="114">
        <v>0</v>
      </c>
      <c r="J311" s="110">
        <v>0</v>
      </c>
    </row>
    <row r="312" spans="1:10" ht="23.1" customHeight="1" x14ac:dyDescent="0.25">
      <c r="A312" s="105" t="s">
        <v>753</v>
      </c>
      <c r="B312" s="105" t="s">
        <v>274</v>
      </c>
      <c r="C312" s="106" t="s">
        <v>290</v>
      </c>
      <c r="D312" s="107" t="s">
        <v>291</v>
      </c>
      <c r="E312" s="108" t="s">
        <v>436</v>
      </c>
      <c r="F312" s="108">
        <v>0</v>
      </c>
      <c r="G312" s="108">
        <v>0</v>
      </c>
      <c r="H312" s="109">
        <v>20506.81644271233</v>
      </c>
      <c r="I312" s="114">
        <v>0</v>
      </c>
      <c r="J312" s="110">
        <v>0</v>
      </c>
    </row>
    <row r="313" spans="1:10" ht="23.1" customHeight="1" x14ac:dyDescent="0.25">
      <c r="A313" s="105" t="s">
        <v>754</v>
      </c>
      <c r="B313" s="105" t="s">
        <v>274</v>
      </c>
      <c r="C313" s="106" t="s">
        <v>292</v>
      </c>
      <c r="D313" s="107" t="s">
        <v>293</v>
      </c>
      <c r="E313" s="108" t="s">
        <v>436</v>
      </c>
      <c r="F313" s="108">
        <v>0</v>
      </c>
      <c r="G313" s="108">
        <v>11160</v>
      </c>
      <c r="H313" s="109">
        <v>7254.4925723502201</v>
      </c>
      <c r="I313" s="114">
        <v>16880</v>
      </c>
      <c r="J313" s="110">
        <v>2</v>
      </c>
    </row>
    <row r="314" spans="1:10" ht="23.1" customHeight="1" x14ac:dyDescent="0.25">
      <c r="A314" s="105" t="s">
        <v>755</v>
      </c>
      <c r="B314" s="105" t="s">
        <v>274</v>
      </c>
      <c r="C314" s="106" t="s">
        <v>294</v>
      </c>
      <c r="D314" s="107" t="s">
        <v>295</v>
      </c>
      <c r="E314" s="108" t="s">
        <v>436</v>
      </c>
      <c r="F314" s="108">
        <v>0</v>
      </c>
      <c r="G314" s="108">
        <v>0</v>
      </c>
      <c r="H314" s="109">
        <v>23622.20592177962</v>
      </c>
      <c r="I314" s="114">
        <v>2665</v>
      </c>
      <c r="J314" s="110">
        <v>0</v>
      </c>
    </row>
    <row r="315" spans="1:10" ht="23.1" customHeight="1" x14ac:dyDescent="0.25">
      <c r="A315" s="105" t="s">
        <v>756</v>
      </c>
      <c r="B315" s="105" t="s">
        <v>274</v>
      </c>
      <c r="C315" s="106" t="s">
        <v>296</v>
      </c>
      <c r="D315" s="107" t="s">
        <v>297</v>
      </c>
      <c r="E315" s="108" t="s">
        <v>436</v>
      </c>
      <c r="F315" s="108">
        <v>0</v>
      </c>
      <c r="G315" s="108">
        <v>0</v>
      </c>
      <c r="H315" s="109">
        <v>19047.182390987684</v>
      </c>
      <c r="I315" s="114">
        <v>0</v>
      </c>
      <c r="J315" s="110">
        <v>0</v>
      </c>
    </row>
    <row r="316" spans="1:10" ht="23.1" customHeight="1" x14ac:dyDescent="0.25">
      <c r="A316" s="105" t="s">
        <v>757</v>
      </c>
      <c r="B316" s="105" t="s">
        <v>298</v>
      </c>
      <c r="C316" s="106" t="s">
        <v>300</v>
      </c>
      <c r="D316" s="107" t="s">
        <v>301</v>
      </c>
      <c r="E316" s="108" t="s">
        <v>436</v>
      </c>
      <c r="F316" s="108">
        <v>0</v>
      </c>
      <c r="G316" s="108">
        <v>0</v>
      </c>
      <c r="H316" s="109">
        <v>15909.240381099695</v>
      </c>
      <c r="I316" s="114">
        <v>0</v>
      </c>
      <c r="J316" s="110">
        <v>0</v>
      </c>
    </row>
    <row r="317" spans="1:10" ht="23.1" customHeight="1" x14ac:dyDescent="0.25">
      <c r="A317" s="105" t="s">
        <v>758</v>
      </c>
      <c r="B317" s="105" t="s">
        <v>298</v>
      </c>
      <c r="C317" s="106" t="s">
        <v>302</v>
      </c>
      <c r="D317" s="107" t="s">
        <v>303</v>
      </c>
      <c r="E317" s="108" t="s">
        <v>436</v>
      </c>
      <c r="F317" s="108">
        <v>0</v>
      </c>
      <c r="G317" s="108">
        <v>1688</v>
      </c>
      <c r="H317" s="109">
        <v>55940.2680629186</v>
      </c>
      <c r="I317" s="114">
        <v>3000</v>
      </c>
      <c r="J317" s="110">
        <v>0</v>
      </c>
    </row>
    <row r="318" spans="1:10" ht="23.1" customHeight="1" x14ac:dyDescent="0.25">
      <c r="A318" s="105" t="s">
        <v>759</v>
      </c>
      <c r="B318" s="105" t="s">
        <v>298</v>
      </c>
      <c r="C318" s="106" t="s">
        <v>304</v>
      </c>
      <c r="D318" s="107" t="s">
        <v>305</v>
      </c>
      <c r="E318" s="108" t="s">
        <v>436</v>
      </c>
      <c r="F318" s="108">
        <v>0</v>
      </c>
      <c r="G318" s="108">
        <v>2806</v>
      </c>
      <c r="H318" s="109">
        <v>21025.239176514784</v>
      </c>
      <c r="I318" s="114">
        <v>3375</v>
      </c>
      <c r="J318" s="110">
        <v>0</v>
      </c>
    </row>
    <row r="319" spans="1:10" ht="23.1" customHeight="1" x14ac:dyDescent="0.25">
      <c r="A319" s="105" t="s">
        <v>760</v>
      </c>
      <c r="B319" s="105" t="s">
        <v>298</v>
      </c>
      <c r="C319" s="106" t="s">
        <v>306</v>
      </c>
      <c r="D319" s="107" t="s">
        <v>307</v>
      </c>
      <c r="E319" s="108" t="s">
        <v>436</v>
      </c>
      <c r="F319" s="108">
        <v>0</v>
      </c>
      <c r="G319" s="108">
        <v>2095</v>
      </c>
      <c r="H319" s="109">
        <v>13395.917832423032</v>
      </c>
      <c r="I319" s="114">
        <v>2795</v>
      </c>
      <c r="J319" s="110">
        <v>1</v>
      </c>
    </row>
    <row r="320" spans="1:10" ht="23.1" customHeight="1" x14ac:dyDescent="0.25">
      <c r="A320" s="105" t="s">
        <v>761</v>
      </c>
      <c r="B320" s="105" t="s">
        <v>298</v>
      </c>
      <c r="C320" s="106" t="s">
        <v>308</v>
      </c>
      <c r="D320" s="107" t="s">
        <v>309</v>
      </c>
      <c r="E320" s="108" t="s">
        <v>436</v>
      </c>
      <c r="F320" s="108">
        <v>6607</v>
      </c>
      <c r="G320" s="108">
        <v>885</v>
      </c>
      <c r="H320" s="109">
        <v>19098.282429176365</v>
      </c>
      <c r="I320" s="114">
        <v>0</v>
      </c>
      <c r="J320" s="110">
        <v>1</v>
      </c>
    </row>
    <row r="321" spans="1:10" ht="23.1" customHeight="1" x14ac:dyDescent="0.25">
      <c r="A321" s="105" t="s">
        <v>762</v>
      </c>
      <c r="B321" s="111" t="s">
        <v>298</v>
      </c>
      <c r="C321" s="106" t="s">
        <v>310</v>
      </c>
      <c r="D321" s="107" t="s">
        <v>311</v>
      </c>
      <c r="E321" s="108" t="s">
        <v>436</v>
      </c>
      <c r="F321" s="108">
        <v>0</v>
      </c>
      <c r="G321" s="108">
        <v>8420</v>
      </c>
      <c r="H321" s="109">
        <v>28003.391877542992</v>
      </c>
      <c r="I321" s="114">
        <v>11635</v>
      </c>
      <c r="J321" s="110">
        <v>3</v>
      </c>
    </row>
    <row r="322" spans="1:10" ht="23.1" customHeight="1" x14ac:dyDescent="0.25">
      <c r="A322" s="105" t="s">
        <v>763</v>
      </c>
      <c r="B322" s="105" t="s">
        <v>298</v>
      </c>
      <c r="C322" s="106" t="s">
        <v>312</v>
      </c>
      <c r="D322" s="107" t="s">
        <v>313</v>
      </c>
      <c r="E322" s="108" t="s">
        <v>436</v>
      </c>
      <c r="F322" s="108">
        <v>0</v>
      </c>
      <c r="G322" s="108">
        <v>1695</v>
      </c>
      <c r="H322" s="109">
        <v>14707.961271055237</v>
      </c>
      <c r="I322" s="114">
        <v>3845</v>
      </c>
      <c r="J322" s="110">
        <v>0</v>
      </c>
    </row>
    <row r="323" spans="1:10" ht="23.1" customHeight="1" x14ac:dyDescent="0.25">
      <c r="A323" s="105" t="s">
        <v>764</v>
      </c>
      <c r="B323" s="105" t="s">
        <v>298</v>
      </c>
      <c r="C323" s="106" t="s">
        <v>314</v>
      </c>
      <c r="D323" s="107" t="s">
        <v>315</v>
      </c>
      <c r="E323" s="108" t="s">
        <v>436</v>
      </c>
      <c r="F323" s="108">
        <v>34730</v>
      </c>
      <c r="G323" s="108">
        <v>8750</v>
      </c>
      <c r="H323" s="109">
        <v>31493.324653278134</v>
      </c>
      <c r="I323" s="114">
        <v>67140</v>
      </c>
      <c r="J323" s="110">
        <v>3</v>
      </c>
    </row>
    <row r="324" spans="1:10" ht="23.1" customHeight="1" x14ac:dyDescent="0.25">
      <c r="A324" s="105" t="s">
        <v>765</v>
      </c>
      <c r="B324" s="105" t="s">
        <v>298</v>
      </c>
      <c r="C324" s="106" t="s">
        <v>316</v>
      </c>
      <c r="D324" s="107" t="s">
        <v>317</v>
      </c>
      <c r="E324" s="108" t="s">
        <v>436</v>
      </c>
      <c r="F324" s="108">
        <v>0</v>
      </c>
      <c r="G324" s="108">
        <v>8750</v>
      </c>
      <c r="H324" s="109">
        <v>33861.625864525478</v>
      </c>
      <c r="I324" s="114">
        <v>24540</v>
      </c>
      <c r="J324" s="110">
        <v>1</v>
      </c>
    </row>
    <row r="325" spans="1:10" ht="23.1" customHeight="1" x14ac:dyDescent="0.25">
      <c r="A325" s="105" t="s">
        <v>766</v>
      </c>
      <c r="B325" s="105" t="s">
        <v>298</v>
      </c>
      <c r="C325" s="106" t="s">
        <v>318</v>
      </c>
      <c r="D325" s="107" t="s">
        <v>319</v>
      </c>
      <c r="E325" s="108" t="s">
        <v>436</v>
      </c>
      <c r="F325" s="108">
        <v>0</v>
      </c>
      <c r="G325" s="108">
        <v>14228</v>
      </c>
      <c r="H325" s="109">
        <v>4696.6359121795149</v>
      </c>
      <c r="I325" s="114">
        <v>16000</v>
      </c>
      <c r="J325" s="110">
        <v>4</v>
      </c>
    </row>
    <row r="326" spans="1:10" ht="23.1" customHeight="1" x14ac:dyDescent="0.25">
      <c r="A326" s="105" t="s">
        <v>767</v>
      </c>
      <c r="B326" s="105" t="s">
        <v>298</v>
      </c>
      <c r="C326" s="106" t="s">
        <v>320</v>
      </c>
      <c r="D326" s="107" t="s">
        <v>321</v>
      </c>
      <c r="E326" s="108" t="s">
        <v>436</v>
      </c>
      <c r="F326" s="108">
        <v>8936</v>
      </c>
      <c r="G326" s="108">
        <v>9570</v>
      </c>
      <c r="H326" s="109">
        <v>24487.19539502931</v>
      </c>
      <c r="I326" s="114">
        <v>10455</v>
      </c>
      <c r="J326" s="110">
        <v>4</v>
      </c>
    </row>
    <row r="327" spans="1:10" ht="23.1" customHeight="1" x14ac:dyDescent="0.25">
      <c r="A327" s="105" t="s">
        <v>768</v>
      </c>
      <c r="B327" s="105" t="s">
        <v>298</v>
      </c>
      <c r="C327" s="106" t="s">
        <v>322</v>
      </c>
      <c r="D327" s="107" t="s">
        <v>323</v>
      </c>
      <c r="E327" s="108" t="s">
        <v>436</v>
      </c>
      <c r="F327" s="108">
        <v>2925</v>
      </c>
      <c r="G327" s="108">
        <v>1000</v>
      </c>
      <c r="H327" s="109">
        <v>7999.0115645070509</v>
      </c>
      <c r="I327" s="114">
        <v>1335</v>
      </c>
      <c r="J327" s="110">
        <v>1</v>
      </c>
    </row>
    <row r="328" spans="1:10" ht="23.1" customHeight="1" x14ac:dyDescent="0.25">
      <c r="A328" s="105" t="s">
        <v>769</v>
      </c>
      <c r="B328" s="105" t="s">
        <v>324</v>
      </c>
      <c r="C328" s="106" t="s">
        <v>326</v>
      </c>
      <c r="D328" s="107" t="s">
        <v>327</v>
      </c>
      <c r="E328" s="108" t="s">
        <v>436</v>
      </c>
      <c r="F328" s="108">
        <v>2530</v>
      </c>
      <c r="G328" s="108">
        <v>0</v>
      </c>
      <c r="H328" s="109">
        <v>321.44493296341682</v>
      </c>
      <c r="I328" s="114">
        <v>0</v>
      </c>
      <c r="J328" s="110">
        <v>1</v>
      </c>
    </row>
    <row r="329" spans="1:10" ht="23.1" customHeight="1" x14ac:dyDescent="0.25">
      <c r="A329" s="105" t="s">
        <v>770</v>
      </c>
      <c r="B329" s="105" t="s">
        <v>324</v>
      </c>
      <c r="C329" s="106" t="s">
        <v>328</v>
      </c>
      <c r="D329" s="107" t="s">
        <v>329</v>
      </c>
      <c r="E329" s="108" t="s">
        <v>436</v>
      </c>
      <c r="F329" s="108">
        <v>6816</v>
      </c>
      <c r="G329" s="108">
        <v>11065</v>
      </c>
      <c r="H329" s="109">
        <v>12921.74373504094</v>
      </c>
      <c r="I329" s="114">
        <v>9755</v>
      </c>
      <c r="J329" s="110">
        <v>1</v>
      </c>
    </row>
    <row r="330" spans="1:10" ht="23.1" customHeight="1" x14ac:dyDescent="0.25">
      <c r="A330" s="105" t="s">
        <v>771</v>
      </c>
      <c r="B330" s="105" t="s">
        <v>324</v>
      </c>
      <c r="C330" s="106" t="s">
        <v>330</v>
      </c>
      <c r="D330" s="107" t="s">
        <v>331</v>
      </c>
      <c r="E330" s="108" t="s">
        <v>436</v>
      </c>
      <c r="F330" s="108">
        <v>0</v>
      </c>
      <c r="G330" s="108">
        <v>0</v>
      </c>
      <c r="H330" s="109">
        <v>392.52822630967864</v>
      </c>
      <c r="I330" s="114">
        <v>0</v>
      </c>
      <c r="J330" s="110">
        <v>0</v>
      </c>
    </row>
    <row r="331" spans="1:10" ht="23.1" customHeight="1" x14ac:dyDescent="0.25">
      <c r="A331" s="105" t="s">
        <v>772</v>
      </c>
      <c r="B331" s="105" t="s">
        <v>324</v>
      </c>
      <c r="C331" s="106" t="s">
        <v>332</v>
      </c>
      <c r="D331" s="107" t="s">
        <v>333</v>
      </c>
      <c r="E331" s="108" t="s">
        <v>436</v>
      </c>
      <c r="F331" s="108">
        <v>0</v>
      </c>
      <c r="G331" s="108">
        <v>0</v>
      </c>
      <c r="H331" s="109">
        <v>5709.5014735953255</v>
      </c>
      <c r="I331" s="114">
        <v>0</v>
      </c>
      <c r="J331" s="110">
        <v>0</v>
      </c>
    </row>
    <row r="332" spans="1:10" ht="23.1" customHeight="1" x14ac:dyDescent="0.25">
      <c r="A332" s="105" t="s">
        <v>773</v>
      </c>
      <c r="B332" s="105" t="s">
        <v>324</v>
      </c>
      <c r="C332" s="106" t="s">
        <v>334</v>
      </c>
      <c r="D332" s="107" t="s">
        <v>335</v>
      </c>
      <c r="E332" s="108" t="s">
        <v>436</v>
      </c>
      <c r="F332" s="108">
        <v>0</v>
      </c>
      <c r="G332" s="108">
        <v>0</v>
      </c>
      <c r="H332" s="109">
        <v>0</v>
      </c>
      <c r="I332" s="114">
        <v>0</v>
      </c>
      <c r="J332" s="110">
        <v>0</v>
      </c>
    </row>
    <row r="333" spans="1:10" ht="23.1" customHeight="1" x14ac:dyDescent="0.25">
      <c r="A333" s="105" t="s">
        <v>774</v>
      </c>
      <c r="B333" s="105" t="s">
        <v>324</v>
      </c>
      <c r="C333" s="106" t="s">
        <v>336</v>
      </c>
      <c r="D333" s="107" t="s">
        <v>337</v>
      </c>
      <c r="E333" s="108" t="s">
        <v>436</v>
      </c>
      <c r="F333" s="108">
        <v>0</v>
      </c>
      <c r="G333" s="108">
        <v>0</v>
      </c>
      <c r="H333" s="109">
        <v>6660.1334689489468</v>
      </c>
      <c r="I333" s="114">
        <v>0</v>
      </c>
      <c r="J333" s="110">
        <v>0</v>
      </c>
    </row>
    <row r="334" spans="1:10" ht="23.1" customHeight="1" x14ac:dyDescent="0.25">
      <c r="A334" s="105" t="s">
        <v>775</v>
      </c>
      <c r="B334" s="105" t="s">
        <v>324</v>
      </c>
      <c r="C334" s="106" t="s">
        <v>338</v>
      </c>
      <c r="D334" s="107" t="s">
        <v>339</v>
      </c>
      <c r="E334" s="108" t="s">
        <v>436</v>
      </c>
      <c r="F334" s="108">
        <v>2000</v>
      </c>
      <c r="G334" s="108">
        <v>0</v>
      </c>
      <c r="H334" s="109">
        <v>351.13434062611253</v>
      </c>
      <c r="I334" s="114">
        <v>0</v>
      </c>
      <c r="J334" s="110">
        <v>0</v>
      </c>
    </row>
    <row r="335" spans="1:10" ht="23.1" customHeight="1" x14ac:dyDescent="0.25">
      <c r="A335" s="105" t="s">
        <v>776</v>
      </c>
      <c r="B335" s="105" t="s">
        <v>324</v>
      </c>
      <c r="C335" s="106" t="s">
        <v>322</v>
      </c>
      <c r="D335" s="107" t="s">
        <v>340</v>
      </c>
      <c r="E335" s="108" t="s">
        <v>436</v>
      </c>
      <c r="F335" s="108">
        <v>2447</v>
      </c>
      <c r="G335" s="108">
        <v>0</v>
      </c>
      <c r="H335" s="109">
        <v>10534.030218783375</v>
      </c>
      <c r="I335" s="114">
        <v>0</v>
      </c>
      <c r="J335" s="110">
        <v>0</v>
      </c>
    </row>
    <row r="336" spans="1:10" ht="23.1" customHeight="1" x14ac:dyDescent="0.25">
      <c r="A336" s="105" t="s">
        <v>777</v>
      </c>
      <c r="B336" s="105" t="s">
        <v>341</v>
      </c>
      <c r="C336" s="106" t="s">
        <v>343</v>
      </c>
      <c r="D336" s="107" t="s">
        <v>344</v>
      </c>
      <c r="E336" s="108" t="s">
        <v>436</v>
      </c>
      <c r="F336" s="108">
        <v>12767</v>
      </c>
      <c r="G336" s="108">
        <v>4025</v>
      </c>
      <c r="H336" s="109">
        <v>28262.03229429686</v>
      </c>
      <c r="I336" s="114">
        <v>5365</v>
      </c>
      <c r="J336" s="110">
        <v>1</v>
      </c>
    </row>
    <row r="337" spans="1:10" ht="23.1" customHeight="1" x14ac:dyDescent="0.25">
      <c r="A337" s="105" t="s">
        <v>778</v>
      </c>
      <c r="B337" s="105" t="s">
        <v>341</v>
      </c>
      <c r="C337" s="106" t="s">
        <v>341</v>
      </c>
      <c r="D337" s="107" t="s">
        <v>345</v>
      </c>
      <c r="E337" s="108" t="s">
        <v>436</v>
      </c>
      <c r="F337" s="108">
        <v>12186</v>
      </c>
      <c r="G337" s="108">
        <v>21730</v>
      </c>
      <c r="H337" s="109">
        <v>55327.924029875503</v>
      </c>
      <c r="I337" s="114">
        <v>28975</v>
      </c>
      <c r="J337" s="110">
        <v>2</v>
      </c>
    </row>
    <row r="338" spans="1:10" ht="23.1" customHeight="1" x14ac:dyDescent="0.25">
      <c r="A338" s="105" t="s">
        <v>779</v>
      </c>
      <c r="B338" s="105" t="s">
        <v>341</v>
      </c>
      <c r="C338" s="106" t="s">
        <v>346</v>
      </c>
      <c r="D338" s="107" t="s">
        <v>347</v>
      </c>
      <c r="E338" s="108" t="s">
        <v>436</v>
      </c>
      <c r="F338" s="108">
        <v>2874</v>
      </c>
      <c r="G338" s="108">
        <v>3600</v>
      </c>
      <c r="H338" s="109">
        <v>21410.630525982469</v>
      </c>
      <c r="I338" s="114">
        <v>4800</v>
      </c>
      <c r="J338" s="110">
        <v>0</v>
      </c>
    </row>
    <row r="339" spans="1:10" ht="23.1" customHeight="1" x14ac:dyDescent="0.25">
      <c r="A339" s="105" t="s">
        <v>780</v>
      </c>
      <c r="B339" s="105" t="s">
        <v>341</v>
      </c>
      <c r="C339" s="106" t="s">
        <v>348</v>
      </c>
      <c r="D339" s="107" t="s">
        <v>349</v>
      </c>
      <c r="E339" s="108" t="s">
        <v>436</v>
      </c>
      <c r="F339" s="108">
        <v>13672</v>
      </c>
      <c r="G339" s="108">
        <v>2500</v>
      </c>
      <c r="H339" s="109">
        <v>21410.630525982469</v>
      </c>
      <c r="I339" s="114">
        <v>3335</v>
      </c>
      <c r="J339" s="110">
        <v>1</v>
      </c>
    </row>
    <row r="340" spans="1:10" ht="23.1" customHeight="1" x14ac:dyDescent="0.25">
      <c r="A340" s="105" t="s">
        <v>781</v>
      </c>
      <c r="B340" s="105" t="s">
        <v>341</v>
      </c>
      <c r="C340" s="106" t="s">
        <v>350</v>
      </c>
      <c r="D340" s="107" t="s">
        <v>351</v>
      </c>
      <c r="E340" s="108" t="s">
        <v>436</v>
      </c>
      <c r="F340" s="108">
        <v>15020</v>
      </c>
      <c r="G340" s="108">
        <v>2000</v>
      </c>
      <c r="H340" s="109">
        <v>9231.1219825089229</v>
      </c>
      <c r="I340" s="114">
        <v>6000</v>
      </c>
      <c r="J340" s="110">
        <v>1</v>
      </c>
    </row>
    <row r="341" spans="1:10" ht="23.1" customHeight="1" x14ac:dyDescent="0.25">
      <c r="A341" s="105" t="s">
        <v>782</v>
      </c>
      <c r="B341" s="105" t="s">
        <v>341</v>
      </c>
      <c r="C341" s="106" t="s">
        <v>352</v>
      </c>
      <c r="D341" s="107" t="s">
        <v>353</v>
      </c>
      <c r="E341" s="108" t="s">
        <v>436</v>
      </c>
      <c r="F341" s="108">
        <v>8892</v>
      </c>
      <c r="G341" s="108">
        <v>0</v>
      </c>
      <c r="H341" s="109">
        <v>57145.543823994572</v>
      </c>
      <c r="I341" s="114">
        <v>0</v>
      </c>
      <c r="J341" s="110">
        <v>0</v>
      </c>
    </row>
    <row r="342" spans="1:10" ht="23.1" customHeight="1" x14ac:dyDescent="0.25">
      <c r="A342" s="105" t="s">
        <v>783</v>
      </c>
      <c r="B342" s="105" t="s">
        <v>341</v>
      </c>
      <c r="C342" s="106" t="s">
        <v>354</v>
      </c>
      <c r="D342" s="107" t="s">
        <v>355</v>
      </c>
      <c r="E342" s="108" t="s">
        <v>436</v>
      </c>
      <c r="F342" s="108">
        <v>3991</v>
      </c>
      <c r="G342" s="108">
        <v>7670</v>
      </c>
      <c r="H342" s="109">
        <v>9620.5099830081235</v>
      </c>
      <c r="I342" s="114">
        <v>10225</v>
      </c>
      <c r="J342" s="110">
        <v>2</v>
      </c>
    </row>
    <row r="343" spans="1:10" ht="23.1" customHeight="1" x14ac:dyDescent="0.25">
      <c r="A343" s="105" t="s">
        <v>784</v>
      </c>
      <c r="B343" s="105" t="s">
        <v>356</v>
      </c>
      <c r="C343" s="106" t="s">
        <v>358</v>
      </c>
      <c r="D343" s="107" t="s">
        <v>359</v>
      </c>
      <c r="E343" s="108" t="s">
        <v>436</v>
      </c>
      <c r="F343" s="108">
        <v>27693</v>
      </c>
      <c r="G343" s="108">
        <v>0</v>
      </c>
      <c r="H343" s="109">
        <v>692.84800382079277</v>
      </c>
      <c r="I343" s="114">
        <v>0</v>
      </c>
      <c r="J343" s="110">
        <v>0</v>
      </c>
    </row>
    <row r="344" spans="1:10" ht="23.1" customHeight="1" x14ac:dyDescent="0.25">
      <c r="A344" s="105" t="s">
        <v>785</v>
      </c>
      <c r="B344" s="105" t="s">
        <v>356</v>
      </c>
      <c r="C344" s="106" t="s">
        <v>360</v>
      </c>
      <c r="D344" s="107" t="s">
        <v>361</v>
      </c>
      <c r="E344" s="108" t="s">
        <v>436</v>
      </c>
      <c r="F344" s="108">
        <v>1757</v>
      </c>
      <c r="G344" s="108">
        <v>0</v>
      </c>
      <c r="H344" s="109">
        <v>3155.9269395298161</v>
      </c>
      <c r="I344" s="114">
        <v>0</v>
      </c>
      <c r="J344" s="110">
        <v>0</v>
      </c>
    </row>
    <row r="345" spans="1:10" ht="23.1" customHeight="1" x14ac:dyDescent="0.25">
      <c r="A345" s="105" t="s">
        <v>786</v>
      </c>
      <c r="B345" s="105" t="s">
        <v>356</v>
      </c>
      <c r="C345" s="106" t="s">
        <v>362</v>
      </c>
      <c r="D345" s="107" t="s">
        <v>363</v>
      </c>
      <c r="E345" s="108" t="s">
        <v>436</v>
      </c>
      <c r="F345" s="108">
        <v>3442</v>
      </c>
      <c r="G345" s="108">
        <v>0</v>
      </c>
      <c r="H345" s="109">
        <v>1103.6466348459765</v>
      </c>
      <c r="I345" s="114">
        <v>0</v>
      </c>
      <c r="J345" s="110">
        <v>0</v>
      </c>
    </row>
    <row r="346" spans="1:10" ht="23.1" customHeight="1" x14ac:dyDescent="0.25">
      <c r="A346" s="105" t="s">
        <v>787</v>
      </c>
      <c r="B346" s="105" t="s">
        <v>356</v>
      </c>
      <c r="C346" s="106" t="s">
        <v>364</v>
      </c>
      <c r="D346" s="107" t="s">
        <v>365</v>
      </c>
      <c r="E346" s="108" t="s">
        <v>436</v>
      </c>
      <c r="F346" s="108">
        <v>0</v>
      </c>
      <c r="G346" s="108">
        <v>0</v>
      </c>
      <c r="H346" s="109">
        <v>4656.0984517169882</v>
      </c>
      <c r="I346" s="114">
        <v>0</v>
      </c>
      <c r="J346" s="110">
        <v>0</v>
      </c>
    </row>
    <row r="347" spans="1:10" ht="23.1" customHeight="1" x14ac:dyDescent="0.25">
      <c r="A347" s="105" t="s">
        <v>788</v>
      </c>
      <c r="B347" s="111" t="s">
        <v>356</v>
      </c>
      <c r="C347" s="106" t="s">
        <v>366</v>
      </c>
      <c r="D347" s="107" t="s">
        <v>367</v>
      </c>
      <c r="E347" s="108" t="s">
        <v>436</v>
      </c>
      <c r="F347" s="108">
        <v>5280</v>
      </c>
      <c r="G347" s="108">
        <v>0</v>
      </c>
      <c r="H347" s="109">
        <v>53.954788925475825</v>
      </c>
      <c r="I347" s="114">
        <v>0</v>
      </c>
      <c r="J347" s="110">
        <v>0</v>
      </c>
    </row>
    <row r="348" spans="1:10" ht="23.1" customHeight="1" x14ac:dyDescent="0.25">
      <c r="A348" s="105" t="s">
        <v>789</v>
      </c>
      <c r="B348" s="105" t="s">
        <v>356</v>
      </c>
      <c r="C348" s="106" t="s">
        <v>368</v>
      </c>
      <c r="D348" s="107" t="s">
        <v>369</v>
      </c>
      <c r="E348" s="108" t="s">
        <v>436</v>
      </c>
      <c r="F348" s="108">
        <v>4334</v>
      </c>
      <c r="G348" s="108">
        <v>0</v>
      </c>
      <c r="H348" s="109">
        <v>832.15983977651865</v>
      </c>
      <c r="I348" s="114">
        <v>0</v>
      </c>
      <c r="J348" s="110">
        <v>0</v>
      </c>
    </row>
    <row r="349" spans="1:10" ht="23.1" customHeight="1" x14ac:dyDescent="0.25">
      <c r="A349" s="105" t="s">
        <v>790</v>
      </c>
      <c r="B349" s="111" t="s">
        <v>356</v>
      </c>
      <c r="C349" s="106" t="s">
        <v>370</v>
      </c>
      <c r="D349" s="107" t="s">
        <v>371</v>
      </c>
      <c r="E349" s="108" t="s">
        <v>436</v>
      </c>
      <c r="F349" s="108">
        <v>2374</v>
      </c>
      <c r="G349" s="108">
        <v>34240</v>
      </c>
      <c r="H349" s="109">
        <v>47471.650002208335</v>
      </c>
      <c r="I349" s="114">
        <v>45655</v>
      </c>
      <c r="J349" s="110">
        <v>2</v>
      </c>
    </row>
    <row r="350" spans="1:10" ht="23.1" customHeight="1" x14ac:dyDescent="0.25">
      <c r="A350" s="105" t="s">
        <v>791</v>
      </c>
      <c r="B350" s="105" t="s">
        <v>356</v>
      </c>
      <c r="C350" s="106" t="s">
        <v>372</v>
      </c>
      <c r="D350" s="107" t="s">
        <v>373</v>
      </c>
      <c r="E350" s="108" t="s">
        <v>436</v>
      </c>
      <c r="F350" s="108">
        <v>0</v>
      </c>
      <c r="G350" s="108">
        <v>2135</v>
      </c>
      <c r="H350" s="109">
        <v>43250.901037852986</v>
      </c>
      <c r="I350" s="114">
        <v>2845</v>
      </c>
      <c r="J350" s="110">
        <v>1</v>
      </c>
    </row>
    <row r="351" spans="1:10" ht="23.1" customHeight="1" x14ac:dyDescent="0.25">
      <c r="A351" s="105" t="s">
        <v>792</v>
      </c>
      <c r="B351" s="105" t="s">
        <v>374</v>
      </c>
      <c r="C351" s="106" t="s">
        <v>376</v>
      </c>
      <c r="D351" s="107" t="s">
        <v>377</v>
      </c>
      <c r="E351" s="112" t="s">
        <v>436</v>
      </c>
      <c r="F351" s="108">
        <v>2248</v>
      </c>
      <c r="G351" s="108">
        <v>8565</v>
      </c>
      <c r="H351" s="109">
        <v>17811.075321954297</v>
      </c>
      <c r="I351" s="114">
        <v>26420</v>
      </c>
      <c r="J351" s="110">
        <v>1</v>
      </c>
    </row>
    <row r="352" spans="1:10" ht="23.1" customHeight="1" x14ac:dyDescent="0.25">
      <c r="A352" s="105" t="s">
        <v>793</v>
      </c>
      <c r="B352" s="105" t="s">
        <v>374</v>
      </c>
      <c r="C352" s="106" t="s">
        <v>378</v>
      </c>
      <c r="D352" s="107" t="s">
        <v>379</v>
      </c>
      <c r="E352" s="108" t="s">
        <v>436</v>
      </c>
      <c r="F352" s="108">
        <v>23008</v>
      </c>
      <c r="G352" s="108">
        <v>0</v>
      </c>
      <c r="H352" s="109">
        <v>26850.072579876738</v>
      </c>
      <c r="I352" s="114">
        <v>0</v>
      </c>
      <c r="J352" s="110">
        <v>0</v>
      </c>
    </row>
    <row r="353" spans="1:10" ht="23.1" customHeight="1" x14ac:dyDescent="0.25">
      <c r="A353" s="105" t="s">
        <v>794</v>
      </c>
      <c r="B353" s="105" t="s">
        <v>374</v>
      </c>
      <c r="C353" s="106" t="s">
        <v>380</v>
      </c>
      <c r="D353" s="107" t="s">
        <v>381</v>
      </c>
      <c r="E353" s="108" t="s">
        <v>436</v>
      </c>
      <c r="F353" s="108">
        <v>24000</v>
      </c>
      <c r="G353" s="108">
        <v>3280</v>
      </c>
      <c r="H353" s="109">
        <v>31181.585872819829</v>
      </c>
      <c r="I353" s="114">
        <v>14375</v>
      </c>
      <c r="J353" s="110">
        <v>2</v>
      </c>
    </row>
    <row r="354" spans="1:10" ht="23.1" customHeight="1" x14ac:dyDescent="0.25">
      <c r="A354" s="105" t="s">
        <v>795</v>
      </c>
      <c r="B354" s="105" t="s">
        <v>374</v>
      </c>
      <c r="C354" s="106" t="s">
        <v>382</v>
      </c>
      <c r="D354" s="107" t="s">
        <v>383</v>
      </c>
      <c r="E354" s="108" t="s">
        <v>436</v>
      </c>
      <c r="F354" s="108">
        <v>26377</v>
      </c>
      <c r="G354" s="108">
        <v>32700</v>
      </c>
      <c r="H354" s="109">
        <v>37352.129590407974</v>
      </c>
      <c r="I354" s="114">
        <v>33335</v>
      </c>
      <c r="J354" s="110">
        <v>3</v>
      </c>
    </row>
    <row r="355" spans="1:10" ht="23.1" customHeight="1" x14ac:dyDescent="0.25">
      <c r="A355" s="105" t="s">
        <v>796</v>
      </c>
      <c r="B355" s="105" t="s">
        <v>374</v>
      </c>
      <c r="C355" s="106" t="s">
        <v>384</v>
      </c>
      <c r="D355" s="107" t="s">
        <v>385</v>
      </c>
      <c r="E355" s="108" t="s">
        <v>436</v>
      </c>
      <c r="F355" s="108">
        <v>24508</v>
      </c>
      <c r="G355" s="108">
        <v>430</v>
      </c>
      <c r="H355" s="109">
        <v>27856.086739524231</v>
      </c>
      <c r="I355" s="114">
        <v>6665</v>
      </c>
      <c r="J355" s="110">
        <v>1</v>
      </c>
    </row>
    <row r="356" spans="1:10" ht="23.1" customHeight="1" x14ac:dyDescent="0.25">
      <c r="A356" s="105" t="s">
        <v>797</v>
      </c>
      <c r="B356" s="105" t="s">
        <v>374</v>
      </c>
      <c r="C356" s="106" t="s">
        <v>386</v>
      </c>
      <c r="D356" s="107" t="s">
        <v>387</v>
      </c>
      <c r="E356" s="108" t="s">
        <v>436</v>
      </c>
      <c r="F356" s="108">
        <v>3888</v>
      </c>
      <c r="G356" s="108">
        <v>1150</v>
      </c>
      <c r="H356" s="109">
        <v>31672.602999549028</v>
      </c>
      <c r="I356" s="114">
        <v>1535</v>
      </c>
      <c r="J356" s="110">
        <v>1</v>
      </c>
    </row>
    <row r="357" spans="1:10" ht="23.1" customHeight="1" x14ac:dyDescent="0.25">
      <c r="A357" s="105" t="s">
        <v>798</v>
      </c>
      <c r="B357" s="105" t="s">
        <v>374</v>
      </c>
      <c r="C357" s="106" t="s">
        <v>388</v>
      </c>
      <c r="D357" s="107" t="s">
        <v>389</v>
      </c>
      <c r="E357" s="108" t="s">
        <v>436</v>
      </c>
      <c r="F357" s="108">
        <v>2492</v>
      </c>
      <c r="G357" s="108">
        <v>1875</v>
      </c>
      <c r="H357" s="109">
        <v>15138.172207090645</v>
      </c>
      <c r="I357" s="114">
        <v>3335</v>
      </c>
      <c r="J357" s="110">
        <v>0</v>
      </c>
    </row>
    <row r="358" spans="1:10" ht="23.1" customHeight="1" x14ac:dyDescent="0.25">
      <c r="A358" s="105" t="s">
        <v>799</v>
      </c>
      <c r="B358" s="105" t="s">
        <v>390</v>
      </c>
      <c r="C358" s="106" t="s">
        <v>392</v>
      </c>
      <c r="D358" s="107" t="s">
        <v>393</v>
      </c>
      <c r="E358" s="108" t="s">
        <v>436</v>
      </c>
      <c r="F358" s="108">
        <v>25058</v>
      </c>
      <c r="G358" s="108">
        <v>7770</v>
      </c>
      <c r="H358" s="109">
        <v>27581.459718644299</v>
      </c>
      <c r="I358" s="114">
        <v>12840</v>
      </c>
      <c r="J358" s="110">
        <v>2</v>
      </c>
    </row>
    <row r="359" spans="1:10" ht="23.1" customHeight="1" x14ac:dyDescent="0.25">
      <c r="A359" s="105" t="s">
        <v>800</v>
      </c>
      <c r="B359" s="105" t="s">
        <v>390</v>
      </c>
      <c r="C359" s="106" t="s">
        <v>394</v>
      </c>
      <c r="D359" s="107" t="s">
        <v>395</v>
      </c>
      <c r="E359" s="108" t="s">
        <v>436</v>
      </c>
      <c r="F359" s="108">
        <v>3581</v>
      </c>
      <c r="G359" s="108">
        <v>1425</v>
      </c>
      <c r="H359" s="109">
        <v>6622.1652841495379</v>
      </c>
      <c r="I359" s="114">
        <v>1900</v>
      </c>
      <c r="J359" s="110">
        <v>1</v>
      </c>
    </row>
    <row r="360" spans="1:10" ht="23.1" customHeight="1" x14ac:dyDescent="0.25">
      <c r="A360" s="105" t="s">
        <v>801</v>
      </c>
      <c r="B360" s="105" t="s">
        <v>390</v>
      </c>
      <c r="C360" s="106" t="s">
        <v>396</v>
      </c>
      <c r="D360" s="107" t="s">
        <v>397</v>
      </c>
      <c r="E360" s="108" t="s">
        <v>436</v>
      </c>
      <c r="F360" s="108">
        <v>3544</v>
      </c>
      <c r="G360" s="108">
        <v>0</v>
      </c>
      <c r="H360" s="109">
        <v>12269.718666756355</v>
      </c>
      <c r="I360" s="114">
        <v>2000</v>
      </c>
      <c r="J360" s="110">
        <v>0</v>
      </c>
    </row>
    <row r="361" spans="1:10" ht="23.1" customHeight="1" x14ac:dyDescent="0.25">
      <c r="A361" s="105" t="s">
        <v>802</v>
      </c>
      <c r="B361" s="105" t="s">
        <v>390</v>
      </c>
      <c r="C361" s="106" t="s">
        <v>398</v>
      </c>
      <c r="D361" s="107" t="s">
        <v>399</v>
      </c>
      <c r="E361" s="108" t="s">
        <v>436</v>
      </c>
      <c r="F361" s="108">
        <v>24025</v>
      </c>
      <c r="G361" s="108">
        <v>6400</v>
      </c>
      <c r="H361" s="109">
        <v>34530.208487083488</v>
      </c>
      <c r="I361" s="114">
        <v>52520</v>
      </c>
      <c r="J361" s="110">
        <v>1</v>
      </c>
    </row>
    <row r="362" spans="1:10" ht="23.1" customHeight="1" x14ac:dyDescent="0.25">
      <c r="A362" s="105" t="s">
        <v>803</v>
      </c>
      <c r="B362" s="105" t="s">
        <v>390</v>
      </c>
      <c r="C362" s="106" t="s">
        <v>400</v>
      </c>
      <c r="D362" s="107" t="s">
        <v>401</v>
      </c>
      <c r="E362" s="108" t="s">
        <v>436</v>
      </c>
      <c r="F362" s="108">
        <v>3225</v>
      </c>
      <c r="G362" s="108">
        <v>1540</v>
      </c>
      <c r="H362" s="109">
        <v>12255.159437998685</v>
      </c>
      <c r="I362" s="114">
        <v>2055</v>
      </c>
      <c r="J362" s="110">
        <v>1</v>
      </c>
    </row>
    <row r="363" spans="1:10" ht="23.1" customHeight="1" x14ac:dyDescent="0.25">
      <c r="A363" s="105" t="s">
        <v>804</v>
      </c>
      <c r="B363" s="105" t="s">
        <v>390</v>
      </c>
      <c r="C363" s="106" t="s">
        <v>402</v>
      </c>
      <c r="D363" s="107" t="s">
        <v>403</v>
      </c>
      <c r="E363" s="108" t="s">
        <v>436</v>
      </c>
      <c r="F363" s="108">
        <v>16704</v>
      </c>
      <c r="G363" s="108">
        <v>4225</v>
      </c>
      <c r="H363" s="109">
        <v>23229.677695469942</v>
      </c>
      <c r="I363" s="114">
        <v>39800</v>
      </c>
      <c r="J363" s="110">
        <v>1</v>
      </c>
    </row>
    <row r="364" spans="1:10" ht="23.1" customHeight="1" x14ac:dyDescent="0.25">
      <c r="A364" s="105" t="s">
        <v>805</v>
      </c>
      <c r="B364" s="105" t="s">
        <v>390</v>
      </c>
      <c r="C364" s="106" t="s">
        <v>404</v>
      </c>
      <c r="D364" s="107" t="s">
        <v>405</v>
      </c>
      <c r="E364" s="108" t="s">
        <v>436</v>
      </c>
      <c r="F364" s="108">
        <v>16186</v>
      </c>
      <c r="G364" s="108">
        <v>17250</v>
      </c>
      <c r="H364" s="109">
        <v>23007.578088147082</v>
      </c>
      <c r="I364" s="114">
        <v>44665</v>
      </c>
      <c r="J364" s="110">
        <v>2</v>
      </c>
    </row>
    <row r="365" spans="1:10" ht="23.1" customHeight="1" x14ac:dyDescent="0.25">
      <c r="A365" s="105" t="s">
        <v>806</v>
      </c>
      <c r="B365" s="105" t="s">
        <v>406</v>
      </c>
      <c r="C365" s="106" t="s">
        <v>408</v>
      </c>
      <c r="D365" s="107" t="s">
        <v>409</v>
      </c>
      <c r="E365" s="108" t="s">
        <v>436</v>
      </c>
      <c r="F365" s="108">
        <v>2000</v>
      </c>
      <c r="G365" s="108">
        <v>0</v>
      </c>
      <c r="H365" s="109">
        <v>570.95014735953248</v>
      </c>
      <c r="I365" s="114">
        <v>0</v>
      </c>
      <c r="J365" s="110">
        <v>0</v>
      </c>
    </row>
    <row r="366" spans="1:10" ht="23.1" customHeight="1" x14ac:dyDescent="0.25">
      <c r="A366" s="105" t="s">
        <v>807</v>
      </c>
      <c r="B366" s="105" t="s">
        <v>406</v>
      </c>
      <c r="C366" s="106" t="s">
        <v>410</v>
      </c>
      <c r="D366" s="107" t="s">
        <v>411</v>
      </c>
      <c r="E366" s="108" t="s">
        <v>436</v>
      </c>
      <c r="F366" s="108">
        <v>12949</v>
      </c>
      <c r="G366" s="108">
        <v>0</v>
      </c>
      <c r="H366" s="109">
        <v>58.236915030672321</v>
      </c>
      <c r="I366" s="114">
        <v>0</v>
      </c>
      <c r="J366" s="110">
        <v>0</v>
      </c>
    </row>
    <row r="367" spans="1:10" ht="23.1" customHeight="1" x14ac:dyDescent="0.25">
      <c r="A367" s="105" t="s">
        <v>808</v>
      </c>
      <c r="B367" s="105" t="s">
        <v>406</v>
      </c>
      <c r="C367" s="106" t="s">
        <v>412</v>
      </c>
      <c r="D367" s="107" t="s">
        <v>413</v>
      </c>
      <c r="E367" s="108" t="s">
        <v>436</v>
      </c>
      <c r="F367" s="108">
        <v>800</v>
      </c>
      <c r="G367" s="108">
        <v>0</v>
      </c>
      <c r="H367" s="109">
        <v>10134.365115631703</v>
      </c>
      <c r="I367" s="114">
        <v>0</v>
      </c>
      <c r="J367" s="110">
        <v>0</v>
      </c>
    </row>
    <row r="368" spans="1:10" ht="23.1" customHeight="1" x14ac:dyDescent="0.25">
      <c r="A368" s="105" t="s">
        <v>809</v>
      </c>
      <c r="B368" s="105" t="s">
        <v>406</v>
      </c>
      <c r="C368" s="106" t="s">
        <v>414</v>
      </c>
      <c r="D368" s="107" t="s">
        <v>415</v>
      </c>
      <c r="E368" s="108" t="s">
        <v>436</v>
      </c>
      <c r="F368" s="108">
        <v>0</v>
      </c>
      <c r="G368" s="108">
        <v>0</v>
      </c>
      <c r="H368" s="109">
        <v>0</v>
      </c>
      <c r="I368" s="114">
        <v>0</v>
      </c>
      <c r="J368" s="110">
        <v>0</v>
      </c>
    </row>
    <row r="369" spans="1:10" ht="23.1" customHeight="1" x14ac:dyDescent="0.25">
      <c r="A369" s="105" t="s">
        <v>810</v>
      </c>
      <c r="B369" s="105" t="s">
        <v>406</v>
      </c>
      <c r="C369" s="106" t="s">
        <v>416</v>
      </c>
      <c r="D369" s="107" t="s">
        <v>417</v>
      </c>
      <c r="E369" s="108" t="s">
        <v>436</v>
      </c>
      <c r="F369" s="108">
        <v>1877</v>
      </c>
      <c r="G369" s="108">
        <v>0</v>
      </c>
      <c r="H369" s="109">
        <v>0</v>
      </c>
      <c r="I369" s="114">
        <v>0</v>
      </c>
      <c r="J369" s="110">
        <v>0</v>
      </c>
    </row>
    <row r="370" spans="1:10" ht="23.1" customHeight="1" x14ac:dyDescent="0.25">
      <c r="A370" s="105" t="s">
        <v>811</v>
      </c>
      <c r="B370" s="105" t="s">
        <v>406</v>
      </c>
      <c r="C370" s="106" t="s">
        <v>418</v>
      </c>
      <c r="D370" s="107" t="s">
        <v>419</v>
      </c>
      <c r="E370" s="108" t="s">
        <v>436</v>
      </c>
      <c r="F370" s="108">
        <v>1400</v>
      </c>
      <c r="G370" s="108">
        <v>7500</v>
      </c>
      <c r="H370" s="109">
        <v>2141.0630525982469</v>
      </c>
      <c r="I370" s="114">
        <v>10000</v>
      </c>
      <c r="J370" s="110">
        <v>1</v>
      </c>
    </row>
    <row r="371" spans="1:10" ht="23.1" customHeight="1" x14ac:dyDescent="0.25">
      <c r="A371" s="105" t="s">
        <v>812</v>
      </c>
      <c r="B371" s="105" t="s">
        <v>406</v>
      </c>
      <c r="C371" s="106" t="s">
        <v>420</v>
      </c>
      <c r="D371" s="107" t="s">
        <v>421</v>
      </c>
      <c r="E371" s="108" t="s">
        <v>436</v>
      </c>
      <c r="F371" s="108">
        <v>0</v>
      </c>
      <c r="G371" s="108">
        <v>0</v>
      </c>
      <c r="H371" s="109">
        <v>164690.57000585715</v>
      </c>
      <c r="I371" s="114">
        <v>0</v>
      </c>
      <c r="J371" s="110">
        <v>0</v>
      </c>
    </row>
    <row r="372" spans="1:10" ht="23.1" customHeight="1" x14ac:dyDescent="0.25">
      <c r="A372" s="105" t="s">
        <v>813</v>
      </c>
      <c r="B372" s="105" t="s">
        <v>406</v>
      </c>
      <c r="C372" s="106" t="s">
        <v>422</v>
      </c>
      <c r="D372" s="107" t="s">
        <v>423</v>
      </c>
      <c r="E372" s="108" t="s">
        <v>436</v>
      </c>
      <c r="F372" s="108">
        <v>0</v>
      </c>
      <c r="G372" s="108">
        <v>0</v>
      </c>
      <c r="H372" s="109">
        <v>0</v>
      </c>
      <c r="I372" s="114">
        <v>0</v>
      </c>
      <c r="J372" s="110">
        <v>0</v>
      </c>
    </row>
    <row r="373" spans="1:10" ht="23.1" customHeight="1" x14ac:dyDescent="0.25">
      <c r="A373" s="105" t="s">
        <v>814</v>
      </c>
      <c r="B373" s="105" t="s">
        <v>406</v>
      </c>
      <c r="C373" s="106" t="s">
        <v>424</v>
      </c>
      <c r="D373" s="107" t="s">
        <v>425</v>
      </c>
      <c r="E373" s="108" t="s">
        <v>436</v>
      </c>
      <c r="F373" s="108">
        <v>1400</v>
      </c>
      <c r="G373" s="108">
        <v>0</v>
      </c>
      <c r="H373" s="109">
        <v>205.5420530494317</v>
      </c>
      <c r="I373" s="114">
        <v>0</v>
      </c>
      <c r="J373" s="110">
        <v>0</v>
      </c>
    </row>
    <row r="374" spans="1:10" ht="23.1" customHeight="1" x14ac:dyDescent="0.25">
      <c r="A374" s="105" t="s">
        <v>815</v>
      </c>
      <c r="B374" s="105" t="s">
        <v>406</v>
      </c>
      <c r="C374" s="106" t="s">
        <v>426</v>
      </c>
      <c r="D374" s="107" t="s">
        <v>427</v>
      </c>
      <c r="E374" s="108" t="s">
        <v>436</v>
      </c>
      <c r="F374" s="108">
        <v>5250</v>
      </c>
      <c r="G374" s="108">
        <v>0</v>
      </c>
      <c r="H374" s="109">
        <v>2696.8830210527517</v>
      </c>
      <c r="I374" s="114">
        <v>0</v>
      </c>
      <c r="J374" s="110">
        <v>0</v>
      </c>
    </row>
    <row r="375" spans="1:10" ht="23.1" customHeight="1" x14ac:dyDescent="0.25">
      <c r="A375" s="105" t="s">
        <v>816</v>
      </c>
      <c r="B375" s="105" t="s">
        <v>406</v>
      </c>
      <c r="C375" s="106" t="s">
        <v>428</v>
      </c>
      <c r="D375" s="107" t="s">
        <v>429</v>
      </c>
      <c r="E375" s="108" t="s">
        <v>436</v>
      </c>
      <c r="F375" s="108">
        <v>2600</v>
      </c>
      <c r="G375" s="108">
        <v>0</v>
      </c>
      <c r="H375" s="109">
        <v>18807.097854023003</v>
      </c>
      <c r="I375" s="114">
        <v>0</v>
      </c>
      <c r="J375" s="110">
        <v>1</v>
      </c>
    </row>
    <row r="376" spans="1:10" ht="23.1" customHeight="1" x14ac:dyDescent="0.25">
      <c r="A376" s="105" t="s">
        <v>817</v>
      </c>
      <c r="B376" s="105" t="s">
        <v>406</v>
      </c>
      <c r="C376" s="106" t="s">
        <v>430</v>
      </c>
      <c r="D376" s="107" t="s">
        <v>431</v>
      </c>
      <c r="E376" s="108" t="s">
        <v>436</v>
      </c>
      <c r="F376" s="108">
        <v>0</v>
      </c>
      <c r="G376" s="108">
        <v>0</v>
      </c>
      <c r="H376" s="109">
        <v>62.804516209548581</v>
      </c>
      <c r="I376" s="114">
        <v>0</v>
      </c>
      <c r="J376" s="110">
        <v>0</v>
      </c>
    </row>
    <row r="377" spans="1:10" ht="23.1" customHeight="1" x14ac:dyDescent="0.25">
      <c r="A377" s="105" t="s">
        <v>818</v>
      </c>
      <c r="B377" s="105" t="s">
        <v>406</v>
      </c>
      <c r="C377" s="106" t="s">
        <v>432</v>
      </c>
      <c r="D377" s="107" t="s">
        <v>433</v>
      </c>
      <c r="E377" s="108" t="s">
        <v>436</v>
      </c>
      <c r="F377" s="108">
        <v>0</v>
      </c>
      <c r="G377" s="108">
        <v>0</v>
      </c>
      <c r="H377" s="109">
        <v>0</v>
      </c>
      <c r="I377" s="114">
        <v>0</v>
      </c>
      <c r="J377" s="110">
        <v>0</v>
      </c>
    </row>
    <row r="378" spans="1:10" ht="23.1" customHeight="1" x14ac:dyDescent="0.25">
      <c r="A378" s="105" t="s">
        <v>819</v>
      </c>
      <c r="B378" s="105" t="s">
        <v>406</v>
      </c>
      <c r="C378" s="106" t="s">
        <v>434</v>
      </c>
      <c r="D378" s="107" t="s">
        <v>435</v>
      </c>
      <c r="E378" s="108" t="s">
        <v>436</v>
      </c>
      <c r="F378" s="108">
        <v>0</v>
      </c>
      <c r="G378" s="108">
        <v>0</v>
      </c>
      <c r="H378" s="109">
        <v>4.2821261051964941</v>
      </c>
      <c r="I378" s="114">
        <v>0</v>
      </c>
      <c r="J378" s="110">
        <v>0</v>
      </c>
    </row>
    <row r="379" spans="1:10" ht="23.1" customHeight="1" x14ac:dyDescent="0.25">
      <c r="A379" s="105" t="s">
        <v>820</v>
      </c>
      <c r="B379" s="105" t="s">
        <v>26</v>
      </c>
      <c r="C379" s="106" t="s">
        <v>28</v>
      </c>
      <c r="D379" s="107" t="s">
        <v>29</v>
      </c>
      <c r="E379" s="108" t="s">
        <v>437</v>
      </c>
      <c r="F379" s="108">
        <v>25511</v>
      </c>
      <c r="G379" s="108"/>
      <c r="H379" s="109">
        <v>892.50550978534534</v>
      </c>
      <c r="I379" s="114">
        <v>0</v>
      </c>
      <c r="J379" s="110">
        <v>1</v>
      </c>
    </row>
    <row r="380" spans="1:10" ht="23.1" customHeight="1" x14ac:dyDescent="0.25">
      <c r="A380" s="105" t="s">
        <v>821</v>
      </c>
      <c r="B380" s="105" t="s">
        <v>26</v>
      </c>
      <c r="C380" s="106" t="s">
        <v>31</v>
      </c>
      <c r="D380" s="107" t="s">
        <v>32</v>
      </c>
      <c r="E380" s="108" t="s">
        <v>437</v>
      </c>
      <c r="F380" s="108">
        <v>29507</v>
      </c>
      <c r="G380" s="108"/>
      <c r="H380" s="109">
        <v>42.305329799855755</v>
      </c>
      <c r="I380" s="114">
        <v>0</v>
      </c>
      <c r="J380" s="110">
        <v>0</v>
      </c>
    </row>
    <row r="381" spans="1:10" ht="23.1" customHeight="1" x14ac:dyDescent="0.25">
      <c r="A381" s="105" t="s">
        <v>822</v>
      </c>
      <c r="B381" s="105" t="s">
        <v>26</v>
      </c>
      <c r="C381" s="106" t="s">
        <v>33</v>
      </c>
      <c r="D381" s="107" t="s">
        <v>34</v>
      </c>
      <c r="E381" s="108" t="s">
        <v>437</v>
      </c>
      <c r="F381" s="108">
        <v>10669</v>
      </c>
      <c r="G381" s="108"/>
      <c r="H381" s="109">
        <v>521.00159852039098</v>
      </c>
      <c r="I381" s="114">
        <v>0</v>
      </c>
      <c r="J381" s="110">
        <v>0</v>
      </c>
    </row>
    <row r="382" spans="1:10" ht="23.1" customHeight="1" x14ac:dyDescent="0.25">
      <c r="A382" s="105" t="s">
        <v>823</v>
      </c>
      <c r="B382" s="105" t="s">
        <v>26</v>
      </c>
      <c r="C382" s="106" t="s">
        <v>35</v>
      </c>
      <c r="D382" s="107" t="s">
        <v>36</v>
      </c>
      <c r="E382" s="108" t="s">
        <v>437</v>
      </c>
      <c r="F382" s="108">
        <v>16046</v>
      </c>
      <c r="G382" s="108"/>
      <c r="H382" s="109">
        <v>297.71519915450915</v>
      </c>
      <c r="I382" s="114">
        <v>0</v>
      </c>
      <c r="J382" s="110">
        <v>0</v>
      </c>
    </row>
    <row r="383" spans="1:10" ht="23.1" customHeight="1" x14ac:dyDescent="0.25">
      <c r="A383" s="105" t="s">
        <v>824</v>
      </c>
      <c r="B383" s="105" t="s">
        <v>26</v>
      </c>
      <c r="C383" s="106" t="s">
        <v>37</v>
      </c>
      <c r="D383" s="107" t="s">
        <v>38</v>
      </c>
      <c r="E383" s="108" t="s">
        <v>437</v>
      </c>
      <c r="F383" s="108">
        <v>21193</v>
      </c>
      <c r="G383" s="108"/>
      <c r="H383" s="109">
        <v>1267.01634456176</v>
      </c>
      <c r="I383" s="114">
        <v>0</v>
      </c>
      <c r="J383" s="110">
        <v>2</v>
      </c>
    </row>
    <row r="384" spans="1:10" ht="23.1" customHeight="1" x14ac:dyDescent="0.25">
      <c r="A384" s="105" t="s">
        <v>825</v>
      </c>
      <c r="B384" s="105" t="s">
        <v>26</v>
      </c>
      <c r="C384" s="106" t="s">
        <v>39</v>
      </c>
      <c r="D384" s="107" t="s">
        <v>40</v>
      </c>
      <c r="E384" s="108" t="s">
        <v>437</v>
      </c>
      <c r="F384" s="108">
        <v>8298.5</v>
      </c>
      <c r="G384" s="108"/>
      <c r="H384" s="109">
        <v>1157.665551912309</v>
      </c>
      <c r="I384" s="114">
        <v>0</v>
      </c>
      <c r="J384" s="110">
        <v>1</v>
      </c>
    </row>
    <row r="385" spans="1:10" ht="23.1" customHeight="1" x14ac:dyDescent="0.25">
      <c r="A385" s="105" t="s">
        <v>826</v>
      </c>
      <c r="B385" s="105" t="s">
        <v>26</v>
      </c>
      <c r="C385" s="106" t="s">
        <v>26</v>
      </c>
      <c r="D385" s="107" t="s">
        <v>41</v>
      </c>
      <c r="E385" s="108" t="s">
        <v>437</v>
      </c>
      <c r="F385" s="108">
        <v>11375.5</v>
      </c>
      <c r="G385" s="108"/>
      <c r="H385" s="109">
        <v>1486.2091599392675</v>
      </c>
      <c r="I385" s="114">
        <v>0</v>
      </c>
      <c r="J385" s="110">
        <v>0</v>
      </c>
    </row>
    <row r="386" spans="1:10" ht="23.1" customHeight="1" x14ac:dyDescent="0.25">
      <c r="A386" s="105" t="s">
        <v>827</v>
      </c>
      <c r="B386" s="105" t="s">
        <v>42</v>
      </c>
      <c r="C386" s="106" t="s">
        <v>44</v>
      </c>
      <c r="D386" s="107" t="s">
        <v>45</v>
      </c>
      <c r="E386" s="108" t="s">
        <v>437</v>
      </c>
      <c r="F386" s="108">
        <v>0</v>
      </c>
      <c r="G386" s="108"/>
      <c r="H386" s="109">
        <v>66.241631811878293</v>
      </c>
      <c r="I386" s="114">
        <v>0</v>
      </c>
      <c r="J386" s="110">
        <v>0</v>
      </c>
    </row>
    <row r="387" spans="1:10" ht="23.1" customHeight="1" x14ac:dyDescent="0.25">
      <c r="A387" s="105" t="s">
        <v>828</v>
      </c>
      <c r="B387" s="105" t="s">
        <v>42</v>
      </c>
      <c r="C387" s="106" t="s">
        <v>46</v>
      </c>
      <c r="D387" s="107" t="s">
        <v>47</v>
      </c>
      <c r="E387" s="108" t="s">
        <v>437</v>
      </c>
      <c r="F387" s="108">
        <v>0</v>
      </c>
      <c r="G387" s="108"/>
      <c r="H387" s="109">
        <v>2349.6874378070479</v>
      </c>
      <c r="I387" s="114">
        <v>0</v>
      </c>
      <c r="J387" s="110">
        <v>1</v>
      </c>
    </row>
    <row r="388" spans="1:10" ht="23.1" customHeight="1" x14ac:dyDescent="0.25">
      <c r="A388" s="105" t="s">
        <v>829</v>
      </c>
      <c r="B388" s="105" t="s">
        <v>42</v>
      </c>
      <c r="C388" s="106" t="s">
        <v>48</v>
      </c>
      <c r="D388" s="107" t="s">
        <v>49</v>
      </c>
      <c r="E388" s="108" t="s">
        <v>437</v>
      </c>
      <c r="F388" s="108">
        <v>0</v>
      </c>
      <c r="G388" s="108"/>
      <c r="H388" s="109">
        <v>28.565773358875155</v>
      </c>
      <c r="I388" s="114">
        <v>0</v>
      </c>
      <c r="J388" s="110">
        <v>0</v>
      </c>
    </row>
    <row r="389" spans="1:10" ht="23.1" customHeight="1" x14ac:dyDescent="0.25">
      <c r="A389" s="105" t="s">
        <v>830</v>
      </c>
      <c r="B389" s="105" t="s">
        <v>42</v>
      </c>
      <c r="C389" s="106" t="s">
        <v>50</v>
      </c>
      <c r="D389" s="107" t="s">
        <v>51</v>
      </c>
      <c r="E389" s="108" t="s">
        <v>437</v>
      </c>
      <c r="F389" s="108">
        <v>0</v>
      </c>
      <c r="G389" s="108"/>
      <c r="H389" s="109">
        <v>302.37444202127722</v>
      </c>
      <c r="I389" s="114">
        <v>0</v>
      </c>
      <c r="J389" s="110">
        <v>0</v>
      </c>
    </row>
    <row r="390" spans="1:10" ht="23.1" customHeight="1" x14ac:dyDescent="0.25">
      <c r="A390" s="105" t="s">
        <v>831</v>
      </c>
      <c r="B390" s="105" t="s">
        <v>42</v>
      </c>
      <c r="C390" s="106" t="s">
        <v>52</v>
      </c>
      <c r="D390" s="107" t="s">
        <v>53</v>
      </c>
      <c r="E390" s="108" t="s">
        <v>437</v>
      </c>
      <c r="F390" s="108">
        <v>0</v>
      </c>
      <c r="G390" s="108"/>
      <c r="H390" s="109">
        <v>23.043156414559011</v>
      </c>
      <c r="I390" s="114">
        <v>0</v>
      </c>
      <c r="J390" s="110">
        <v>0</v>
      </c>
    </row>
    <row r="391" spans="1:10" ht="23.1" customHeight="1" x14ac:dyDescent="0.25">
      <c r="A391" s="105" t="s">
        <v>832</v>
      </c>
      <c r="B391" s="105" t="s">
        <v>42</v>
      </c>
      <c r="C391" s="106" t="s">
        <v>54</v>
      </c>
      <c r="D391" s="107" t="s">
        <v>55</v>
      </c>
      <c r="E391" s="108" t="s">
        <v>437</v>
      </c>
      <c r="F391" s="108">
        <v>0</v>
      </c>
      <c r="G391" s="108"/>
      <c r="H391" s="109">
        <v>40.504152844970974</v>
      </c>
      <c r="I391" s="114">
        <v>0</v>
      </c>
      <c r="J391" s="110">
        <v>0</v>
      </c>
    </row>
    <row r="392" spans="1:10" ht="23.1" customHeight="1" x14ac:dyDescent="0.25">
      <c r="A392" s="105" t="s">
        <v>833</v>
      </c>
      <c r="B392" s="105" t="s">
        <v>42</v>
      </c>
      <c r="C392" s="106" t="s">
        <v>56</v>
      </c>
      <c r="D392" s="107" t="s">
        <v>57</v>
      </c>
      <c r="E392" s="108" t="s">
        <v>437</v>
      </c>
      <c r="F392" s="108">
        <v>0</v>
      </c>
      <c r="G392" s="108"/>
      <c r="H392" s="109">
        <v>52.100159852039106</v>
      </c>
      <c r="I392" s="114">
        <v>0</v>
      </c>
      <c r="J392" s="110">
        <v>1</v>
      </c>
    </row>
    <row r="393" spans="1:10" ht="23.1" customHeight="1" x14ac:dyDescent="0.25">
      <c r="A393" s="105" t="s">
        <v>834</v>
      </c>
      <c r="B393" s="105" t="s">
        <v>42</v>
      </c>
      <c r="C393" s="106" t="s">
        <v>58</v>
      </c>
      <c r="D393" s="107" t="s">
        <v>59</v>
      </c>
      <c r="E393" s="108" t="s">
        <v>437</v>
      </c>
      <c r="F393" s="108">
        <v>1252</v>
      </c>
      <c r="G393" s="108"/>
      <c r="H393" s="109">
        <v>229.22581758901433</v>
      </c>
      <c r="I393" s="114">
        <v>0</v>
      </c>
      <c r="J393" s="110">
        <v>0</v>
      </c>
    </row>
    <row r="394" spans="1:10" ht="23.1" customHeight="1" x14ac:dyDescent="0.25">
      <c r="A394" s="105" t="s">
        <v>835</v>
      </c>
      <c r="B394" s="105" t="s">
        <v>42</v>
      </c>
      <c r="C394" s="106" t="s">
        <v>60</v>
      </c>
      <c r="D394" s="107" t="s">
        <v>61</v>
      </c>
      <c r="E394" s="108" t="s">
        <v>437</v>
      </c>
      <c r="F394" s="108">
        <v>0</v>
      </c>
      <c r="G394" s="108"/>
      <c r="H394" s="109">
        <v>56.536116319441291</v>
      </c>
      <c r="I394" s="114">
        <v>0</v>
      </c>
      <c r="J394" s="110">
        <v>0</v>
      </c>
    </row>
    <row r="395" spans="1:10" ht="23.1" customHeight="1" x14ac:dyDescent="0.25">
      <c r="A395" s="105" t="s">
        <v>836</v>
      </c>
      <c r="B395" s="105" t="s">
        <v>42</v>
      </c>
      <c r="C395" s="106" t="s">
        <v>62</v>
      </c>
      <c r="D395" s="107" t="s">
        <v>63</v>
      </c>
      <c r="E395" s="108" t="s">
        <v>437</v>
      </c>
      <c r="F395" s="108">
        <v>923</v>
      </c>
      <c r="G395" s="108"/>
      <c r="H395" s="109">
        <v>267.30359156087604</v>
      </c>
      <c r="I395" s="114">
        <v>0</v>
      </c>
      <c r="J395" s="110">
        <v>0</v>
      </c>
    </row>
    <row r="396" spans="1:10" ht="23.1" customHeight="1" x14ac:dyDescent="0.25">
      <c r="A396" s="105" t="s">
        <v>837</v>
      </c>
      <c r="B396" s="105" t="s">
        <v>42</v>
      </c>
      <c r="C396" s="106" t="s">
        <v>64</v>
      </c>
      <c r="D396" s="107" t="s">
        <v>65</v>
      </c>
      <c r="E396" s="108" t="s">
        <v>437</v>
      </c>
      <c r="F396" s="108">
        <v>243.5</v>
      </c>
      <c r="G396" s="108"/>
      <c r="H396" s="109">
        <v>1263.0418466530473</v>
      </c>
      <c r="I396" s="114">
        <v>0</v>
      </c>
      <c r="J396" s="110">
        <v>0</v>
      </c>
    </row>
    <row r="397" spans="1:10" ht="23.1" customHeight="1" x14ac:dyDescent="0.25">
      <c r="A397" s="105" t="s">
        <v>838</v>
      </c>
      <c r="B397" s="105" t="s">
        <v>42</v>
      </c>
      <c r="C397" s="106" t="s">
        <v>66</v>
      </c>
      <c r="D397" s="107" t="s">
        <v>67</v>
      </c>
      <c r="E397" s="108" t="s">
        <v>437</v>
      </c>
      <c r="F397" s="108">
        <v>0</v>
      </c>
      <c r="G397" s="108"/>
      <c r="H397" s="109">
        <v>142.9032955941644</v>
      </c>
      <c r="I397" s="114">
        <v>0</v>
      </c>
      <c r="J397" s="110">
        <v>0</v>
      </c>
    </row>
    <row r="398" spans="1:10" ht="23.1" customHeight="1" x14ac:dyDescent="0.25">
      <c r="A398" s="105" t="s">
        <v>839</v>
      </c>
      <c r="B398" s="105" t="s">
        <v>42</v>
      </c>
      <c r="C398" s="106" t="s">
        <v>68</v>
      </c>
      <c r="D398" s="107" t="s">
        <v>69</v>
      </c>
      <c r="E398" s="108" t="s">
        <v>437</v>
      </c>
      <c r="F398" s="108">
        <v>0</v>
      </c>
      <c r="G398" s="108"/>
      <c r="H398" s="109">
        <v>41.397298442434497</v>
      </c>
      <c r="I398" s="114">
        <v>0</v>
      </c>
      <c r="J398" s="110">
        <v>0</v>
      </c>
    </row>
    <row r="399" spans="1:10" ht="23.1" customHeight="1" x14ac:dyDescent="0.25">
      <c r="A399" s="105" t="s">
        <v>840</v>
      </c>
      <c r="B399" s="105" t="s">
        <v>42</v>
      </c>
      <c r="C399" s="106" t="s">
        <v>70</v>
      </c>
      <c r="D399" s="107" t="s">
        <v>71</v>
      </c>
      <c r="E399" s="108" t="s">
        <v>437</v>
      </c>
      <c r="F399" s="108">
        <v>0</v>
      </c>
      <c r="G399" s="108"/>
      <c r="H399" s="109">
        <v>35.353679899597964</v>
      </c>
      <c r="I399" s="114">
        <v>0</v>
      </c>
      <c r="J399" s="110">
        <v>1</v>
      </c>
    </row>
    <row r="400" spans="1:10" ht="23.1" customHeight="1" x14ac:dyDescent="0.25">
      <c r="A400" s="105" t="s">
        <v>841</v>
      </c>
      <c r="B400" s="105" t="s">
        <v>42</v>
      </c>
      <c r="C400" s="106" t="s">
        <v>72</v>
      </c>
      <c r="D400" s="107" t="s">
        <v>73</v>
      </c>
      <c r="E400" s="108" t="s">
        <v>437</v>
      </c>
      <c r="F400" s="108">
        <v>0</v>
      </c>
      <c r="G400" s="108"/>
      <c r="H400" s="109">
        <v>63.190051020544573</v>
      </c>
      <c r="I400" s="114">
        <v>0</v>
      </c>
      <c r="J400" s="110">
        <v>1</v>
      </c>
    </row>
    <row r="401" spans="1:10" ht="23.1" customHeight="1" x14ac:dyDescent="0.25">
      <c r="A401" s="105" t="s">
        <v>842</v>
      </c>
      <c r="B401" s="105" t="s">
        <v>42</v>
      </c>
      <c r="C401" s="106" t="s">
        <v>74</v>
      </c>
      <c r="D401" s="107" t="s">
        <v>75</v>
      </c>
      <c r="E401" s="108" t="s">
        <v>437</v>
      </c>
      <c r="F401" s="108">
        <v>1407.5</v>
      </c>
      <c r="G401" s="108"/>
      <c r="H401" s="109">
        <v>205.7063168558081</v>
      </c>
      <c r="I401" s="114">
        <v>0</v>
      </c>
      <c r="J401" s="110">
        <v>0</v>
      </c>
    </row>
    <row r="402" spans="1:10" ht="23.1" customHeight="1" x14ac:dyDescent="0.25">
      <c r="A402" s="105" t="s">
        <v>843</v>
      </c>
      <c r="B402" s="105" t="s">
        <v>42</v>
      </c>
      <c r="C402" s="106" t="s">
        <v>76</v>
      </c>
      <c r="D402" s="107" t="s">
        <v>77</v>
      </c>
      <c r="E402" s="108" t="s">
        <v>437</v>
      </c>
      <c r="F402" s="108">
        <v>0</v>
      </c>
      <c r="G402" s="108"/>
      <c r="H402" s="109">
        <v>26.868796723694452</v>
      </c>
      <c r="I402" s="114">
        <v>0</v>
      </c>
      <c r="J402" s="110">
        <v>1</v>
      </c>
    </row>
    <row r="403" spans="1:10" ht="23.1" customHeight="1" x14ac:dyDescent="0.25">
      <c r="A403" s="105" t="s">
        <v>844</v>
      </c>
      <c r="B403" s="105" t="s">
        <v>78</v>
      </c>
      <c r="C403" s="106" t="s">
        <v>80</v>
      </c>
      <c r="D403" s="107" t="s">
        <v>81</v>
      </c>
      <c r="E403" s="108" t="s">
        <v>437</v>
      </c>
      <c r="F403" s="108">
        <v>300</v>
      </c>
      <c r="G403" s="108"/>
      <c r="H403" s="109">
        <v>0.44657279873176375</v>
      </c>
      <c r="I403" s="114">
        <v>0</v>
      </c>
      <c r="J403" s="110">
        <v>0</v>
      </c>
    </row>
    <row r="404" spans="1:10" ht="23.1" customHeight="1" x14ac:dyDescent="0.25">
      <c r="A404" s="105" t="s">
        <v>845</v>
      </c>
      <c r="B404" s="105" t="s">
        <v>78</v>
      </c>
      <c r="C404" s="106" t="s">
        <v>82</v>
      </c>
      <c r="D404" s="107" t="s">
        <v>83</v>
      </c>
      <c r="E404" s="108" t="s">
        <v>437</v>
      </c>
      <c r="F404" s="108">
        <v>1600</v>
      </c>
      <c r="G404" s="108"/>
      <c r="H404" s="109">
        <v>0</v>
      </c>
      <c r="I404" s="114">
        <v>0</v>
      </c>
      <c r="J404" s="110">
        <v>0</v>
      </c>
    </row>
    <row r="405" spans="1:10" ht="23.1" customHeight="1" x14ac:dyDescent="0.25">
      <c r="A405" s="105" t="s">
        <v>846</v>
      </c>
      <c r="B405" s="105" t="s">
        <v>78</v>
      </c>
      <c r="C405" s="106" t="s">
        <v>84</v>
      </c>
      <c r="D405" s="107" t="s">
        <v>85</v>
      </c>
      <c r="E405" s="108" t="s">
        <v>437</v>
      </c>
      <c r="F405" s="108">
        <v>0</v>
      </c>
      <c r="G405" s="108"/>
      <c r="H405" s="109">
        <v>852.46281549906382</v>
      </c>
      <c r="I405" s="114">
        <v>0</v>
      </c>
      <c r="J405" s="110">
        <v>0</v>
      </c>
    </row>
    <row r="406" spans="1:10" ht="23.1" customHeight="1" x14ac:dyDescent="0.25">
      <c r="A406" s="105" t="s">
        <v>847</v>
      </c>
      <c r="B406" s="105" t="s">
        <v>78</v>
      </c>
      <c r="C406" s="106" t="s">
        <v>86</v>
      </c>
      <c r="D406" s="107" t="s">
        <v>87</v>
      </c>
      <c r="E406" s="108" t="s">
        <v>437</v>
      </c>
      <c r="F406" s="108">
        <v>290.5</v>
      </c>
      <c r="G406" s="108"/>
      <c r="H406" s="109">
        <v>12.057465565757621</v>
      </c>
      <c r="I406" s="114">
        <v>0</v>
      </c>
      <c r="J406" s="110">
        <v>0</v>
      </c>
    </row>
    <row r="407" spans="1:10" ht="23.1" customHeight="1" x14ac:dyDescent="0.25">
      <c r="A407" s="105" t="s">
        <v>848</v>
      </c>
      <c r="B407" s="105" t="s">
        <v>78</v>
      </c>
      <c r="C407" s="106" t="s">
        <v>88</v>
      </c>
      <c r="D407" s="107" t="s">
        <v>89</v>
      </c>
      <c r="E407" s="108" t="s">
        <v>437</v>
      </c>
      <c r="F407" s="108">
        <v>300</v>
      </c>
      <c r="G407" s="108"/>
      <c r="H407" s="109">
        <v>0</v>
      </c>
      <c r="I407" s="114">
        <v>0</v>
      </c>
      <c r="J407" s="110">
        <v>0</v>
      </c>
    </row>
    <row r="408" spans="1:10" ht="23.1" customHeight="1" x14ac:dyDescent="0.25">
      <c r="A408" s="105" t="s">
        <v>849</v>
      </c>
      <c r="B408" s="105" t="s">
        <v>78</v>
      </c>
      <c r="C408" s="106" t="s">
        <v>90</v>
      </c>
      <c r="D408" s="107" t="s">
        <v>91</v>
      </c>
      <c r="E408" s="108" t="s">
        <v>437</v>
      </c>
      <c r="F408" s="108">
        <v>65.5</v>
      </c>
      <c r="G408" s="108"/>
      <c r="H408" s="109">
        <v>679.90708606911028</v>
      </c>
      <c r="I408" s="114">
        <v>0</v>
      </c>
      <c r="J408" s="110">
        <v>0</v>
      </c>
    </row>
    <row r="409" spans="1:10" ht="23.1" customHeight="1" x14ac:dyDescent="0.25">
      <c r="A409" s="105" t="s">
        <v>850</v>
      </c>
      <c r="B409" s="105" t="s">
        <v>78</v>
      </c>
      <c r="C409" s="106" t="s">
        <v>92</v>
      </c>
      <c r="D409" s="107" t="s">
        <v>93</v>
      </c>
      <c r="E409" s="108" t="s">
        <v>437</v>
      </c>
      <c r="F409" s="108">
        <v>0</v>
      </c>
      <c r="G409" s="108"/>
      <c r="H409" s="109">
        <v>0</v>
      </c>
      <c r="I409" s="114">
        <v>0</v>
      </c>
      <c r="J409" s="110">
        <v>0</v>
      </c>
    </row>
    <row r="410" spans="1:10" ht="23.1" customHeight="1" x14ac:dyDescent="0.25">
      <c r="A410" s="105" t="s">
        <v>851</v>
      </c>
      <c r="B410" s="105" t="s">
        <v>78</v>
      </c>
      <c r="C410" s="106" t="s">
        <v>94</v>
      </c>
      <c r="D410" s="107" t="s">
        <v>95</v>
      </c>
      <c r="E410" s="108" t="s">
        <v>437</v>
      </c>
      <c r="F410" s="108">
        <v>0</v>
      </c>
      <c r="G410" s="108"/>
      <c r="H410" s="109">
        <v>70.528730679703216</v>
      </c>
      <c r="I410" s="114">
        <v>0</v>
      </c>
      <c r="J410" s="110">
        <v>0</v>
      </c>
    </row>
    <row r="411" spans="1:10" ht="23.1" customHeight="1" x14ac:dyDescent="0.25">
      <c r="A411" s="105" t="s">
        <v>852</v>
      </c>
      <c r="B411" s="105" t="s">
        <v>78</v>
      </c>
      <c r="C411" s="106" t="s">
        <v>96</v>
      </c>
      <c r="D411" s="107" t="s">
        <v>97</v>
      </c>
      <c r="E411" s="108" t="s">
        <v>437</v>
      </c>
      <c r="F411" s="108">
        <v>0</v>
      </c>
      <c r="G411" s="108"/>
      <c r="H411" s="109">
        <v>68.414952765706204</v>
      </c>
      <c r="I411" s="114">
        <v>0</v>
      </c>
      <c r="J411" s="110">
        <v>0</v>
      </c>
    </row>
    <row r="412" spans="1:10" ht="23.1" customHeight="1" x14ac:dyDescent="0.25">
      <c r="A412" s="105" t="s">
        <v>853</v>
      </c>
      <c r="B412" s="105" t="s">
        <v>78</v>
      </c>
      <c r="C412" s="106" t="s">
        <v>98</v>
      </c>
      <c r="D412" s="107" t="s">
        <v>99</v>
      </c>
      <c r="E412" s="108" t="s">
        <v>437</v>
      </c>
      <c r="F412" s="108">
        <v>678</v>
      </c>
      <c r="G412" s="108"/>
      <c r="H412" s="109">
        <v>1329.4621075844184</v>
      </c>
      <c r="I412" s="114">
        <v>0</v>
      </c>
      <c r="J412" s="110">
        <v>0</v>
      </c>
    </row>
    <row r="413" spans="1:10" ht="23.1" customHeight="1" x14ac:dyDescent="0.25">
      <c r="A413" s="105" t="s">
        <v>854</v>
      </c>
      <c r="B413" s="105" t="s">
        <v>78</v>
      </c>
      <c r="C413" s="106" t="s">
        <v>100</v>
      </c>
      <c r="D413" s="107" t="s">
        <v>101</v>
      </c>
      <c r="E413" s="108" t="s">
        <v>437</v>
      </c>
      <c r="F413" s="108">
        <v>0</v>
      </c>
      <c r="G413" s="108"/>
      <c r="H413" s="109">
        <v>83.55377064271299</v>
      </c>
      <c r="I413" s="114">
        <v>0</v>
      </c>
      <c r="J413" s="110">
        <v>0</v>
      </c>
    </row>
    <row r="414" spans="1:10" ht="23.1" customHeight="1" x14ac:dyDescent="0.25">
      <c r="A414" s="105" t="s">
        <v>855</v>
      </c>
      <c r="B414" s="105" t="s">
        <v>78</v>
      </c>
      <c r="C414" s="106" t="s">
        <v>102</v>
      </c>
      <c r="D414" s="107" t="s">
        <v>103</v>
      </c>
      <c r="E414" s="108" t="s">
        <v>437</v>
      </c>
      <c r="F414" s="108">
        <v>0</v>
      </c>
      <c r="G414" s="108"/>
      <c r="H414" s="109">
        <v>0</v>
      </c>
      <c r="I414" s="114">
        <v>0</v>
      </c>
      <c r="J414" s="110">
        <v>0</v>
      </c>
    </row>
    <row r="415" spans="1:10" ht="23.1" customHeight="1" x14ac:dyDescent="0.25">
      <c r="A415" s="105" t="s">
        <v>856</v>
      </c>
      <c r="B415" s="105" t="s">
        <v>78</v>
      </c>
      <c r="C415" s="106" t="s">
        <v>104</v>
      </c>
      <c r="D415" s="107" t="s">
        <v>105</v>
      </c>
      <c r="E415" s="108" t="s">
        <v>437</v>
      </c>
      <c r="F415" s="108">
        <v>0</v>
      </c>
      <c r="G415" s="108"/>
      <c r="H415" s="109">
        <v>11.744864606645386</v>
      </c>
      <c r="I415" s="114">
        <v>0</v>
      </c>
      <c r="J415" s="110">
        <v>0</v>
      </c>
    </row>
    <row r="416" spans="1:10" ht="23.1" customHeight="1" x14ac:dyDescent="0.25">
      <c r="A416" s="105" t="s">
        <v>857</v>
      </c>
      <c r="B416" s="105" t="s">
        <v>78</v>
      </c>
      <c r="C416" s="106" t="s">
        <v>106</v>
      </c>
      <c r="D416" s="107" t="s">
        <v>107</v>
      </c>
      <c r="E416" s="108" t="s">
        <v>437</v>
      </c>
      <c r="F416" s="108">
        <v>0</v>
      </c>
      <c r="G416" s="108"/>
      <c r="H416" s="109">
        <v>0</v>
      </c>
      <c r="I416" s="114">
        <v>0</v>
      </c>
      <c r="J416" s="110">
        <v>0</v>
      </c>
    </row>
    <row r="417" spans="1:10" ht="23.1" customHeight="1" x14ac:dyDescent="0.25">
      <c r="A417" s="105" t="s">
        <v>858</v>
      </c>
      <c r="B417" s="105" t="s">
        <v>78</v>
      </c>
      <c r="C417" s="106" t="s">
        <v>108</v>
      </c>
      <c r="D417" s="107" t="s">
        <v>109</v>
      </c>
      <c r="E417" s="108" t="s">
        <v>437</v>
      </c>
      <c r="F417" s="108">
        <v>0</v>
      </c>
      <c r="G417" s="108"/>
      <c r="H417" s="109">
        <v>74.428799788627288</v>
      </c>
      <c r="I417" s="114">
        <v>0</v>
      </c>
      <c r="J417" s="110">
        <v>0</v>
      </c>
    </row>
    <row r="418" spans="1:10" ht="23.1" customHeight="1" x14ac:dyDescent="0.25">
      <c r="A418" s="105" t="s">
        <v>859</v>
      </c>
      <c r="B418" s="105" t="s">
        <v>78</v>
      </c>
      <c r="C418" s="106" t="s">
        <v>110</v>
      </c>
      <c r="D418" s="107" t="s">
        <v>111</v>
      </c>
      <c r="E418" s="108" t="s">
        <v>437</v>
      </c>
      <c r="F418" s="108">
        <v>2000</v>
      </c>
      <c r="G418" s="108"/>
      <c r="H418" s="109">
        <v>126.54384540062412</v>
      </c>
      <c r="I418" s="114">
        <v>0</v>
      </c>
      <c r="J418" s="110">
        <v>0</v>
      </c>
    </row>
    <row r="419" spans="1:10" ht="23.1" customHeight="1" x14ac:dyDescent="0.25">
      <c r="A419" s="105" t="s">
        <v>860</v>
      </c>
      <c r="B419" s="105" t="s">
        <v>78</v>
      </c>
      <c r="C419" s="106" t="s">
        <v>112</v>
      </c>
      <c r="D419" s="107" t="s">
        <v>113</v>
      </c>
      <c r="E419" s="108" t="s">
        <v>437</v>
      </c>
      <c r="F419" s="108">
        <v>5943.5</v>
      </c>
      <c r="G419" s="108"/>
      <c r="H419" s="109">
        <v>1872.1224868433001</v>
      </c>
      <c r="I419" s="114">
        <v>0</v>
      </c>
      <c r="J419" s="110">
        <v>1</v>
      </c>
    </row>
    <row r="420" spans="1:10" ht="23.1" customHeight="1" x14ac:dyDescent="0.25">
      <c r="A420" s="105" t="s">
        <v>861</v>
      </c>
      <c r="B420" s="105" t="s">
        <v>78</v>
      </c>
      <c r="C420" s="106" t="s">
        <v>114</v>
      </c>
      <c r="D420" s="107" t="s">
        <v>115</v>
      </c>
      <c r="E420" s="108" t="s">
        <v>437</v>
      </c>
      <c r="F420" s="108">
        <v>0</v>
      </c>
      <c r="G420" s="108"/>
      <c r="H420" s="109">
        <v>352.62876763855837</v>
      </c>
      <c r="I420" s="114">
        <v>0</v>
      </c>
      <c r="J420" s="110">
        <v>1</v>
      </c>
    </row>
    <row r="421" spans="1:10" ht="23.1" customHeight="1" x14ac:dyDescent="0.25">
      <c r="A421" s="105" t="s">
        <v>862</v>
      </c>
      <c r="B421" s="105" t="s">
        <v>78</v>
      </c>
      <c r="C421" s="106" t="s">
        <v>116</v>
      </c>
      <c r="D421" s="107" t="s">
        <v>117</v>
      </c>
      <c r="E421" s="108" t="s">
        <v>437</v>
      </c>
      <c r="F421" s="108">
        <v>0</v>
      </c>
      <c r="G421" s="108"/>
      <c r="H421" s="109">
        <v>507.12807023979093</v>
      </c>
      <c r="I421" s="114">
        <v>0</v>
      </c>
      <c r="J421" s="110">
        <v>0</v>
      </c>
    </row>
    <row r="422" spans="1:10" ht="23.1" customHeight="1" x14ac:dyDescent="0.25">
      <c r="A422" s="105" t="s">
        <v>863</v>
      </c>
      <c r="B422" s="105" t="s">
        <v>78</v>
      </c>
      <c r="C422" s="106" t="s">
        <v>118</v>
      </c>
      <c r="D422" s="107" t="s">
        <v>119</v>
      </c>
      <c r="E422" s="108" t="s">
        <v>437</v>
      </c>
      <c r="F422" s="108">
        <v>2177.5</v>
      </c>
      <c r="G422" s="108"/>
      <c r="H422" s="109">
        <v>220.83024897285716</v>
      </c>
      <c r="I422" s="114">
        <v>0</v>
      </c>
      <c r="J422" s="110">
        <v>2</v>
      </c>
    </row>
    <row r="423" spans="1:10" ht="23.1" customHeight="1" x14ac:dyDescent="0.25">
      <c r="A423" s="105" t="s">
        <v>864</v>
      </c>
      <c r="B423" s="105" t="s">
        <v>78</v>
      </c>
      <c r="C423" s="106" t="s">
        <v>120</v>
      </c>
      <c r="D423" s="107" t="s">
        <v>121</v>
      </c>
      <c r="E423" s="108" t="s">
        <v>437</v>
      </c>
      <c r="F423" s="108">
        <v>0</v>
      </c>
      <c r="G423" s="108"/>
      <c r="H423" s="109">
        <v>10.286060130788291</v>
      </c>
      <c r="I423" s="114">
        <v>0</v>
      </c>
      <c r="J423" s="110">
        <v>0</v>
      </c>
    </row>
    <row r="424" spans="1:10" ht="23.1" customHeight="1" x14ac:dyDescent="0.25">
      <c r="A424" s="105" t="s">
        <v>865</v>
      </c>
      <c r="B424" s="105" t="s">
        <v>122</v>
      </c>
      <c r="C424" s="106" t="s">
        <v>124</v>
      </c>
      <c r="D424" s="107" t="s">
        <v>125</v>
      </c>
      <c r="E424" s="108" t="s">
        <v>437</v>
      </c>
      <c r="F424" s="108">
        <v>4642</v>
      </c>
      <c r="G424" s="108"/>
      <c r="H424" s="109">
        <v>36.261711257019215</v>
      </c>
      <c r="I424" s="114">
        <v>0</v>
      </c>
      <c r="J424" s="110">
        <v>0</v>
      </c>
    </row>
    <row r="425" spans="1:10" ht="23.1" customHeight="1" x14ac:dyDescent="0.25">
      <c r="A425" s="105" t="s">
        <v>866</v>
      </c>
      <c r="B425" s="105" t="s">
        <v>122</v>
      </c>
      <c r="C425" s="106" t="s">
        <v>126</v>
      </c>
      <c r="D425" s="107" t="s">
        <v>127</v>
      </c>
      <c r="E425" s="108" t="s">
        <v>437</v>
      </c>
      <c r="F425" s="108">
        <v>27540.5</v>
      </c>
      <c r="G425" s="108"/>
      <c r="H425" s="109">
        <v>3832.4728729560388</v>
      </c>
      <c r="I425" s="114">
        <v>0</v>
      </c>
      <c r="J425" s="110">
        <v>1</v>
      </c>
    </row>
    <row r="426" spans="1:10" ht="23.1" customHeight="1" x14ac:dyDescent="0.25">
      <c r="A426" s="105" t="s">
        <v>867</v>
      </c>
      <c r="B426" s="105" t="s">
        <v>122</v>
      </c>
      <c r="C426" s="106" t="s">
        <v>128</v>
      </c>
      <c r="D426" s="107" t="s">
        <v>129</v>
      </c>
      <c r="E426" s="108" t="s">
        <v>437</v>
      </c>
      <c r="F426" s="108">
        <v>0</v>
      </c>
      <c r="G426" s="108"/>
      <c r="H426" s="109">
        <v>832.44146835592312</v>
      </c>
      <c r="I426" s="114">
        <v>0</v>
      </c>
      <c r="J426" s="110">
        <v>1</v>
      </c>
    </row>
    <row r="427" spans="1:10" ht="23.1" customHeight="1" x14ac:dyDescent="0.25">
      <c r="A427" s="105" t="s">
        <v>868</v>
      </c>
      <c r="B427" s="105" t="s">
        <v>122</v>
      </c>
      <c r="C427" s="106" t="s">
        <v>130</v>
      </c>
      <c r="D427" s="107" t="s">
        <v>131</v>
      </c>
      <c r="E427" s="108" t="s">
        <v>437</v>
      </c>
      <c r="F427" s="108">
        <v>0</v>
      </c>
      <c r="G427" s="108"/>
      <c r="H427" s="109">
        <v>434.51533316600614</v>
      </c>
      <c r="I427" s="114">
        <v>0</v>
      </c>
      <c r="J427" s="110">
        <v>1</v>
      </c>
    </row>
    <row r="428" spans="1:10" ht="23.1" customHeight="1" x14ac:dyDescent="0.25">
      <c r="A428" s="105" t="s">
        <v>869</v>
      </c>
      <c r="B428" s="105" t="s">
        <v>122</v>
      </c>
      <c r="C428" s="106" t="s">
        <v>132</v>
      </c>
      <c r="D428" s="107" t="s">
        <v>133</v>
      </c>
      <c r="E428" s="108" t="s">
        <v>437</v>
      </c>
      <c r="F428" s="108">
        <v>1263</v>
      </c>
      <c r="G428" s="108"/>
      <c r="H428" s="109">
        <v>1001.0078141172062</v>
      </c>
      <c r="I428" s="114">
        <v>0</v>
      </c>
      <c r="J428" s="110">
        <v>0</v>
      </c>
    </row>
    <row r="429" spans="1:10" ht="23.1" customHeight="1" x14ac:dyDescent="0.25">
      <c r="A429" s="105" t="s">
        <v>870</v>
      </c>
      <c r="B429" s="105" t="s">
        <v>122</v>
      </c>
      <c r="C429" s="106" t="s">
        <v>134</v>
      </c>
      <c r="D429" s="107" t="s">
        <v>135</v>
      </c>
      <c r="E429" s="108" t="s">
        <v>437</v>
      </c>
      <c r="F429" s="108">
        <v>12597.5</v>
      </c>
      <c r="G429" s="108"/>
      <c r="H429" s="109">
        <v>1346.4169881762678</v>
      </c>
      <c r="I429" s="114">
        <v>0</v>
      </c>
      <c r="J429" s="110">
        <v>1</v>
      </c>
    </row>
    <row r="430" spans="1:10" ht="23.1" customHeight="1" x14ac:dyDescent="0.25">
      <c r="A430" s="105" t="s">
        <v>871</v>
      </c>
      <c r="B430" s="105" t="s">
        <v>122</v>
      </c>
      <c r="C430" s="106" t="s">
        <v>136</v>
      </c>
      <c r="D430" s="107" t="s">
        <v>137</v>
      </c>
      <c r="E430" s="108" t="s">
        <v>437</v>
      </c>
      <c r="F430" s="108">
        <v>575</v>
      </c>
      <c r="G430" s="108"/>
      <c r="H430" s="109">
        <v>3690.5371517591266</v>
      </c>
      <c r="I430" s="114">
        <v>0</v>
      </c>
      <c r="J430" s="110">
        <v>0</v>
      </c>
    </row>
    <row r="431" spans="1:10" ht="23.1" customHeight="1" x14ac:dyDescent="0.25">
      <c r="A431" s="105" t="s">
        <v>872</v>
      </c>
      <c r="B431" s="105" t="s">
        <v>122</v>
      </c>
      <c r="C431" s="106" t="s">
        <v>138</v>
      </c>
      <c r="D431" s="107" t="s">
        <v>139</v>
      </c>
      <c r="E431" s="108" t="s">
        <v>437</v>
      </c>
      <c r="F431" s="108">
        <v>6447.5</v>
      </c>
      <c r="G431" s="108"/>
      <c r="H431" s="109">
        <v>474.70688505186484</v>
      </c>
      <c r="I431" s="114">
        <v>0</v>
      </c>
      <c r="J431" s="110">
        <v>2</v>
      </c>
    </row>
    <row r="432" spans="1:10" ht="23.1" customHeight="1" x14ac:dyDescent="0.25">
      <c r="A432" s="105" t="s">
        <v>873</v>
      </c>
      <c r="B432" s="105" t="s">
        <v>140</v>
      </c>
      <c r="C432" s="106" t="s">
        <v>142</v>
      </c>
      <c r="D432" s="107" t="s">
        <v>143</v>
      </c>
      <c r="E432" s="108" t="s">
        <v>437</v>
      </c>
      <c r="F432" s="108">
        <v>344</v>
      </c>
      <c r="G432" s="108"/>
      <c r="H432" s="109">
        <v>413.37755402603597</v>
      </c>
      <c r="I432" s="114">
        <v>0</v>
      </c>
      <c r="J432" s="110">
        <v>1</v>
      </c>
    </row>
    <row r="433" spans="1:10" ht="23.1" customHeight="1" x14ac:dyDescent="0.25">
      <c r="A433" s="105" t="s">
        <v>874</v>
      </c>
      <c r="B433" s="105" t="s">
        <v>140</v>
      </c>
      <c r="C433" s="106" t="s">
        <v>144</v>
      </c>
      <c r="D433" s="107" t="s">
        <v>145</v>
      </c>
      <c r="E433" s="108" t="s">
        <v>437</v>
      </c>
      <c r="F433" s="108">
        <v>136</v>
      </c>
      <c r="G433" s="108"/>
      <c r="H433" s="109">
        <v>80.293789211971117</v>
      </c>
      <c r="I433" s="114">
        <v>0</v>
      </c>
      <c r="J433" s="110">
        <v>0</v>
      </c>
    </row>
    <row r="434" spans="1:10" ht="23.1" customHeight="1" x14ac:dyDescent="0.25">
      <c r="A434" s="105" t="s">
        <v>875</v>
      </c>
      <c r="B434" s="105" t="s">
        <v>140</v>
      </c>
      <c r="C434" s="106" t="s">
        <v>146</v>
      </c>
      <c r="D434" s="107" t="s">
        <v>147</v>
      </c>
      <c r="E434" s="108" t="s">
        <v>437</v>
      </c>
      <c r="F434" s="108">
        <v>0</v>
      </c>
      <c r="G434" s="108"/>
      <c r="H434" s="109">
        <v>1575.3004332862542</v>
      </c>
      <c r="I434" s="114">
        <v>0</v>
      </c>
      <c r="J434" s="110">
        <v>3</v>
      </c>
    </row>
    <row r="435" spans="1:10" ht="23.1" customHeight="1" x14ac:dyDescent="0.25">
      <c r="A435" s="105" t="s">
        <v>876</v>
      </c>
      <c r="B435" s="105" t="s">
        <v>140</v>
      </c>
      <c r="C435" s="106" t="s">
        <v>148</v>
      </c>
      <c r="D435" s="107" t="s">
        <v>149</v>
      </c>
      <c r="E435" s="108" t="s">
        <v>437</v>
      </c>
      <c r="F435" s="108">
        <v>812.5</v>
      </c>
      <c r="G435" s="108"/>
      <c r="H435" s="109">
        <v>433.20538628972628</v>
      </c>
      <c r="I435" s="114">
        <v>0</v>
      </c>
      <c r="J435" s="110">
        <v>0</v>
      </c>
    </row>
    <row r="436" spans="1:10" ht="23.1" customHeight="1" x14ac:dyDescent="0.25">
      <c r="A436" s="105" t="s">
        <v>877</v>
      </c>
      <c r="B436" s="105" t="s">
        <v>140</v>
      </c>
      <c r="C436" s="106" t="s">
        <v>150</v>
      </c>
      <c r="D436" s="107" t="s">
        <v>151</v>
      </c>
      <c r="E436" s="108" t="s">
        <v>437</v>
      </c>
      <c r="F436" s="108">
        <v>3193</v>
      </c>
      <c r="G436" s="108"/>
      <c r="H436" s="109">
        <v>215.6946617874419</v>
      </c>
      <c r="I436" s="114">
        <v>0</v>
      </c>
      <c r="J436" s="110">
        <v>0</v>
      </c>
    </row>
    <row r="437" spans="1:10" ht="23.1" customHeight="1" x14ac:dyDescent="0.25">
      <c r="A437" s="105" t="s">
        <v>878</v>
      </c>
      <c r="B437" s="105" t="s">
        <v>140</v>
      </c>
      <c r="C437" s="106" t="s">
        <v>152</v>
      </c>
      <c r="D437" s="107" t="s">
        <v>153</v>
      </c>
      <c r="E437" s="108" t="s">
        <v>437</v>
      </c>
      <c r="F437" s="108">
        <v>2058</v>
      </c>
      <c r="G437" s="108"/>
      <c r="H437" s="109">
        <v>344.94771550037206</v>
      </c>
      <c r="I437" s="114">
        <v>0</v>
      </c>
      <c r="J437" s="110">
        <v>0</v>
      </c>
    </row>
    <row r="438" spans="1:10" ht="23.1" customHeight="1" x14ac:dyDescent="0.25">
      <c r="A438" s="105" t="s">
        <v>879</v>
      </c>
      <c r="B438" s="105" t="s">
        <v>140</v>
      </c>
      <c r="C438" s="106" t="s">
        <v>154</v>
      </c>
      <c r="D438" s="107" t="s">
        <v>155</v>
      </c>
      <c r="E438" s="108" t="s">
        <v>437</v>
      </c>
      <c r="F438" s="108">
        <v>438</v>
      </c>
      <c r="G438" s="108"/>
      <c r="H438" s="109">
        <v>41.992728840743517</v>
      </c>
      <c r="I438" s="114">
        <v>0</v>
      </c>
      <c r="J438" s="110">
        <v>0</v>
      </c>
    </row>
    <row r="439" spans="1:10" ht="23.1" customHeight="1" x14ac:dyDescent="0.25">
      <c r="A439" s="105" t="s">
        <v>880</v>
      </c>
      <c r="B439" s="105" t="s">
        <v>140</v>
      </c>
      <c r="C439" s="106" t="s">
        <v>156</v>
      </c>
      <c r="D439" s="107" t="s">
        <v>157</v>
      </c>
      <c r="E439" s="108" t="s">
        <v>437</v>
      </c>
      <c r="F439" s="108">
        <v>535.5</v>
      </c>
      <c r="G439" s="108"/>
      <c r="H439" s="109">
        <v>98.201358441114849</v>
      </c>
      <c r="I439" s="114">
        <v>0</v>
      </c>
      <c r="J439" s="110">
        <v>0</v>
      </c>
    </row>
    <row r="440" spans="1:10" ht="23.1" customHeight="1" x14ac:dyDescent="0.25">
      <c r="A440" s="105" t="s">
        <v>881</v>
      </c>
      <c r="B440" s="105" t="s">
        <v>140</v>
      </c>
      <c r="C440" s="106" t="s">
        <v>158</v>
      </c>
      <c r="D440" s="107" t="s">
        <v>159</v>
      </c>
      <c r="E440" s="108" t="s">
        <v>437</v>
      </c>
      <c r="F440" s="108">
        <v>0</v>
      </c>
      <c r="G440" s="108"/>
      <c r="H440" s="109">
        <v>699.37766009381517</v>
      </c>
      <c r="I440" s="114">
        <v>0</v>
      </c>
      <c r="J440" s="110">
        <v>0</v>
      </c>
    </row>
    <row r="441" spans="1:10" ht="23.1" customHeight="1" x14ac:dyDescent="0.25">
      <c r="A441" s="105" t="s">
        <v>882</v>
      </c>
      <c r="B441" s="105" t="s">
        <v>160</v>
      </c>
      <c r="C441" s="106" t="s">
        <v>162</v>
      </c>
      <c r="D441" s="107" t="s">
        <v>163</v>
      </c>
      <c r="E441" s="108" t="s">
        <v>437</v>
      </c>
      <c r="F441" s="108">
        <v>0</v>
      </c>
      <c r="G441" s="108"/>
      <c r="H441" s="109">
        <v>957.74979568005597</v>
      </c>
      <c r="I441" s="114">
        <v>0</v>
      </c>
      <c r="J441" s="110">
        <v>0</v>
      </c>
    </row>
    <row r="442" spans="1:10" ht="23.1" customHeight="1" x14ac:dyDescent="0.25">
      <c r="A442" s="105" t="s">
        <v>883</v>
      </c>
      <c r="B442" s="105" t="s">
        <v>160</v>
      </c>
      <c r="C442" s="106" t="s">
        <v>164</v>
      </c>
      <c r="D442" s="107" t="s">
        <v>165</v>
      </c>
      <c r="E442" s="108" t="s">
        <v>437</v>
      </c>
      <c r="F442" s="108">
        <v>1289.5</v>
      </c>
      <c r="G442" s="108"/>
      <c r="H442" s="109">
        <v>650.19510919349034</v>
      </c>
      <c r="I442" s="114">
        <v>0</v>
      </c>
      <c r="J442" s="110">
        <v>1</v>
      </c>
    </row>
    <row r="443" spans="1:10" ht="23.1" customHeight="1" x14ac:dyDescent="0.25">
      <c r="A443" s="105" t="s">
        <v>884</v>
      </c>
      <c r="B443" s="105" t="s">
        <v>160</v>
      </c>
      <c r="C443" s="106" t="s">
        <v>166</v>
      </c>
      <c r="D443" s="107" t="s">
        <v>167</v>
      </c>
      <c r="E443" s="108" t="s">
        <v>437</v>
      </c>
      <c r="F443" s="108">
        <v>0</v>
      </c>
      <c r="G443" s="108"/>
      <c r="H443" s="109">
        <v>178.62911949270548</v>
      </c>
      <c r="I443" s="114">
        <v>0</v>
      </c>
      <c r="J443" s="110">
        <v>0</v>
      </c>
    </row>
    <row r="444" spans="1:10" ht="23.1" customHeight="1" x14ac:dyDescent="0.25">
      <c r="A444" s="105" t="s">
        <v>885</v>
      </c>
      <c r="B444" s="105" t="s">
        <v>160</v>
      </c>
      <c r="C444" s="106" t="s">
        <v>168</v>
      </c>
      <c r="D444" s="107" t="s">
        <v>169</v>
      </c>
      <c r="E444" s="108" t="s">
        <v>437</v>
      </c>
      <c r="F444" s="108">
        <v>1177.5</v>
      </c>
      <c r="G444" s="108"/>
      <c r="H444" s="109">
        <v>564.20007391771037</v>
      </c>
      <c r="I444" s="114">
        <v>0</v>
      </c>
      <c r="J444" s="110">
        <v>1</v>
      </c>
    </row>
    <row r="445" spans="1:10" ht="23.1" customHeight="1" x14ac:dyDescent="0.25">
      <c r="A445" s="105" t="s">
        <v>886</v>
      </c>
      <c r="B445" s="105" t="s">
        <v>160</v>
      </c>
      <c r="C445" s="106" t="s">
        <v>170</v>
      </c>
      <c r="D445" s="107" t="s">
        <v>171</v>
      </c>
      <c r="E445" s="108" t="s">
        <v>437</v>
      </c>
      <c r="F445" s="108">
        <v>127.5</v>
      </c>
      <c r="G445" s="108"/>
      <c r="H445" s="109">
        <v>468.87166714843647</v>
      </c>
      <c r="I445" s="114">
        <v>0</v>
      </c>
      <c r="J445" s="110">
        <v>1</v>
      </c>
    </row>
    <row r="446" spans="1:10" ht="23.1" customHeight="1" x14ac:dyDescent="0.25">
      <c r="A446" s="105" t="s">
        <v>887</v>
      </c>
      <c r="B446" s="105" t="s">
        <v>160</v>
      </c>
      <c r="C446" s="106" t="s">
        <v>172</v>
      </c>
      <c r="D446" s="107" t="s">
        <v>173</v>
      </c>
      <c r="E446" s="108" t="s">
        <v>437</v>
      </c>
      <c r="F446" s="108">
        <v>393.5</v>
      </c>
      <c r="G446" s="108"/>
      <c r="H446" s="109">
        <v>2606.4965685977277</v>
      </c>
      <c r="I446" s="114">
        <v>0</v>
      </c>
      <c r="J446" s="110">
        <v>2</v>
      </c>
    </row>
    <row r="447" spans="1:10" ht="23.1" customHeight="1" x14ac:dyDescent="0.25">
      <c r="A447" s="105" t="s">
        <v>888</v>
      </c>
      <c r="B447" s="105" t="s">
        <v>160</v>
      </c>
      <c r="C447" s="106" t="s">
        <v>174</v>
      </c>
      <c r="D447" s="107" t="s">
        <v>175</v>
      </c>
      <c r="E447" s="108" t="s">
        <v>437</v>
      </c>
      <c r="F447" s="108">
        <v>1194.5</v>
      </c>
      <c r="G447" s="108"/>
      <c r="H447" s="109">
        <v>836.05870802565039</v>
      </c>
      <c r="I447" s="114">
        <v>0</v>
      </c>
      <c r="J447" s="110">
        <v>0</v>
      </c>
    </row>
    <row r="448" spans="1:10" ht="23.1" customHeight="1" x14ac:dyDescent="0.25">
      <c r="A448" s="105" t="s">
        <v>889</v>
      </c>
      <c r="B448" s="105" t="s">
        <v>160</v>
      </c>
      <c r="C448" s="106" t="s">
        <v>176</v>
      </c>
      <c r="D448" s="107" t="s">
        <v>177</v>
      </c>
      <c r="E448" s="108" t="s">
        <v>437</v>
      </c>
      <c r="F448" s="108">
        <v>0</v>
      </c>
      <c r="G448" s="108"/>
      <c r="H448" s="109">
        <v>1759.8838567620501</v>
      </c>
      <c r="I448" s="114">
        <v>0</v>
      </c>
      <c r="J448" s="110">
        <v>0</v>
      </c>
    </row>
    <row r="449" spans="1:10" ht="23.1" customHeight="1" x14ac:dyDescent="0.25">
      <c r="A449" s="105" t="s">
        <v>890</v>
      </c>
      <c r="B449" s="105" t="s">
        <v>160</v>
      </c>
      <c r="C449" s="106" t="s">
        <v>178</v>
      </c>
      <c r="D449" s="107" t="s">
        <v>179</v>
      </c>
      <c r="E449" s="108" t="s">
        <v>437</v>
      </c>
      <c r="F449" s="108">
        <v>362</v>
      </c>
      <c r="G449" s="108"/>
      <c r="H449" s="109">
        <v>1843.8246571636639</v>
      </c>
      <c r="I449" s="114">
        <v>0</v>
      </c>
      <c r="J449" s="110">
        <v>1</v>
      </c>
    </row>
    <row r="450" spans="1:10" ht="23.1" customHeight="1" x14ac:dyDescent="0.25">
      <c r="A450" s="105" t="s">
        <v>891</v>
      </c>
      <c r="B450" s="105" t="s">
        <v>180</v>
      </c>
      <c r="C450" s="106" t="s">
        <v>182</v>
      </c>
      <c r="D450" s="107" t="s">
        <v>183</v>
      </c>
      <c r="E450" s="108" t="s">
        <v>437</v>
      </c>
      <c r="F450" s="108">
        <v>3278.5</v>
      </c>
      <c r="G450" s="108"/>
      <c r="H450" s="109">
        <v>3515.2424424969513</v>
      </c>
      <c r="I450" s="114">
        <v>0</v>
      </c>
      <c r="J450" s="110">
        <v>0</v>
      </c>
    </row>
    <row r="451" spans="1:10" ht="23.1" customHeight="1" x14ac:dyDescent="0.25">
      <c r="A451" s="105" t="s">
        <v>892</v>
      </c>
      <c r="B451" s="105" t="s">
        <v>180</v>
      </c>
      <c r="C451" s="106" t="s">
        <v>184</v>
      </c>
      <c r="D451" s="107" t="s">
        <v>185</v>
      </c>
      <c r="E451" s="108" t="s">
        <v>437</v>
      </c>
      <c r="F451" s="108">
        <v>0</v>
      </c>
      <c r="G451" s="108"/>
      <c r="H451" s="109">
        <v>856.67548556710017</v>
      </c>
      <c r="I451" s="114">
        <v>0</v>
      </c>
      <c r="J451" s="110">
        <v>0</v>
      </c>
    </row>
    <row r="452" spans="1:10" ht="23.1" customHeight="1" x14ac:dyDescent="0.25">
      <c r="A452" s="105" t="s">
        <v>893</v>
      </c>
      <c r="B452" s="105" t="s">
        <v>180</v>
      </c>
      <c r="C452" s="106" t="s">
        <v>186</v>
      </c>
      <c r="D452" s="107" t="s">
        <v>187</v>
      </c>
      <c r="E452" s="108" t="s">
        <v>437</v>
      </c>
      <c r="F452" s="108">
        <v>0</v>
      </c>
      <c r="G452" s="108"/>
      <c r="H452" s="109">
        <v>881.78776261578298</v>
      </c>
      <c r="I452" s="114">
        <v>0</v>
      </c>
      <c r="J452" s="110">
        <v>0</v>
      </c>
    </row>
    <row r="453" spans="1:10" ht="23.1" customHeight="1" x14ac:dyDescent="0.25">
      <c r="A453" s="105" t="s">
        <v>894</v>
      </c>
      <c r="B453" s="105" t="s">
        <v>180</v>
      </c>
      <c r="C453" s="106" t="s">
        <v>188</v>
      </c>
      <c r="D453" s="107" t="s">
        <v>189</v>
      </c>
      <c r="E453" s="108" t="s">
        <v>437</v>
      </c>
      <c r="F453" s="108">
        <v>0</v>
      </c>
      <c r="G453" s="108"/>
      <c r="H453" s="109">
        <v>74.428799788627288</v>
      </c>
      <c r="I453" s="114">
        <v>0</v>
      </c>
      <c r="J453" s="110">
        <v>0</v>
      </c>
    </row>
    <row r="454" spans="1:10" ht="23.1" customHeight="1" x14ac:dyDescent="0.25">
      <c r="A454" s="105" t="s">
        <v>895</v>
      </c>
      <c r="B454" s="105" t="s">
        <v>180</v>
      </c>
      <c r="C454" s="106" t="s">
        <v>190</v>
      </c>
      <c r="D454" s="107" t="s">
        <v>191</v>
      </c>
      <c r="E454" s="108" t="s">
        <v>437</v>
      </c>
      <c r="F454" s="108">
        <v>0</v>
      </c>
      <c r="G454" s="108"/>
      <c r="H454" s="109">
        <v>787.30784416409949</v>
      </c>
      <c r="I454" s="114">
        <v>0</v>
      </c>
      <c r="J454" s="110">
        <v>0</v>
      </c>
    </row>
    <row r="455" spans="1:10" ht="23.1" customHeight="1" x14ac:dyDescent="0.25">
      <c r="A455" s="105" t="s">
        <v>896</v>
      </c>
      <c r="B455" s="105" t="s">
        <v>180</v>
      </c>
      <c r="C455" s="106" t="s">
        <v>192</v>
      </c>
      <c r="D455" s="107" t="s">
        <v>193</v>
      </c>
      <c r="E455" s="108" t="s">
        <v>437</v>
      </c>
      <c r="F455" s="108">
        <v>0</v>
      </c>
      <c r="G455" s="108"/>
      <c r="H455" s="109">
        <v>0</v>
      </c>
      <c r="I455" s="114">
        <v>0</v>
      </c>
      <c r="J455" s="110">
        <v>0</v>
      </c>
    </row>
    <row r="456" spans="1:10" ht="23.1" customHeight="1" x14ac:dyDescent="0.25">
      <c r="A456" s="105" t="s">
        <v>897</v>
      </c>
      <c r="B456" s="105" t="s">
        <v>180</v>
      </c>
      <c r="C456" s="106" t="s">
        <v>194</v>
      </c>
      <c r="D456" s="107" t="s">
        <v>195</v>
      </c>
      <c r="E456" s="108" t="s">
        <v>437</v>
      </c>
      <c r="F456" s="108">
        <v>2000</v>
      </c>
      <c r="G456" s="108"/>
      <c r="H456" s="109">
        <v>322.88701924302291</v>
      </c>
      <c r="I456" s="114">
        <v>0</v>
      </c>
      <c r="J456" s="110">
        <v>0</v>
      </c>
    </row>
    <row r="457" spans="1:10" ht="23.1" customHeight="1" x14ac:dyDescent="0.25">
      <c r="A457" s="105" t="s">
        <v>898</v>
      </c>
      <c r="B457" s="105" t="s">
        <v>180</v>
      </c>
      <c r="C457" s="106" t="s">
        <v>196</v>
      </c>
      <c r="D457" s="107" t="s">
        <v>197</v>
      </c>
      <c r="E457" s="108" t="s">
        <v>437</v>
      </c>
      <c r="F457" s="108">
        <v>0</v>
      </c>
      <c r="G457" s="108"/>
      <c r="H457" s="109">
        <v>1511.8424385864707</v>
      </c>
      <c r="I457" s="114">
        <v>0</v>
      </c>
      <c r="J457" s="110">
        <v>0</v>
      </c>
    </row>
    <row r="458" spans="1:10" ht="23.1" customHeight="1" x14ac:dyDescent="0.25">
      <c r="A458" s="105" t="s">
        <v>899</v>
      </c>
      <c r="B458" s="105" t="s">
        <v>180</v>
      </c>
      <c r="C458" s="106" t="s">
        <v>198</v>
      </c>
      <c r="D458" s="107" t="s">
        <v>199</v>
      </c>
      <c r="E458" s="108" t="s">
        <v>437</v>
      </c>
      <c r="F458" s="108">
        <v>0</v>
      </c>
      <c r="G458" s="108"/>
      <c r="H458" s="109">
        <v>315.26551014466747</v>
      </c>
      <c r="I458" s="114">
        <v>0</v>
      </c>
      <c r="J458" s="110">
        <v>0</v>
      </c>
    </row>
    <row r="459" spans="1:10" ht="23.1" customHeight="1" x14ac:dyDescent="0.25">
      <c r="A459" s="105" t="s">
        <v>900</v>
      </c>
      <c r="B459" s="105" t="s">
        <v>180</v>
      </c>
      <c r="C459" s="106" t="s">
        <v>200</v>
      </c>
      <c r="D459" s="107" t="s">
        <v>201</v>
      </c>
      <c r="E459" s="108" t="s">
        <v>437</v>
      </c>
      <c r="F459" s="108">
        <v>2993.5</v>
      </c>
      <c r="G459" s="108"/>
      <c r="H459" s="109">
        <v>445.17353729573756</v>
      </c>
      <c r="I459" s="114">
        <v>0</v>
      </c>
      <c r="J459" s="110">
        <v>1</v>
      </c>
    </row>
    <row r="460" spans="1:10" ht="23.1" customHeight="1" x14ac:dyDescent="0.25">
      <c r="A460" s="105" t="s">
        <v>901</v>
      </c>
      <c r="B460" s="105" t="s">
        <v>180</v>
      </c>
      <c r="C460" s="106" t="s">
        <v>202</v>
      </c>
      <c r="D460" s="107" t="s">
        <v>203</v>
      </c>
      <c r="E460" s="108" t="s">
        <v>437</v>
      </c>
      <c r="F460" s="108">
        <v>0</v>
      </c>
      <c r="G460" s="108"/>
      <c r="H460" s="109">
        <v>516.44655597332701</v>
      </c>
      <c r="I460" s="114">
        <v>0</v>
      </c>
      <c r="J460" s="110">
        <v>0</v>
      </c>
    </row>
    <row r="461" spans="1:10" ht="23.1" customHeight="1" x14ac:dyDescent="0.25">
      <c r="A461" s="105" t="s">
        <v>902</v>
      </c>
      <c r="B461" s="105" t="s">
        <v>180</v>
      </c>
      <c r="C461" s="106" t="s">
        <v>204</v>
      </c>
      <c r="D461" s="107" t="s">
        <v>205</v>
      </c>
      <c r="E461" s="108" t="s">
        <v>437</v>
      </c>
      <c r="F461" s="108">
        <v>1000</v>
      </c>
      <c r="G461" s="108"/>
      <c r="H461" s="109">
        <v>67.432492608496332</v>
      </c>
      <c r="I461" s="114">
        <v>0</v>
      </c>
      <c r="J461" s="110">
        <v>0</v>
      </c>
    </row>
    <row r="462" spans="1:10" ht="23.1" customHeight="1" x14ac:dyDescent="0.25">
      <c r="A462" s="105" t="s">
        <v>903</v>
      </c>
      <c r="B462" s="105" t="s">
        <v>180</v>
      </c>
      <c r="C462" s="106" t="s">
        <v>206</v>
      </c>
      <c r="D462" s="107" t="s">
        <v>207</v>
      </c>
      <c r="E462" s="108" t="s">
        <v>437</v>
      </c>
      <c r="F462" s="108">
        <v>1000</v>
      </c>
      <c r="G462" s="108"/>
      <c r="H462" s="109">
        <v>181.39787084484243</v>
      </c>
      <c r="I462" s="114">
        <v>0</v>
      </c>
      <c r="J462" s="110">
        <v>0</v>
      </c>
    </row>
    <row r="463" spans="1:10" ht="23.1" customHeight="1" x14ac:dyDescent="0.25">
      <c r="A463" s="105" t="s">
        <v>904</v>
      </c>
      <c r="B463" s="105" t="s">
        <v>180</v>
      </c>
      <c r="C463" s="106" t="s">
        <v>208</v>
      </c>
      <c r="D463" s="107" t="s">
        <v>209</v>
      </c>
      <c r="E463" s="108" t="s">
        <v>437</v>
      </c>
      <c r="F463" s="108">
        <v>0</v>
      </c>
      <c r="G463" s="108"/>
      <c r="H463" s="109">
        <v>2655.2474324592786</v>
      </c>
      <c r="I463" s="114">
        <v>0</v>
      </c>
      <c r="J463" s="110">
        <v>1</v>
      </c>
    </row>
    <row r="464" spans="1:10" ht="23.1" customHeight="1" x14ac:dyDescent="0.25">
      <c r="A464" s="105" t="s">
        <v>905</v>
      </c>
      <c r="B464" s="105" t="s">
        <v>180</v>
      </c>
      <c r="C464" s="106" t="s">
        <v>210</v>
      </c>
      <c r="D464" s="107" t="s">
        <v>211</v>
      </c>
      <c r="E464" s="108" t="s">
        <v>437</v>
      </c>
      <c r="F464" s="108">
        <v>0</v>
      </c>
      <c r="G464" s="108"/>
      <c r="H464" s="109">
        <v>1028.4571554792519</v>
      </c>
      <c r="I464" s="114">
        <v>0</v>
      </c>
      <c r="J464" s="110">
        <v>0</v>
      </c>
    </row>
    <row r="465" spans="1:10" ht="23.1" customHeight="1" x14ac:dyDescent="0.25">
      <c r="A465" s="105" t="s">
        <v>906</v>
      </c>
      <c r="B465" s="105" t="s">
        <v>180</v>
      </c>
      <c r="C465" s="106" t="s">
        <v>212</v>
      </c>
      <c r="D465" s="107" t="s">
        <v>213</v>
      </c>
      <c r="E465" s="108" t="s">
        <v>437</v>
      </c>
      <c r="F465" s="108">
        <v>0</v>
      </c>
      <c r="G465" s="108"/>
      <c r="H465" s="109">
        <v>34.237247902768551</v>
      </c>
      <c r="I465" s="114">
        <v>0</v>
      </c>
      <c r="J465" s="110">
        <v>0</v>
      </c>
    </row>
    <row r="466" spans="1:10" ht="23.1" customHeight="1" x14ac:dyDescent="0.25">
      <c r="A466" s="105" t="s">
        <v>907</v>
      </c>
      <c r="B466" s="105" t="s">
        <v>180</v>
      </c>
      <c r="C466" s="106" t="s">
        <v>214</v>
      </c>
      <c r="D466" s="107" t="s">
        <v>215</v>
      </c>
      <c r="E466" s="108" t="s">
        <v>437</v>
      </c>
      <c r="F466" s="108">
        <v>0</v>
      </c>
      <c r="G466" s="108"/>
      <c r="H466" s="109">
        <v>975.76156522890381</v>
      </c>
      <c r="I466" s="114">
        <v>0</v>
      </c>
      <c r="J466" s="110">
        <v>0</v>
      </c>
    </row>
    <row r="467" spans="1:10" ht="23.1" customHeight="1" x14ac:dyDescent="0.25">
      <c r="A467" s="105" t="s">
        <v>908</v>
      </c>
      <c r="B467" s="105" t="s">
        <v>216</v>
      </c>
      <c r="C467" s="106" t="s">
        <v>218</v>
      </c>
      <c r="D467" s="107" t="s">
        <v>219</v>
      </c>
      <c r="E467" s="108" t="s">
        <v>437</v>
      </c>
      <c r="F467" s="108">
        <v>1006</v>
      </c>
      <c r="G467" s="108"/>
      <c r="H467" s="109">
        <v>685.75718973249639</v>
      </c>
      <c r="I467" s="114">
        <v>0</v>
      </c>
      <c r="J467" s="110">
        <v>0</v>
      </c>
    </row>
    <row r="468" spans="1:10" ht="23.1" customHeight="1" x14ac:dyDescent="0.25">
      <c r="A468" s="105" t="s">
        <v>909</v>
      </c>
      <c r="B468" s="105" t="s">
        <v>216</v>
      </c>
      <c r="C468" s="106" t="s">
        <v>220</v>
      </c>
      <c r="D468" s="107" t="s">
        <v>221</v>
      </c>
      <c r="E468" s="108" t="s">
        <v>437</v>
      </c>
      <c r="F468" s="108">
        <v>2275</v>
      </c>
      <c r="G468" s="108"/>
      <c r="H468" s="109">
        <v>3556.1782823806966</v>
      </c>
      <c r="I468" s="114">
        <v>0</v>
      </c>
      <c r="J468" s="110">
        <v>3</v>
      </c>
    </row>
    <row r="469" spans="1:10" ht="23.1" customHeight="1" x14ac:dyDescent="0.25">
      <c r="A469" s="105" t="s">
        <v>910</v>
      </c>
      <c r="B469" s="105" t="s">
        <v>216</v>
      </c>
      <c r="C469" s="106" t="s">
        <v>222</v>
      </c>
      <c r="D469" s="107" t="s">
        <v>223</v>
      </c>
      <c r="E469" s="108" t="s">
        <v>437</v>
      </c>
      <c r="F469" s="108">
        <v>2358</v>
      </c>
      <c r="G469" s="108"/>
      <c r="H469" s="109">
        <v>1588.1319583698137</v>
      </c>
      <c r="I469" s="114">
        <v>0</v>
      </c>
      <c r="J469" s="110">
        <v>1</v>
      </c>
    </row>
    <row r="470" spans="1:10" ht="23.1" customHeight="1" x14ac:dyDescent="0.25">
      <c r="A470" s="105" t="s">
        <v>911</v>
      </c>
      <c r="B470" s="105" t="s">
        <v>216</v>
      </c>
      <c r="C470" s="106" t="s">
        <v>224</v>
      </c>
      <c r="D470" s="107" t="s">
        <v>225</v>
      </c>
      <c r="E470" s="108" t="s">
        <v>437</v>
      </c>
      <c r="F470" s="108">
        <v>4070</v>
      </c>
      <c r="G470" s="108"/>
      <c r="H470" s="109">
        <v>2285.9614994280255</v>
      </c>
      <c r="I470" s="114">
        <v>0</v>
      </c>
      <c r="J470" s="110">
        <v>0</v>
      </c>
    </row>
    <row r="471" spans="1:10" ht="23.1" customHeight="1" x14ac:dyDescent="0.25">
      <c r="A471" s="105" t="s">
        <v>912</v>
      </c>
      <c r="B471" s="105" t="s">
        <v>216</v>
      </c>
      <c r="C471" s="106" t="s">
        <v>226</v>
      </c>
      <c r="D471" s="107" t="s">
        <v>227</v>
      </c>
      <c r="E471" s="108" t="s">
        <v>437</v>
      </c>
      <c r="F471" s="108">
        <v>1049</v>
      </c>
      <c r="G471" s="108"/>
      <c r="H471" s="109">
        <v>994.94930981441189</v>
      </c>
      <c r="I471" s="114">
        <v>0</v>
      </c>
      <c r="J471" s="110">
        <v>0</v>
      </c>
    </row>
    <row r="472" spans="1:10" ht="23.1" customHeight="1" x14ac:dyDescent="0.25">
      <c r="A472" s="105" t="s">
        <v>913</v>
      </c>
      <c r="B472" s="105" t="s">
        <v>216</v>
      </c>
      <c r="C472" s="106" t="s">
        <v>228</v>
      </c>
      <c r="D472" s="107" t="s">
        <v>229</v>
      </c>
      <c r="E472" s="108" t="s">
        <v>437</v>
      </c>
      <c r="F472" s="108">
        <v>0</v>
      </c>
      <c r="G472" s="108"/>
      <c r="H472" s="109">
        <v>759.24818664378699</v>
      </c>
      <c r="I472" s="114">
        <v>0</v>
      </c>
      <c r="J472" s="110">
        <v>0</v>
      </c>
    </row>
    <row r="473" spans="1:10" ht="23.1" customHeight="1" x14ac:dyDescent="0.25">
      <c r="A473" s="105" t="s">
        <v>914</v>
      </c>
      <c r="B473" s="105" t="s">
        <v>216</v>
      </c>
      <c r="C473" s="106" t="s">
        <v>230</v>
      </c>
      <c r="D473" s="107" t="s">
        <v>231</v>
      </c>
      <c r="E473" s="108" t="s">
        <v>437</v>
      </c>
      <c r="F473" s="108">
        <v>2319</v>
      </c>
      <c r="G473" s="108"/>
      <c r="H473" s="109">
        <v>623.34119822975356</v>
      </c>
      <c r="I473" s="114">
        <v>0</v>
      </c>
      <c r="J473" s="110">
        <v>0</v>
      </c>
    </row>
    <row r="474" spans="1:10" ht="23.1" customHeight="1" x14ac:dyDescent="0.25">
      <c r="A474" s="105" t="s">
        <v>915</v>
      </c>
      <c r="B474" s="105" t="s">
        <v>232</v>
      </c>
      <c r="C474" s="106" t="s">
        <v>234</v>
      </c>
      <c r="D474" s="107" t="s">
        <v>235</v>
      </c>
      <c r="E474" s="108" t="s">
        <v>437</v>
      </c>
      <c r="F474" s="108">
        <v>5239</v>
      </c>
      <c r="G474" s="108"/>
      <c r="H474" s="109">
        <v>1485.4053289015503</v>
      </c>
      <c r="I474" s="114">
        <v>0</v>
      </c>
      <c r="J474" s="110">
        <v>1</v>
      </c>
    </row>
    <row r="475" spans="1:10" ht="23.1" customHeight="1" x14ac:dyDescent="0.25">
      <c r="A475" s="105" t="s">
        <v>916</v>
      </c>
      <c r="B475" s="105" t="s">
        <v>232</v>
      </c>
      <c r="C475" s="106" t="s">
        <v>236</v>
      </c>
      <c r="D475" s="107" t="s">
        <v>237</v>
      </c>
      <c r="E475" s="108" t="s">
        <v>437</v>
      </c>
      <c r="F475" s="108">
        <v>5000</v>
      </c>
      <c r="G475" s="108"/>
      <c r="H475" s="109">
        <v>96.05780900720238</v>
      </c>
      <c r="I475" s="114">
        <v>0</v>
      </c>
      <c r="J475" s="110">
        <v>0</v>
      </c>
    </row>
    <row r="476" spans="1:10" ht="23.1" customHeight="1" x14ac:dyDescent="0.25">
      <c r="A476" s="105" t="s">
        <v>917</v>
      </c>
      <c r="B476" s="105" t="s">
        <v>232</v>
      </c>
      <c r="C476" s="106" t="s">
        <v>238</v>
      </c>
      <c r="D476" s="107" t="s">
        <v>239</v>
      </c>
      <c r="E476" s="108" t="s">
        <v>437</v>
      </c>
      <c r="F476" s="108">
        <v>0</v>
      </c>
      <c r="G476" s="108"/>
      <c r="H476" s="109">
        <v>1239.5818889596721</v>
      </c>
      <c r="I476" s="114">
        <v>0</v>
      </c>
      <c r="J476" s="110">
        <v>3</v>
      </c>
    </row>
    <row r="477" spans="1:10" ht="23.1" customHeight="1" x14ac:dyDescent="0.25">
      <c r="A477" s="105" t="s">
        <v>918</v>
      </c>
      <c r="B477" s="105" t="s">
        <v>232</v>
      </c>
      <c r="C477" s="106" t="s">
        <v>240</v>
      </c>
      <c r="D477" s="107" t="s">
        <v>241</v>
      </c>
      <c r="E477" s="108" t="s">
        <v>437</v>
      </c>
      <c r="F477" s="108">
        <v>7010.5</v>
      </c>
      <c r="G477" s="108"/>
      <c r="H477" s="109">
        <v>1041.9138824810357</v>
      </c>
      <c r="I477" s="114">
        <v>0</v>
      </c>
      <c r="J477" s="110">
        <v>5</v>
      </c>
    </row>
    <row r="478" spans="1:10" ht="23.1" customHeight="1" x14ac:dyDescent="0.25">
      <c r="A478" s="105" t="s">
        <v>919</v>
      </c>
      <c r="B478" s="105" t="s">
        <v>232</v>
      </c>
      <c r="C478" s="106" t="s">
        <v>242</v>
      </c>
      <c r="D478" s="107" t="s">
        <v>243</v>
      </c>
      <c r="E478" s="108" t="s">
        <v>437</v>
      </c>
      <c r="F478" s="108">
        <v>5000</v>
      </c>
      <c r="G478" s="108"/>
      <c r="H478" s="109">
        <v>110.1546236871684</v>
      </c>
      <c r="I478" s="114">
        <v>0</v>
      </c>
      <c r="J478" s="110">
        <v>2</v>
      </c>
    </row>
    <row r="479" spans="1:10" ht="23.1" customHeight="1" x14ac:dyDescent="0.25">
      <c r="A479" s="105" t="s">
        <v>920</v>
      </c>
      <c r="B479" s="105" t="s">
        <v>232</v>
      </c>
      <c r="C479" s="106" t="s">
        <v>244</v>
      </c>
      <c r="D479" s="107" t="s">
        <v>245</v>
      </c>
      <c r="E479" s="108" t="s">
        <v>437</v>
      </c>
      <c r="F479" s="108">
        <v>2873</v>
      </c>
      <c r="G479" s="108"/>
      <c r="H479" s="109">
        <v>699.92843321225109</v>
      </c>
      <c r="I479" s="114">
        <v>0</v>
      </c>
      <c r="J479" s="110">
        <v>2</v>
      </c>
    </row>
    <row r="480" spans="1:10" ht="23.1" customHeight="1" x14ac:dyDescent="0.25">
      <c r="A480" s="105" t="s">
        <v>921</v>
      </c>
      <c r="B480" s="105" t="s">
        <v>232</v>
      </c>
      <c r="C480" s="106" t="s">
        <v>246</v>
      </c>
      <c r="D480" s="107" t="s">
        <v>247</v>
      </c>
      <c r="E480" s="108" t="s">
        <v>437</v>
      </c>
      <c r="F480" s="108">
        <v>0</v>
      </c>
      <c r="G480" s="108"/>
      <c r="H480" s="109">
        <v>149.97403157408399</v>
      </c>
      <c r="I480" s="114">
        <v>0</v>
      </c>
      <c r="J480" s="110">
        <v>0</v>
      </c>
    </row>
    <row r="481" spans="1:10" ht="23.1" customHeight="1" x14ac:dyDescent="0.25">
      <c r="A481" s="105" t="s">
        <v>922</v>
      </c>
      <c r="B481" s="105" t="s">
        <v>232</v>
      </c>
      <c r="C481" s="106" t="s">
        <v>248</v>
      </c>
      <c r="D481" s="107" t="s">
        <v>249</v>
      </c>
      <c r="E481" s="108" t="s">
        <v>437</v>
      </c>
      <c r="F481" s="108">
        <v>1075</v>
      </c>
      <c r="G481" s="108"/>
      <c r="H481" s="109">
        <v>795.07821086203217</v>
      </c>
      <c r="I481" s="114">
        <v>0</v>
      </c>
      <c r="J481" s="110">
        <v>2</v>
      </c>
    </row>
    <row r="482" spans="1:10" ht="23.1" customHeight="1" x14ac:dyDescent="0.25">
      <c r="A482" s="105" t="s">
        <v>923</v>
      </c>
      <c r="B482" s="105" t="s">
        <v>232</v>
      </c>
      <c r="C482" s="106" t="s">
        <v>250</v>
      </c>
      <c r="D482" s="107" t="s">
        <v>251</v>
      </c>
      <c r="E482" s="108" t="s">
        <v>437</v>
      </c>
      <c r="F482" s="108">
        <v>0</v>
      </c>
      <c r="G482" s="108"/>
      <c r="H482" s="109">
        <v>759.18864360395605</v>
      </c>
      <c r="I482" s="114">
        <v>0</v>
      </c>
      <c r="J482" s="110">
        <v>0</v>
      </c>
    </row>
    <row r="483" spans="1:10" ht="23.1" customHeight="1" x14ac:dyDescent="0.25">
      <c r="A483" s="105" t="s">
        <v>924</v>
      </c>
      <c r="B483" s="105" t="s">
        <v>252</v>
      </c>
      <c r="C483" s="106" t="s">
        <v>254</v>
      </c>
      <c r="D483" s="107" t="s">
        <v>255</v>
      </c>
      <c r="E483" s="108" t="s">
        <v>437</v>
      </c>
      <c r="F483" s="108">
        <v>0</v>
      </c>
      <c r="G483" s="108"/>
      <c r="H483" s="109">
        <v>453.56910591189472</v>
      </c>
      <c r="I483" s="114">
        <v>0</v>
      </c>
      <c r="J483" s="110">
        <v>0</v>
      </c>
    </row>
    <row r="484" spans="1:10" ht="23.1" customHeight="1" x14ac:dyDescent="0.25">
      <c r="A484" s="105" t="s">
        <v>925</v>
      </c>
      <c r="B484" s="105" t="s">
        <v>252</v>
      </c>
      <c r="C484" s="106" t="s">
        <v>256</v>
      </c>
      <c r="D484" s="107" t="s">
        <v>257</v>
      </c>
      <c r="E484" s="108" t="s">
        <v>437</v>
      </c>
      <c r="F484" s="108">
        <v>0</v>
      </c>
      <c r="G484" s="108"/>
      <c r="H484" s="109">
        <v>1764.7068429883529</v>
      </c>
      <c r="I484" s="114">
        <v>0</v>
      </c>
      <c r="J484" s="110">
        <v>4</v>
      </c>
    </row>
    <row r="485" spans="1:10" ht="23.1" customHeight="1" x14ac:dyDescent="0.25">
      <c r="A485" s="105" t="s">
        <v>926</v>
      </c>
      <c r="B485" s="105" t="s">
        <v>252</v>
      </c>
      <c r="C485" s="106" t="s">
        <v>258</v>
      </c>
      <c r="D485" s="107" t="s">
        <v>259</v>
      </c>
      <c r="E485" s="108" t="s">
        <v>437</v>
      </c>
      <c r="F485" s="108">
        <v>0</v>
      </c>
      <c r="G485" s="108"/>
      <c r="H485" s="109">
        <v>682.21437886255774</v>
      </c>
      <c r="I485" s="114">
        <v>0</v>
      </c>
      <c r="J485" s="110">
        <v>0</v>
      </c>
    </row>
    <row r="486" spans="1:10" ht="23.1" customHeight="1" x14ac:dyDescent="0.25">
      <c r="A486" s="105" t="s">
        <v>927</v>
      </c>
      <c r="B486" s="105" t="s">
        <v>252</v>
      </c>
      <c r="C486" s="106" t="s">
        <v>260</v>
      </c>
      <c r="D486" s="107" t="s">
        <v>261</v>
      </c>
      <c r="E486" s="108" t="s">
        <v>437</v>
      </c>
      <c r="F486" s="108">
        <v>0</v>
      </c>
      <c r="G486" s="108"/>
      <c r="H486" s="109">
        <v>47.053887226370172</v>
      </c>
      <c r="I486" s="114">
        <v>0</v>
      </c>
      <c r="J486" s="110">
        <v>0</v>
      </c>
    </row>
    <row r="487" spans="1:10" ht="23.1" customHeight="1" x14ac:dyDescent="0.25">
      <c r="A487" s="105" t="s">
        <v>928</v>
      </c>
      <c r="B487" s="105" t="s">
        <v>252</v>
      </c>
      <c r="C487" s="106" t="s">
        <v>262</v>
      </c>
      <c r="D487" s="107" t="s">
        <v>263</v>
      </c>
      <c r="E487" s="108" t="s">
        <v>437</v>
      </c>
      <c r="F487" s="108">
        <v>0</v>
      </c>
      <c r="G487" s="108"/>
      <c r="H487" s="109">
        <v>135.57950169496348</v>
      </c>
      <c r="I487" s="114">
        <v>0</v>
      </c>
      <c r="J487" s="110">
        <v>0</v>
      </c>
    </row>
    <row r="488" spans="1:10" ht="23.1" customHeight="1" x14ac:dyDescent="0.25">
      <c r="A488" s="105" t="s">
        <v>929</v>
      </c>
      <c r="B488" s="105" t="s">
        <v>252</v>
      </c>
      <c r="C488" s="106" t="s">
        <v>264</v>
      </c>
      <c r="D488" s="107" t="s">
        <v>265</v>
      </c>
      <c r="E488" s="108" t="s">
        <v>437</v>
      </c>
      <c r="F488" s="108">
        <v>0</v>
      </c>
      <c r="G488" s="108"/>
      <c r="H488" s="109">
        <v>304.07141865645792</v>
      </c>
      <c r="I488" s="114">
        <v>0</v>
      </c>
      <c r="J488" s="110">
        <v>0</v>
      </c>
    </row>
    <row r="489" spans="1:10" ht="23.1" customHeight="1" x14ac:dyDescent="0.25">
      <c r="A489" s="105" t="s">
        <v>930</v>
      </c>
      <c r="B489" s="105" t="s">
        <v>252</v>
      </c>
      <c r="C489" s="106" t="s">
        <v>266</v>
      </c>
      <c r="D489" s="107" t="s">
        <v>267</v>
      </c>
      <c r="E489" s="108" t="s">
        <v>437</v>
      </c>
      <c r="F489" s="108">
        <v>0</v>
      </c>
      <c r="G489" s="108"/>
      <c r="H489" s="109">
        <v>1170.2142475566714</v>
      </c>
      <c r="I489" s="114">
        <v>0</v>
      </c>
      <c r="J489" s="110">
        <v>0</v>
      </c>
    </row>
    <row r="490" spans="1:10" ht="23.1" customHeight="1" x14ac:dyDescent="0.25">
      <c r="A490" s="105" t="s">
        <v>931</v>
      </c>
      <c r="B490" s="105" t="s">
        <v>252</v>
      </c>
      <c r="C490" s="106" t="s">
        <v>268</v>
      </c>
      <c r="D490" s="107" t="s">
        <v>269</v>
      </c>
      <c r="E490" s="108" t="s">
        <v>437</v>
      </c>
      <c r="F490" s="108">
        <v>0</v>
      </c>
      <c r="G490" s="108"/>
      <c r="H490" s="109">
        <v>590.81581272212338</v>
      </c>
      <c r="I490" s="114">
        <v>0</v>
      </c>
      <c r="J490" s="110">
        <v>0</v>
      </c>
    </row>
    <row r="491" spans="1:10" ht="23.1" customHeight="1" x14ac:dyDescent="0.25">
      <c r="A491" s="105" t="s">
        <v>932</v>
      </c>
      <c r="B491" s="105" t="s">
        <v>252</v>
      </c>
      <c r="C491" s="106" t="s">
        <v>270</v>
      </c>
      <c r="D491" s="107" t="s">
        <v>271</v>
      </c>
      <c r="E491" s="108" t="s">
        <v>437</v>
      </c>
      <c r="F491" s="108">
        <v>0</v>
      </c>
      <c r="G491" s="108"/>
      <c r="H491" s="109">
        <v>475.43628728979343</v>
      </c>
      <c r="I491" s="114">
        <v>0</v>
      </c>
      <c r="J491" s="110">
        <v>0</v>
      </c>
    </row>
    <row r="492" spans="1:10" ht="23.1" customHeight="1" x14ac:dyDescent="0.25">
      <c r="A492" s="105" t="s">
        <v>933</v>
      </c>
      <c r="B492" s="105" t="s">
        <v>252</v>
      </c>
      <c r="C492" s="106" t="s">
        <v>272</v>
      </c>
      <c r="D492" s="107" t="s">
        <v>273</v>
      </c>
      <c r="E492" s="108" t="s">
        <v>437</v>
      </c>
      <c r="F492" s="108">
        <v>0</v>
      </c>
      <c r="G492" s="108"/>
      <c r="H492" s="109">
        <v>544.93790053241355</v>
      </c>
      <c r="I492" s="114">
        <v>0</v>
      </c>
      <c r="J492" s="110">
        <v>0</v>
      </c>
    </row>
    <row r="493" spans="1:10" ht="23.1" customHeight="1" x14ac:dyDescent="0.25">
      <c r="A493" s="105" t="s">
        <v>934</v>
      </c>
      <c r="B493" s="105" t="s">
        <v>274</v>
      </c>
      <c r="C493" s="106" t="s">
        <v>276</v>
      </c>
      <c r="D493" s="107" t="s">
        <v>277</v>
      </c>
      <c r="E493" s="108" t="s">
        <v>437</v>
      </c>
      <c r="F493" s="108">
        <v>2489</v>
      </c>
      <c r="G493" s="108"/>
      <c r="H493" s="109">
        <v>1455.7380093058034</v>
      </c>
      <c r="I493" s="114">
        <v>0</v>
      </c>
      <c r="J493" s="110">
        <v>0</v>
      </c>
    </row>
    <row r="494" spans="1:10" ht="23.1" customHeight="1" x14ac:dyDescent="0.25">
      <c r="A494" s="105" t="s">
        <v>935</v>
      </c>
      <c r="B494" s="105" t="s">
        <v>274</v>
      </c>
      <c r="C494" s="106" t="s">
        <v>278</v>
      </c>
      <c r="D494" s="107" t="s">
        <v>279</v>
      </c>
      <c r="E494" s="108" t="s">
        <v>437</v>
      </c>
      <c r="F494" s="108">
        <v>10829</v>
      </c>
      <c r="G494" s="108"/>
      <c r="H494" s="109">
        <v>1932.9159305106507</v>
      </c>
      <c r="I494" s="114">
        <v>0</v>
      </c>
      <c r="J494" s="110">
        <v>3</v>
      </c>
    </row>
    <row r="495" spans="1:10" ht="23.1" customHeight="1" x14ac:dyDescent="0.25">
      <c r="A495" s="105" t="s">
        <v>936</v>
      </c>
      <c r="B495" s="105" t="s">
        <v>274</v>
      </c>
      <c r="C495" s="106" t="s">
        <v>280</v>
      </c>
      <c r="D495" s="107" t="s">
        <v>281</v>
      </c>
      <c r="E495" s="108" t="s">
        <v>437</v>
      </c>
      <c r="F495" s="108">
        <v>0</v>
      </c>
      <c r="G495" s="108"/>
      <c r="H495" s="109">
        <v>293.78535852566966</v>
      </c>
      <c r="I495" s="114">
        <v>0</v>
      </c>
      <c r="J495" s="110">
        <v>0</v>
      </c>
    </row>
    <row r="496" spans="1:10" ht="23.1" customHeight="1" x14ac:dyDescent="0.25">
      <c r="A496" s="105" t="s">
        <v>937</v>
      </c>
      <c r="B496" s="105" t="s">
        <v>274</v>
      </c>
      <c r="C496" s="106" t="s">
        <v>282</v>
      </c>
      <c r="D496" s="107" t="s">
        <v>283</v>
      </c>
      <c r="E496" s="108" t="s">
        <v>437</v>
      </c>
      <c r="F496" s="108">
        <v>0</v>
      </c>
      <c r="G496" s="108"/>
      <c r="H496" s="109">
        <v>176.30694093930032</v>
      </c>
      <c r="I496" s="114">
        <v>0</v>
      </c>
      <c r="J496" s="110">
        <v>0</v>
      </c>
    </row>
    <row r="497" spans="1:10" ht="23.1" customHeight="1" x14ac:dyDescent="0.25">
      <c r="A497" s="105" t="s">
        <v>938</v>
      </c>
      <c r="B497" s="105" t="s">
        <v>274</v>
      </c>
      <c r="C497" s="106" t="s">
        <v>284</v>
      </c>
      <c r="D497" s="107" t="s">
        <v>285</v>
      </c>
      <c r="E497" s="108" t="s">
        <v>437</v>
      </c>
      <c r="F497" s="108">
        <v>0</v>
      </c>
      <c r="G497" s="108"/>
      <c r="H497" s="109">
        <v>286.5211076662996</v>
      </c>
      <c r="I497" s="114">
        <v>0</v>
      </c>
      <c r="J497" s="110">
        <v>1</v>
      </c>
    </row>
    <row r="498" spans="1:10" ht="23.1" customHeight="1" x14ac:dyDescent="0.25">
      <c r="A498" s="105" t="s">
        <v>939</v>
      </c>
      <c r="B498" s="105" t="s">
        <v>274</v>
      </c>
      <c r="C498" s="106" t="s">
        <v>286</v>
      </c>
      <c r="D498" s="107" t="s">
        <v>287</v>
      </c>
      <c r="E498" s="108" t="s">
        <v>437</v>
      </c>
      <c r="F498" s="108">
        <v>4642.5</v>
      </c>
      <c r="G498" s="108"/>
      <c r="H498" s="109">
        <v>1295.1355451219035</v>
      </c>
      <c r="I498" s="114">
        <v>0</v>
      </c>
      <c r="J498" s="110">
        <v>0</v>
      </c>
    </row>
    <row r="499" spans="1:10" ht="23.1" customHeight="1" x14ac:dyDescent="0.25">
      <c r="A499" s="105" t="s">
        <v>940</v>
      </c>
      <c r="B499" s="105" t="s">
        <v>274</v>
      </c>
      <c r="C499" s="106" t="s">
        <v>288</v>
      </c>
      <c r="D499" s="107" t="s">
        <v>289</v>
      </c>
      <c r="E499" s="108" t="s">
        <v>437</v>
      </c>
      <c r="F499" s="108">
        <v>13299.5</v>
      </c>
      <c r="G499" s="108"/>
      <c r="H499" s="109">
        <v>2261.9209970962988</v>
      </c>
      <c r="I499" s="114">
        <v>0</v>
      </c>
      <c r="J499" s="110">
        <v>0</v>
      </c>
    </row>
    <row r="500" spans="1:10" ht="23.1" customHeight="1" x14ac:dyDescent="0.25">
      <c r="A500" s="105" t="s">
        <v>941</v>
      </c>
      <c r="B500" s="105" t="s">
        <v>274</v>
      </c>
      <c r="C500" s="106" t="s">
        <v>290</v>
      </c>
      <c r="D500" s="107" t="s">
        <v>291</v>
      </c>
      <c r="E500" s="108" t="s">
        <v>437</v>
      </c>
      <c r="F500" s="108">
        <v>0</v>
      </c>
      <c r="G500" s="108"/>
      <c r="H500" s="109">
        <v>1069.3036808032505</v>
      </c>
      <c r="I500" s="114">
        <v>0</v>
      </c>
      <c r="J500" s="110">
        <v>0</v>
      </c>
    </row>
    <row r="501" spans="1:10" ht="23.1" customHeight="1" x14ac:dyDescent="0.25">
      <c r="A501" s="105" t="s">
        <v>942</v>
      </c>
      <c r="B501" s="105" t="s">
        <v>274</v>
      </c>
      <c r="C501" s="106" t="s">
        <v>292</v>
      </c>
      <c r="D501" s="107" t="s">
        <v>293</v>
      </c>
      <c r="E501" s="108" t="s">
        <v>437</v>
      </c>
      <c r="F501" s="108">
        <v>0</v>
      </c>
      <c r="G501" s="108"/>
      <c r="H501" s="109">
        <v>378.27693204571932</v>
      </c>
      <c r="I501" s="114">
        <v>0</v>
      </c>
      <c r="J501" s="110">
        <v>2</v>
      </c>
    </row>
    <row r="502" spans="1:10" ht="23.1" customHeight="1" x14ac:dyDescent="0.25">
      <c r="A502" s="105" t="s">
        <v>943</v>
      </c>
      <c r="B502" s="105" t="s">
        <v>274</v>
      </c>
      <c r="C502" s="106" t="s">
        <v>294</v>
      </c>
      <c r="D502" s="107" t="s">
        <v>295</v>
      </c>
      <c r="E502" s="108" t="s">
        <v>437</v>
      </c>
      <c r="F502" s="108">
        <v>0</v>
      </c>
      <c r="G502" s="108"/>
      <c r="H502" s="109">
        <v>1231.7519792219084</v>
      </c>
      <c r="I502" s="114">
        <v>0</v>
      </c>
      <c r="J502" s="110">
        <v>0</v>
      </c>
    </row>
    <row r="503" spans="1:10" ht="23.1" customHeight="1" x14ac:dyDescent="0.25">
      <c r="A503" s="105" t="s">
        <v>944</v>
      </c>
      <c r="B503" s="105" t="s">
        <v>274</v>
      </c>
      <c r="C503" s="106" t="s">
        <v>296</v>
      </c>
      <c r="D503" s="107" t="s">
        <v>297</v>
      </c>
      <c r="E503" s="108" t="s">
        <v>437</v>
      </c>
      <c r="F503" s="108">
        <v>0</v>
      </c>
      <c r="G503" s="108"/>
      <c r="H503" s="109">
        <v>993.19279013940024</v>
      </c>
      <c r="I503" s="114">
        <v>0</v>
      </c>
      <c r="J503" s="110">
        <v>0</v>
      </c>
    </row>
    <row r="504" spans="1:10" ht="23.1" customHeight="1" x14ac:dyDescent="0.25">
      <c r="A504" s="105" t="s">
        <v>945</v>
      </c>
      <c r="B504" s="105" t="s">
        <v>298</v>
      </c>
      <c r="C504" s="106" t="s">
        <v>300</v>
      </c>
      <c r="D504" s="107" t="s">
        <v>301</v>
      </c>
      <c r="E504" s="108" t="s">
        <v>437</v>
      </c>
      <c r="F504" s="108">
        <v>0</v>
      </c>
      <c r="G504" s="108"/>
      <c r="H504" s="109">
        <v>829.56851668408206</v>
      </c>
      <c r="I504" s="114">
        <v>0</v>
      </c>
      <c r="J504" s="110">
        <v>0</v>
      </c>
    </row>
    <row r="505" spans="1:10" ht="23.1" customHeight="1" x14ac:dyDescent="0.25">
      <c r="A505" s="105" t="s">
        <v>946</v>
      </c>
      <c r="B505" s="105" t="s">
        <v>298</v>
      </c>
      <c r="C505" s="106" t="s">
        <v>302</v>
      </c>
      <c r="D505" s="107" t="s">
        <v>303</v>
      </c>
      <c r="E505" s="108" t="s">
        <v>437</v>
      </c>
      <c r="F505" s="108">
        <v>0</v>
      </c>
      <c r="G505" s="108"/>
      <c r="H505" s="109">
        <v>2916.9390925160919</v>
      </c>
      <c r="I505" s="114">
        <v>0</v>
      </c>
      <c r="J505" s="110">
        <v>0</v>
      </c>
    </row>
    <row r="506" spans="1:10" ht="23.1" customHeight="1" x14ac:dyDescent="0.25">
      <c r="A506" s="105" t="s">
        <v>947</v>
      </c>
      <c r="B506" s="105" t="s">
        <v>298</v>
      </c>
      <c r="C506" s="106" t="s">
        <v>304</v>
      </c>
      <c r="D506" s="107" t="s">
        <v>305</v>
      </c>
      <c r="E506" s="108" t="s">
        <v>437</v>
      </c>
      <c r="F506" s="108">
        <v>0</v>
      </c>
      <c r="G506" s="108"/>
      <c r="H506" s="109">
        <v>1096.3362208864801</v>
      </c>
      <c r="I506" s="114">
        <v>0</v>
      </c>
      <c r="J506" s="110">
        <v>0</v>
      </c>
    </row>
    <row r="507" spans="1:10" ht="23.1" customHeight="1" x14ac:dyDescent="0.25">
      <c r="A507" s="105" t="s">
        <v>948</v>
      </c>
      <c r="B507" s="105" t="s">
        <v>298</v>
      </c>
      <c r="C507" s="106" t="s">
        <v>306</v>
      </c>
      <c r="D507" s="107" t="s">
        <v>307</v>
      </c>
      <c r="E507" s="108" t="s">
        <v>437</v>
      </c>
      <c r="F507" s="108">
        <v>0</v>
      </c>
      <c r="G507" s="108"/>
      <c r="H507" s="109">
        <v>698.51428601626708</v>
      </c>
      <c r="I507" s="114">
        <v>0</v>
      </c>
      <c r="J507" s="110">
        <v>1</v>
      </c>
    </row>
    <row r="508" spans="1:10" ht="23.1" customHeight="1" x14ac:dyDescent="0.25">
      <c r="A508" s="105" t="s">
        <v>949</v>
      </c>
      <c r="B508" s="105" t="s">
        <v>298</v>
      </c>
      <c r="C508" s="106" t="s">
        <v>308</v>
      </c>
      <c r="D508" s="107" t="s">
        <v>309</v>
      </c>
      <c r="E508" s="108" t="s">
        <v>437</v>
      </c>
      <c r="F508" s="108">
        <v>460.5</v>
      </c>
      <c r="G508" s="108"/>
      <c r="H508" s="109">
        <v>995.85734117183313</v>
      </c>
      <c r="I508" s="114">
        <v>0</v>
      </c>
      <c r="J508" s="110">
        <v>1</v>
      </c>
    </row>
    <row r="509" spans="1:10" ht="23.1" customHeight="1" x14ac:dyDescent="0.25">
      <c r="A509" s="105" t="s">
        <v>950</v>
      </c>
      <c r="B509" s="105" t="s">
        <v>298</v>
      </c>
      <c r="C509" s="106" t="s">
        <v>310</v>
      </c>
      <c r="D509" s="107" t="s">
        <v>311</v>
      </c>
      <c r="E509" s="108" t="s">
        <v>437</v>
      </c>
      <c r="F509" s="108">
        <v>0</v>
      </c>
      <c r="G509" s="108"/>
      <c r="H509" s="109">
        <v>1460.2037372931211</v>
      </c>
      <c r="I509" s="114">
        <v>0</v>
      </c>
      <c r="J509" s="110">
        <v>3</v>
      </c>
    </row>
    <row r="510" spans="1:10" ht="23.1" customHeight="1" x14ac:dyDescent="0.25">
      <c r="A510" s="105" t="s">
        <v>951</v>
      </c>
      <c r="B510" s="105" t="s">
        <v>298</v>
      </c>
      <c r="C510" s="106" t="s">
        <v>312</v>
      </c>
      <c r="D510" s="107" t="s">
        <v>313</v>
      </c>
      <c r="E510" s="108" t="s">
        <v>437</v>
      </c>
      <c r="F510" s="108">
        <v>0</v>
      </c>
      <c r="G510" s="108"/>
      <c r="H510" s="109">
        <v>766.92923878197337</v>
      </c>
      <c r="I510" s="114">
        <v>0</v>
      </c>
      <c r="J510" s="110">
        <v>0</v>
      </c>
    </row>
    <row r="511" spans="1:10" ht="23.1" customHeight="1" x14ac:dyDescent="0.25">
      <c r="A511" s="105" t="s">
        <v>952</v>
      </c>
      <c r="B511" s="105" t="s">
        <v>298</v>
      </c>
      <c r="C511" s="106" t="s">
        <v>314</v>
      </c>
      <c r="D511" s="107" t="s">
        <v>315</v>
      </c>
      <c r="E511" s="108" t="s">
        <v>437</v>
      </c>
      <c r="F511" s="108">
        <v>3967</v>
      </c>
      <c r="G511" s="108"/>
      <c r="H511" s="109">
        <v>1642.1821527763148</v>
      </c>
      <c r="I511" s="114">
        <v>0</v>
      </c>
      <c r="J511" s="110">
        <v>3</v>
      </c>
    </row>
    <row r="512" spans="1:10" ht="23.1" customHeight="1" x14ac:dyDescent="0.25">
      <c r="A512" s="105" t="s">
        <v>953</v>
      </c>
      <c r="B512" s="105" t="s">
        <v>298</v>
      </c>
      <c r="C512" s="106" t="s">
        <v>316</v>
      </c>
      <c r="D512" s="107" t="s">
        <v>317</v>
      </c>
      <c r="E512" s="108" t="s">
        <v>437</v>
      </c>
      <c r="F512" s="108">
        <v>0</v>
      </c>
      <c r="G512" s="108"/>
      <c r="H512" s="109">
        <v>1765.6744173856052</v>
      </c>
      <c r="I512" s="114">
        <v>0</v>
      </c>
      <c r="J512" s="110">
        <v>1</v>
      </c>
    </row>
    <row r="513" spans="1:10" ht="23.1" customHeight="1" x14ac:dyDescent="0.25">
      <c r="A513" s="105" t="s">
        <v>954</v>
      </c>
      <c r="B513" s="105" t="s">
        <v>298</v>
      </c>
      <c r="C513" s="106" t="s">
        <v>318</v>
      </c>
      <c r="D513" s="107" t="s">
        <v>319</v>
      </c>
      <c r="E513" s="108" t="s">
        <v>437</v>
      </c>
      <c r="F513" s="108">
        <v>0</v>
      </c>
      <c r="G513" s="108"/>
      <c r="H513" s="109">
        <v>244.90052282449923</v>
      </c>
      <c r="I513" s="114">
        <v>0</v>
      </c>
      <c r="J513" s="110">
        <v>4</v>
      </c>
    </row>
    <row r="514" spans="1:10" ht="23.1" customHeight="1" x14ac:dyDescent="0.25">
      <c r="A514" s="105" t="s">
        <v>955</v>
      </c>
      <c r="B514" s="105" t="s">
        <v>298</v>
      </c>
      <c r="C514" s="106" t="s">
        <v>320</v>
      </c>
      <c r="D514" s="107" t="s">
        <v>321</v>
      </c>
      <c r="E514" s="108" t="s">
        <v>437</v>
      </c>
      <c r="F514" s="108">
        <v>2158</v>
      </c>
      <c r="G514" s="108"/>
      <c r="H514" s="109">
        <v>1276.8558318938167</v>
      </c>
      <c r="I514" s="114">
        <v>0</v>
      </c>
      <c r="J514" s="110">
        <v>4</v>
      </c>
    </row>
    <row r="515" spans="1:10" ht="23.1" customHeight="1" x14ac:dyDescent="0.25">
      <c r="A515" s="105" t="s">
        <v>956</v>
      </c>
      <c r="B515" s="105" t="s">
        <v>298</v>
      </c>
      <c r="C515" s="106" t="s">
        <v>322</v>
      </c>
      <c r="D515" s="107" t="s">
        <v>323</v>
      </c>
      <c r="E515" s="108" t="s">
        <v>437</v>
      </c>
      <c r="F515" s="108">
        <v>1029.5</v>
      </c>
      <c r="G515" s="108"/>
      <c r="H515" s="109">
        <v>417.09899401546733</v>
      </c>
      <c r="I515" s="114">
        <v>0</v>
      </c>
      <c r="J515" s="110">
        <v>1</v>
      </c>
    </row>
    <row r="516" spans="1:10" ht="23.1" customHeight="1" x14ac:dyDescent="0.25">
      <c r="A516" s="105" t="s">
        <v>957</v>
      </c>
      <c r="B516" s="105" t="s">
        <v>324</v>
      </c>
      <c r="C516" s="106" t="s">
        <v>326</v>
      </c>
      <c r="D516" s="107" t="s">
        <v>327</v>
      </c>
      <c r="E516" s="108" t="s">
        <v>437</v>
      </c>
      <c r="F516" s="108">
        <v>1670</v>
      </c>
      <c r="G516" s="108"/>
      <c r="H516" s="109">
        <v>16.761365712398867</v>
      </c>
      <c r="I516" s="114">
        <v>0</v>
      </c>
      <c r="J516" s="110">
        <v>1</v>
      </c>
    </row>
    <row r="517" spans="1:10" ht="23.1" customHeight="1" x14ac:dyDescent="0.25">
      <c r="A517" s="105" t="s">
        <v>958</v>
      </c>
      <c r="B517" s="105" t="s">
        <v>324</v>
      </c>
      <c r="C517" s="106" t="s">
        <v>328</v>
      </c>
      <c r="D517" s="107" t="s">
        <v>329</v>
      </c>
      <c r="E517" s="108" t="s">
        <v>437</v>
      </c>
      <c r="F517" s="108">
        <v>19022</v>
      </c>
      <c r="G517" s="108"/>
      <c r="H517" s="109">
        <v>673.78903872648516</v>
      </c>
      <c r="I517" s="114">
        <v>0</v>
      </c>
      <c r="J517" s="110">
        <v>1</v>
      </c>
    </row>
    <row r="518" spans="1:10" ht="23.1" customHeight="1" x14ac:dyDescent="0.25">
      <c r="A518" s="105" t="s">
        <v>959</v>
      </c>
      <c r="B518" s="105" t="s">
        <v>324</v>
      </c>
      <c r="C518" s="106" t="s">
        <v>330</v>
      </c>
      <c r="D518" s="107" t="s">
        <v>331</v>
      </c>
      <c r="E518" s="108" t="s">
        <v>437</v>
      </c>
      <c r="F518" s="108">
        <v>0</v>
      </c>
      <c r="G518" s="108"/>
      <c r="H518" s="109">
        <v>20.467919941872506</v>
      </c>
      <c r="I518" s="114">
        <v>0</v>
      </c>
      <c r="J518" s="110">
        <v>0</v>
      </c>
    </row>
    <row r="519" spans="1:10" ht="23.1" customHeight="1" x14ac:dyDescent="0.25">
      <c r="A519" s="105" t="s">
        <v>960</v>
      </c>
      <c r="B519" s="105" t="s">
        <v>324</v>
      </c>
      <c r="C519" s="106" t="s">
        <v>332</v>
      </c>
      <c r="D519" s="107" t="s">
        <v>333</v>
      </c>
      <c r="E519" s="108" t="s">
        <v>437</v>
      </c>
      <c r="F519" s="108">
        <v>0</v>
      </c>
      <c r="G519" s="108"/>
      <c r="H519" s="109">
        <v>297.71519915450915</v>
      </c>
      <c r="I519" s="114">
        <v>0</v>
      </c>
      <c r="J519" s="110">
        <v>0</v>
      </c>
    </row>
    <row r="520" spans="1:10" ht="23.1" customHeight="1" x14ac:dyDescent="0.25">
      <c r="A520" s="105" t="s">
        <v>961</v>
      </c>
      <c r="B520" s="105" t="s">
        <v>324</v>
      </c>
      <c r="C520" s="106" t="s">
        <v>334</v>
      </c>
      <c r="D520" s="107" t="s">
        <v>335</v>
      </c>
      <c r="E520" s="108" t="s">
        <v>437</v>
      </c>
      <c r="F520" s="108">
        <v>0</v>
      </c>
      <c r="G520" s="108"/>
      <c r="H520" s="109">
        <v>0</v>
      </c>
      <c r="I520" s="114">
        <v>0</v>
      </c>
      <c r="J520" s="110">
        <v>0</v>
      </c>
    </row>
    <row r="521" spans="1:10" ht="23.1" customHeight="1" x14ac:dyDescent="0.25">
      <c r="A521" s="105" t="s">
        <v>962</v>
      </c>
      <c r="B521" s="105" t="s">
        <v>324</v>
      </c>
      <c r="C521" s="106" t="s">
        <v>336</v>
      </c>
      <c r="D521" s="107" t="s">
        <v>337</v>
      </c>
      <c r="E521" s="108" t="s">
        <v>437</v>
      </c>
      <c r="F521" s="108">
        <v>0</v>
      </c>
      <c r="G521" s="108"/>
      <c r="H521" s="109">
        <v>347.28477981373493</v>
      </c>
      <c r="I521" s="114">
        <v>0</v>
      </c>
      <c r="J521" s="110">
        <v>0</v>
      </c>
    </row>
    <row r="522" spans="1:10" ht="23.1" customHeight="1" x14ac:dyDescent="0.25">
      <c r="A522" s="105" t="s">
        <v>963</v>
      </c>
      <c r="B522" s="105" t="s">
        <v>324</v>
      </c>
      <c r="C522" s="106" t="s">
        <v>338</v>
      </c>
      <c r="D522" s="107" t="s">
        <v>339</v>
      </c>
      <c r="E522" s="108" t="s">
        <v>437</v>
      </c>
      <c r="F522" s="108">
        <v>1800</v>
      </c>
      <c r="G522" s="108"/>
      <c r="H522" s="109">
        <v>18.309484748002312</v>
      </c>
      <c r="I522" s="114">
        <v>0</v>
      </c>
      <c r="J522" s="110">
        <v>0</v>
      </c>
    </row>
    <row r="523" spans="1:10" ht="23.1" customHeight="1" x14ac:dyDescent="0.25">
      <c r="A523" s="105" t="s">
        <v>964</v>
      </c>
      <c r="B523" s="105" t="s">
        <v>324</v>
      </c>
      <c r="C523" s="106" t="s">
        <v>322</v>
      </c>
      <c r="D523" s="107" t="s">
        <v>340</v>
      </c>
      <c r="E523" s="108" t="s">
        <v>437</v>
      </c>
      <c r="F523" s="108">
        <v>413.5</v>
      </c>
      <c r="G523" s="108"/>
      <c r="H523" s="109">
        <v>549.28454244006946</v>
      </c>
      <c r="I523" s="114">
        <v>0</v>
      </c>
      <c r="J523" s="110">
        <v>0</v>
      </c>
    </row>
    <row r="524" spans="1:10" ht="23.1" customHeight="1" x14ac:dyDescent="0.25">
      <c r="A524" s="105" t="s">
        <v>965</v>
      </c>
      <c r="B524" s="105" t="s">
        <v>341</v>
      </c>
      <c r="C524" s="106" t="s">
        <v>343</v>
      </c>
      <c r="D524" s="107" t="s">
        <v>344</v>
      </c>
      <c r="E524" s="108" t="s">
        <v>437</v>
      </c>
      <c r="F524" s="108">
        <v>1291</v>
      </c>
      <c r="G524" s="108"/>
      <c r="H524" s="109">
        <v>1473.6902358148204</v>
      </c>
      <c r="I524" s="114">
        <v>0</v>
      </c>
      <c r="J524" s="110">
        <v>1</v>
      </c>
    </row>
    <row r="525" spans="1:10" ht="23.1" customHeight="1" x14ac:dyDescent="0.25">
      <c r="A525" s="105" t="s">
        <v>966</v>
      </c>
      <c r="B525" s="105" t="s">
        <v>341</v>
      </c>
      <c r="C525" s="106" t="s">
        <v>341</v>
      </c>
      <c r="D525" s="107" t="s">
        <v>345</v>
      </c>
      <c r="E525" s="108" t="s">
        <v>437</v>
      </c>
      <c r="F525" s="108">
        <v>4575</v>
      </c>
      <c r="G525" s="108"/>
      <c r="H525" s="109">
        <v>2885.0091374067711</v>
      </c>
      <c r="I525" s="114">
        <v>0</v>
      </c>
      <c r="J525" s="110">
        <v>2</v>
      </c>
    </row>
    <row r="526" spans="1:10" ht="23.1" customHeight="1" x14ac:dyDescent="0.25">
      <c r="A526" s="105" t="s">
        <v>967</v>
      </c>
      <c r="B526" s="105" t="s">
        <v>341</v>
      </c>
      <c r="C526" s="106" t="s">
        <v>346</v>
      </c>
      <c r="D526" s="107" t="s">
        <v>347</v>
      </c>
      <c r="E526" s="108" t="s">
        <v>437</v>
      </c>
      <c r="F526" s="108">
        <v>436</v>
      </c>
      <c r="G526" s="108"/>
      <c r="H526" s="109">
        <v>1116.4319968294094</v>
      </c>
      <c r="I526" s="114">
        <v>0</v>
      </c>
      <c r="J526" s="110">
        <v>0</v>
      </c>
    </row>
    <row r="527" spans="1:10" ht="23.1" customHeight="1" x14ac:dyDescent="0.25">
      <c r="A527" s="105" t="s">
        <v>968</v>
      </c>
      <c r="B527" s="105" t="s">
        <v>341</v>
      </c>
      <c r="C527" s="106" t="s">
        <v>348</v>
      </c>
      <c r="D527" s="107" t="s">
        <v>349</v>
      </c>
      <c r="E527" s="108" t="s">
        <v>437</v>
      </c>
      <c r="F527" s="108">
        <v>1510</v>
      </c>
      <c r="G527" s="108"/>
      <c r="H527" s="109">
        <v>1116.4319968294094</v>
      </c>
      <c r="I527" s="114">
        <v>0</v>
      </c>
      <c r="J527" s="110">
        <v>1</v>
      </c>
    </row>
    <row r="528" spans="1:10" ht="23.1" customHeight="1" x14ac:dyDescent="0.25">
      <c r="A528" s="105" t="s">
        <v>969</v>
      </c>
      <c r="B528" s="105" t="s">
        <v>341</v>
      </c>
      <c r="C528" s="106" t="s">
        <v>350</v>
      </c>
      <c r="D528" s="107" t="s">
        <v>351</v>
      </c>
      <c r="E528" s="108" t="s">
        <v>437</v>
      </c>
      <c r="F528" s="108">
        <v>690.5</v>
      </c>
      <c r="G528" s="108"/>
      <c r="H528" s="109">
        <v>481.34593399301042</v>
      </c>
      <c r="I528" s="114">
        <v>0</v>
      </c>
      <c r="J528" s="110">
        <v>1</v>
      </c>
    </row>
    <row r="529" spans="1:10" ht="23.1" customHeight="1" x14ac:dyDescent="0.25">
      <c r="A529" s="105" t="s">
        <v>970</v>
      </c>
      <c r="B529" s="105" t="s">
        <v>341</v>
      </c>
      <c r="C529" s="106" t="s">
        <v>352</v>
      </c>
      <c r="D529" s="107" t="s">
        <v>353</v>
      </c>
      <c r="E529" s="108" t="s">
        <v>437</v>
      </c>
      <c r="F529" s="108">
        <v>5188.5</v>
      </c>
      <c r="G529" s="108"/>
      <c r="H529" s="109">
        <v>2979.7867710576088</v>
      </c>
      <c r="I529" s="114">
        <v>0</v>
      </c>
      <c r="J529" s="110">
        <v>0</v>
      </c>
    </row>
    <row r="530" spans="1:10" ht="23.1" customHeight="1" x14ac:dyDescent="0.25">
      <c r="A530" s="105" t="s">
        <v>971</v>
      </c>
      <c r="B530" s="105" t="s">
        <v>341</v>
      </c>
      <c r="C530" s="106" t="s">
        <v>354</v>
      </c>
      <c r="D530" s="107" t="s">
        <v>355</v>
      </c>
      <c r="E530" s="108" t="s">
        <v>437</v>
      </c>
      <c r="F530" s="108">
        <v>0</v>
      </c>
      <c r="G530" s="108"/>
      <c r="H530" s="109">
        <v>501.65011057534792</v>
      </c>
      <c r="I530" s="114">
        <v>0</v>
      </c>
      <c r="J530" s="110">
        <v>2</v>
      </c>
    </row>
    <row r="531" spans="1:10" ht="23.1" customHeight="1" x14ac:dyDescent="0.25">
      <c r="A531" s="105" t="s">
        <v>972</v>
      </c>
      <c r="B531" s="105" t="s">
        <v>356</v>
      </c>
      <c r="C531" s="106" t="s">
        <v>358</v>
      </c>
      <c r="D531" s="107" t="s">
        <v>359</v>
      </c>
      <c r="E531" s="108" t="s">
        <v>437</v>
      </c>
      <c r="F531" s="108">
        <v>0</v>
      </c>
      <c r="G531" s="108"/>
      <c r="H531" s="109">
        <v>36.127739417399688</v>
      </c>
      <c r="I531" s="114">
        <v>0</v>
      </c>
      <c r="J531" s="110">
        <v>0</v>
      </c>
    </row>
    <row r="532" spans="1:10" ht="23.1" customHeight="1" x14ac:dyDescent="0.25">
      <c r="A532" s="105" t="s">
        <v>973</v>
      </c>
      <c r="B532" s="105" t="s">
        <v>356</v>
      </c>
      <c r="C532" s="106" t="s">
        <v>360</v>
      </c>
      <c r="D532" s="107" t="s">
        <v>361</v>
      </c>
      <c r="E532" s="108" t="s">
        <v>437</v>
      </c>
      <c r="F532" s="108">
        <v>4123.5</v>
      </c>
      <c r="G532" s="108"/>
      <c r="H532" s="109">
        <v>164.56207633265495</v>
      </c>
      <c r="I532" s="114">
        <v>0</v>
      </c>
      <c r="J532" s="110">
        <v>0</v>
      </c>
    </row>
    <row r="533" spans="1:10" ht="23.1" customHeight="1" x14ac:dyDescent="0.25">
      <c r="A533" s="105" t="s">
        <v>974</v>
      </c>
      <c r="B533" s="105" t="s">
        <v>356</v>
      </c>
      <c r="C533" s="106" t="s">
        <v>362</v>
      </c>
      <c r="D533" s="107" t="s">
        <v>363</v>
      </c>
      <c r="E533" s="108" t="s">
        <v>437</v>
      </c>
      <c r="F533" s="108">
        <v>0</v>
      </c>
      <c r="G533" s="108"/>
      <c r="H533" s="109">
        <v>57.548347996566619</v>
      </c>
      <c r="I533" s="114">
        <v>0</v>
      </c>
      <c r="J533" s="110">
        <v>0</v>
      </c>
    </row>
    <row r="534" spans="1:10" ht="23.1" customHeight="1" x14ac:dyDescent="0.25">
      <c r="A534" s="105" t="s">
        <v>975</v>
      </c>
      <c r="B534" s="105" t="s">
        <v>356</v>
      </c>
      <c r="C534" s="106" t="s">
        <v>364</v>
      </c>
      <c r="D534" s="107" t="s">
        <v>365</v>
      </c>
      <c r="E534" s="108" t="s">
        <v>437</v>
      </c>
      <c r="F534" s="108">
        <v>15123</v>
      </c>
      <c r="G534" s="108"/>
      <c r="H534" s="109">
        <v>242.78674491050222</v>
      </c>
      <c r="I534" s="114">
        <v>0</v>
      </c>
      <c r="J534" s="110">
        <v>0</v>
      </c>
    </row>
    <row r="535" spans="1:10" ht="23.1" customHeight="1" x14ac:dyDescent="0.25">
      <c r="A535" s="105" t="s">
        <v>976</v>
      </c>
      <c r="B535" s="105" t="s">
        <v>356</v>
      </c>
      <c r="C535" s="106" t="s">
        <v>366</v>
      </c>
      <c r="D535" s="107" t="s">
        <v>367</v>
      </c>
      <c r="E535" s="108" t="s">
        <v>437</v>
      </c>
      <c r="F535" s="108">
        <v>23061.5</v>
      </c>
      <c r="G535" s="108"/>
      <c r="H535" s="109">
        <v>2.8134086320101117</v>
      </c>
      <c r="I535" s="114">
        <v>0</v>
      </c>
      <c r="J535" s="110">
        <v>0</v>
      </c>
    </row>
    <row r="536" spans="1:10" ht="23.1" customHeight="1" x14ac:dyDescent="0.25">
      <c r="A536" s="105" t="s">
        <v>977</v>
      </c>
      <c r="B536" s="105" t="s">
        <v>356</v>
      </c>
      <c r="C536" s="106" t="s">
        <v>368</v>
      </c>
      <c r="D536" s="107" t="s">
        <v>369</v>
      </c>
      <c r="E536" s="108" t="s">
        <v>437</v>
      </c>
      <c r="F536" s="108">
        <v>1774.5</v>
      </c>
      <c r="G536" s="108"/>
      <c r="H536" s="109">
        <v>43.391990276769711</v>
      </c>
      <c r="I536" s="114">
        <v>0</v>
      </c>
      <c r="J536" s="110">
        <v>0</v>
      </c>
    </row>
    <row r="537" spans="1:10" ht="23.1" customHeight="1" x14ac:dyDescent="0.25">
      <c r="A537" s="105" t="s">
        <v>978</v>
      </c>
      <c r="B537" s="105" t="s">
        <v>356</v>
      </c>
      <c r="C537" s="106" t="s">
        <v>370</v>
      </c>
      <c r="D537" s="107" t="s">
        <v>371</v>
      </c>
      <c r="E537" s="108" t="s">
        <v>437</v>
      </c>
      <c r="F537" s="108">
        <v>4878</v>
      </c>
      <c r="G537" s="108"/>
      <c r="H537" s="109">
        <v>2475.3530233701663</v>
      </c>
      <c r="I537" s="114">
        <v>0</v>
      </c>
      <c r="J537" s="110">
        <v>2</v>
      </c>
    </row>
    <row r="538" spans="1:10" ht="23.1" customHeight="1" x14ac:dyDescent="0.25">
      <c r="A538" s="105" t="s">
        <v>979</v>
      </c>
      <c r="B538" s="105" t="s">
        <v>356</v>
      </c>
      <c r="C538" s="106" t="s">
        <v>372</v>
      </c>
      <c r="D538" s="107" t="s">
        <v>373</v>
      </c>
      <c r="E538" s="108" t="s">
        <v>437</v>
      </c>
      <c r="F538" s="108">
        <v>0</v>
      </c>
      <c r="G538" s="108"/>
      <c r="H538" s="109">
        <v>2255.2670623951954</v>
      </c>
      <c r="I538" s="114">
        <v>0</v>
      </c>
      <c r="J538" s="110">
        <v>1</v>
      </c>
    </row>
    <row r="539" spans="1:10" ht="23.1" customHeight="1" x14ac:dyDescent="0.25">
      <c r="A539" s="105" t="s">
        <v>980</v>
      </c>
      <c r="B539" s="105" t="s">
        <v>374</v>
      </c>
      <c r="C539" s="106" t="s">
        <v>376</v>
      </c>
      <c r="D539" s="107" t="s">
        <v>377</v>
      </c>
      <c r="E539" s="108" t="s">
        <v>437</v>
      </c>
      <c r="F539" s="108">
        <v>0</v>
      </c>
      <c r="G539" s="108"/>
      <c r="H539" s="109">
        <v>928.73744952244908</v>
      </c>
      <c r="I539" s="114">
        <v>0</v>
      </c>
      <c r="J539" s="110">
        <v>1</v>
      </c>
    </row>
    <row r="540" spans="1:10" ht="23.1" customHeight="1" x14ac:dyDescent="0.25">
      <c r="A540" s="105" t="s">
        <v>981</v>
      </c>
      <c r="B540" s="105" t="s">
        <v>374</v>
      </c>
      <c r="C540" s="106" t="s">
        <v>378</v>
      </c>
      <c r="D540" s="107" t="s">
        <v>379</v>
      </c>
      <c r="E540" s="108" t="s">
        <v>437</v>
      </c>
      <c r="F540" s="108">
        <v>0</v>
      </c>
      <c r="G540" s="108"/>
      <c r="H540" s="109">
        <v>1400.0652670639101</v>
      </c>
      <c r="I540" s="114">
        <v>0</v>
      </c>
      <c r="J540" s="110">
        <v>0</v>
      </c>
    </row>
    <row r="541" spans="1:10" ht="23.1" customHeight="1" x14ac:dyDescent="0.25">
      <c r="A541" s="105" t="s">
        <v>982</v>
      </c>
      <c r="B541" s="105" t="s">
        <v>374</v>
      </c>
      <c r="C541" s="106" t="s">
        <v>380</v>
      </c>
      <c r="D541" s="107" t="s">
        <v>381</v>
      </c>
      <c r="E541" s="108" t="s">
        <v>437</v>
      </c>
      <c r="F541" s="108">
        <v>0</v>
      </c>
      <c r="G541" s="108"/>
      <c r="H541" s="109">
        <v>1625.9269029024786</v>
      </c>
      <c r="I541" s="114">
        <v>0</v>
      </c>
      <c r="J541" s="110">
        <v>2</v>
      </c>
    </row>
    <row r="542" spans="1:10" ht="23.1" customHeight="1" x14ac:dyDescent="0.25">
      <c r="A542" s="105" t="s">
        <v>983</v>
      </c>
      <c r="B542" s="105" t="s">
        <v>374</v>
      </c>
      <c r="C542" s="106" t="s">
        <v>382</v>
      </c>
      <c r="D542" s="107" t="s">
        <v>383</v>
      </c>
      <c r="E542" s="108" t="s">
        <v>437</v>
      </c>
      <c r="F542" s="108">
        <v>0</v>
      </c>
      <c r="G542" s="108"/>
      <c r="H542" s="109">
        <v>1947.6826043887145</v>
      </c>
      <c r="I542" s="114">
        <v>0</v>
      </c>
      <c r="J542" s="110">
        <v>3</v>
      </c>
    </row>
    <row r="543" spans="1:10" ht="23.1" customHeight="1" x14ac:dyDescent="0.25">
      <c r="A543" s="105" t="s">
        <v>984</v>
      </c>
      <c r="B543" s="105" t="s">
        <v>374</v>
      </c>
      <c r="C543" s="106" t="s">
        <v>384</v>
      </c>
      <c r="D543" s="107" t="s">
        <v>385</v>
      </c>
      <c r="E543" s="108" t="s">
        <v>437</v>
      </c>
      <c r="F543" s="108">
        <v>0</v>
      </c>
      <c r="G543" s="108"/>
      <c r="H543" s="109">
        <v>1452.5226851549348</v>
      </c>
      <c r="I543" s="114">
        <v>0</v>
      </c>
      <c r="J543" s="110">
        <v>1</v>
      </c>
    </row>
    <row r="544" spans="1:10" ht="23.1" customHeight="1" x14ac:dyDescent="0.25">
      <c r="A544" s="105" t="s">
        <v>985</v>
      </c>
      <c r="B544" s="105" t="s">
        <v>374</v>
      </c>
      <c r="C544" s="106" t="s">
        <v>386</v>
      </c>
      <c r="D544" s="107" t="s">
        <v>387</v>
      </c>
      <c r="E544" s="108" t="s">
        <v>437</v>
      </c>
      <c r="F544" s="108">
        <v>0</v>
      </c>
      <c r="G544" s="108"/>
      <c r="H544" s="109">
        <v>1651.5304100297665</v>
      </c>
      <c r="I544" s="114">
        <v>0</v>
      </c>
      <c r="J544" s="110">
        <v>1</v>
      </c>
    </row>
    <row r="545" spans="1:10" ht="23.1" customHeight="1" x14ac:dyDescent="0.25">
      <c r="A545" s="105" t="s">
        <v>986</v>
      </c>
      <c r="B545" s="105" t="s">
        <v>374</v>
      </c>
      <c r="C545" s="106" t="s">
        <v>388</v>
      </c>
      <c r="D545" s="107" t="s">
        <v>389</v>
      </c>
      <c r="E545" s="108" t="s">
        <v>437</v>
      </c>
      <c r="F545" s="108">
        <v>0</v>
      </c>
      <c r="G545" s="108"/>
      <c r="H545" s="109">
        <v>789.36207903826562</v>
      </c>
      <c r="I545" s="114">
        <v>0</v>
      </c>
      <c r="J545" s="110">
        <v>0</v>
      </c>
    </row>
    <row r="546" spans="1:10" ht="23.1" customHeight="1" x14ac:dyDescent="0.25">
      <c r="A546" s="105" t="s">
        <v>987</v>
      </c>
      <c r="B546" s="105" t="s">
        <v>390</v>
      </c>
      <c r="C546" s="106" t="s">
        <v>392</v>
      </c>
      <c r="D546" s="107" t="s">
        <v>393</v>
      </c>
      <c r="E546" s="108" t="s">
        <v>437</v>
      </c>
      <c r="F546" s="108">
        <v>185</v>
      </c>
      <c r="G546" s="108"/>
      <c r="H546" s="109">
        <v>1438.2025840756028</v>
      </c>
      <c r="I546" s="114">
        <v>0</v>
      </c>
      <c r="J546" s="110">
        <v>2</v>
      </c>
    </row>
    <row r="547" spans="1:10" ht="23.1" customHeight="1" x14ac:dyDescent="0.25">
      <c r="A547" s="105" t="s">
        <v>988</v>
      </c>
      <c r="B547" s="105" t="s">
        <v>390</v>
      </c>
      <c r="C547" s="106" t="s">
        <v>394</v>
      </c>
      <c r="D547" s="107" t="s">
        <v>395</v>
      </c>
      <c r="E547" s="108" t="s">
        <v>437</v>
      </c>
      <c r="F547" s="108">
        <v>0</v>
      </c>
      <c r="G547" s="108"/>
      <c r="H547" s="109">
        <v>345.30497373935748</v>
      </c>
      <c r="I547" s="114">
        <v>0</v>
      </c>
      <c r="J547" s="110">
        <v>1</v>
      </c>
    </row>
    <row r="548" spans="1:10" ht="23.1" customHeight="1" x14ac:dyDescent="0.25">
      <c r="A548" s="105" t="s">
        <v>989</v>
      </c>
      <c r="B548" s="105" t="s">
        <v>390</v>
      </c>
      <c r="C548" s="106" t="s">
        <v>396</v>
      </c>
      <c r="D548" s="107" t="s">
        <v>397</v>
      </c>
      <c r="E548" s="108" t="s">
        <v>437</v>
      </c>
      <c r="F548" s="108">
        <v>0</v>
      </c>
      <c r="G548" s="108"/>
      <c r="H548" s="109">
        <v>639.78996298304014</v>
      </c>
      <c r="I548" s="114">
        <v>0</v>
      </c>
      <c r="J548" s="110">
        <v>0</v>
      </c>
    </row>
    <row r="549" spans="1:10" ht="23.1" customHeight="1" x14ac:dyDescent="0.25">
      <c r="A549" s="105" t="s">
        <v>990</v>
      </c>
      <c r="B549" s="105" t="s">
        <v>390</v>
      </c>
      <c r="C549" s="106" t="s">
        <v>398</v>
      </c>
      <c r="D549" s="107" t="s">
        <v>399</v>
      </c>
      <c r="E549" s="108" t="s">
        <v>437</v>
      </c>
      <c r="F549" s="108">
        <v>299</v>
      </c>
      <c r="G549" s="108"/>
      <c r="H549" s="109">
        <v>1800.5368672065983</v>
      </c>
      <c r="I549" s="114">
        <v>0</v>
      </c>
      <c r="J549" s="110">
        <v>1</v>
      </c>
    </row>
    <row r="550" spans="1:10" ht="23.1" customHeight="1" x14ac:dyDescent="0.25">
      <c r="A550" s="105" t="s">
        <v>991</v>
      </c>
      <c r="B550" s="105" t="s">
        <v>390</v>
      </c>
      <c r="C550" s="106" t="s">
        <v>400</v>
      </c>
      <c r="D550" s="107" t="s">
        <v>401</v>
      </c>
      <c r="E550" s="108" t="s">
        <v>437</v>
      </c>
      <c r="F550" s="108">
        <v>0</v>
      </c>
      <c r="G550" s="108"/>
      <c r="H550" s="109">
        <v>639.03078922519614</v>
      </c>
      <c r="I550" s="114">
        <v>0</v>
      </c>
      <c r="J550" s="110">
        <v>1</v>
      </c>
    </row>
    <row r="551" spans="1:10" ht="23.1" customHeight="1" x14ac:dyDescent="0.25">
      <c r="A551" s="105" t="s">
        <v>992</v>
      </c>
      <c r="B551" s="105" t="s">
        <v>390</v>
      </c>
      <c r="C551" s="106" t="s">
        <v>402</v>
      </c>
      <c r="D551" s="107" t="s">
        <v>403</v>
      </c>
      <c r="E551" s="108" t="s">
        <v>437</v>
      </c>
      <c r="F551" s="108">
        <v>1784.5</v>
      </c>
      <c r="G551" s="108"/>
      <c r="H551" s="109">
        <v>1211.284059280036</v>
      </c>
      <c r="I551" s="114">
        <v>0</v>
      </c>
      <c r="J551" s="110">
        <v>1</v>
      </c>
    </row>
    <row r="552" spans="1:10" ht="23.1" customHeight="1" x14ac:dyDescent="0.25">
      <c r="A552" s="105" t="s">
        <v>993</v>
      </c>
      <c r="B552" s="105" t="s">
        <v>390</v>
      </c>
      <c r="C552" s="106" t="s">
        <v>404</v>
      </c>
      <c r="D552" s="107" t="s">
        <v>405</v>
      </c>
      <c r="E552" s="108" t="s">
        <v>437</v>
      </c>
      <c r="F552" s="108">
        <v>803</v>
      </c>
      <c r="G552" s="108"/>
      <c r="H552" s="109">
        <v>1199.7029380329257</v>
      </c>
      <c r="I552" s="114">
        <v>0</v>
      </c>
      <c r="J552" s="110">
        <v>2</v>
      </c>
    </row>
    <row r="553" spans="1:10" ht="23.1" customHeight="1" x14ac:dyDescent="0.25">
      <c r="A553" s="105" t="s">
        <v>994</v>
      </c>
      <c r="B553" s="105" t="s">
        <v>406</v>
      </c>
      <c r="C553" s="106" t="s">
        <v>408</v>
      </c>
      <c r="D553" s="107" t="s">
        <v>409</v>
      </c>
      <c r="E553" s="108" t="s">
        <v>437</v>
      </c>
      <c r="F553" s="108">
        <v>0</v>
      </c>
      <c r="G553" s="108"/>
      <c r="H553" s="109">
        <v>29.771519915450916</v>
      </c>
      <c r="I553" s="114">
        <v>0</v>
      </c>
      <c r="J553" s="110">
        <v>0</v>
      </c>
    </row>
    <row r="554" spans="1:10" ht="23.1" customHeight="1" x14ac:dyDescent="0.25">
      <c r="A554" s="105" t="s">
        <v>995</v>
      </c>
      <c r="B554" s="105" t="s">
        <v>406</v>
      </c>
      <c r="C554" s="106" t="s">
        <v>410</v>
      </c>
      <c r="D554" s="107" t="s">
        <v>411</v>
      </c>
      <c r="E554" s="108" t="s">
        <v>437</v>
      </c>
      <c r="F554" s="108">
        <v>5366.5</v>
      </c>
      <c r="G554" s="108"/>
      <c r="H554" s="109">
        <v>3.0366950313759933</v>
      </c>
      <c r="I554" s="114">
        <v>0</v>
      </c>
      <c r="J554" s="110">
        <v>0</v>
      </c>
    </row>
    <row r="555" spans="1:10" ht="23.1" customHeight="1" x14ac:dyDescent="0.25">
      <c r="A555" s="105" t="s">
        <v>996</v>
      </c>
      <c r="B555" s="105" t="s">
        <v>406</v>
      </c>
      <c r="C555" s="106" t="s">
        <v>412</v>
      </c>
      <c r="D555" s="107" t="s">
        <v>413</v>
      </c>
      <c r="E555" s="108" t="s">
        <v>437</v>
      </c>
      <c r="F555" s="108">
        <v>0</v>
      </c>
      <c r="G555" s="108"/>
      <c r="H555" s="109">
        <v>528.44447849925382</v>
      </c>
      <c r="I555" s="114">
        <v>0</v>
      </c>
      <c r="J555" s="110">
        <v>0</v>
      </c>
    </row>
    <row r="556" spans="1:10" ht="23.1" customHeight="1" x14ac:dyDescent="0.25">
      <c r="A556" s="105" t="s">
        <v>997</v>
      </c>
      <c r="B556" s="105" t="s">
        <v>406</v>
      </c>
      <c r="C556" s="106" t="s">
        <v>414</v>
      </c>
      <c r="D556" s="107" t="s">
        <v>415</v>
      </c>
      <c r="E556" s="108" t="s">
        <v>437</v>
      </c>
      <c r="F556" s="108">
        <v>0</v>
      </c>
      <c r="G556" s="108"/>
      <c r="H556" s="109">
        <v>0</v>
      </c>
      <c r="I556" s="114">
        <v>0</v>
      </c>
      <c r="J556" s="110">
        <v>0</v>
      </c>
    </row>
    <row r="557" spans="1:10" ht="23.1" customHeight="1" x14ac:dyDescent="0.25">
      <c r="A557" s="105" t="s">
        <v>998</v>
      </c>
      <c r="B557" s="105" t="s">
        <v>406</v>
      </c>
      <c r="C557" s="106" t="s">
        <v>416</v>
      </c>
      <c r="D557" s="107" t="s">
        <v>417</v>
      </c>
      <c r="E557" s="108" t="s">
        <v>437</v>
      </c>
      <c r="F557" s="108">
        <v>0</v>
      </c>
      <c r="G557" s="108"/>
      <c r="H557" s="109">
        <v>0</v>
      </c>
      <c r="I557" s="114">
        <v>0</v>
      </c>
      <c r="J557" s="110">
        <v>0</v>
      </c>
    </row>
    <row r="558" spans="1:10" ht="23.1" customHeight="1" x14ac:dyDescent="0.25">
      <c r="A558" s="105" t="s">
        <v>999</v>
      </c>
      <c r="B558" s="105" t="s">
        <v>406</v>
      </c>
      <c r="C558" s="106" t="s">
        <v>418</v>
      </c>
      <c r="D558" s="107" t="s">
        <v>419</v>
      </c>
      <c r="E558" s="108" t="s">
        <v>437</v>
      </c>
      <c r="F558" s="108">
        <v>0</v>
      </c>
      <c r="G558" s="108"/>
      <c r="H558" s="109">
        <v>111.64319968294093</v>
      </c>
      <c r="I558" s="114">
        <v>0</v>
      </c>
      <c r="J558" s="110">
        <v>1</v>
      </c>
    </row>
    <row r="559" spans="1:10" ht="23.1" customHeight="1" x14ac:dyDescent="0.25">
      <c r="A559" s="105" t="s">
        <v>1000</v>
      </c>
      <c r="B559" s="105" t="s">
        <v>406</v>
      </c>
      <c r="C559" s="106" t="s">
        <v>420</v>
      </c>
      <c r="D559" s="107" t="s">
        <v>421</v>
      </c>
      <c r="E559" s="108" t="s">
        <v>437</v>
      </c>
      <c r="F559" s="108">
        <v>0</v>
      </c>
      <c r="G559" s="108"/>
      <c r="H559" s="109">
        <v>8587.5949196118163</v>
      </c>
      <c r="I559" s="114">
        <v>0</v>
      </c>
      <c r="J559" s="110">
        <v>0</v>
      </c>
    </row>
    <row r="560" spans="1:10" ht="23.1" customHeight="1" x14ac:dyDescent="0.25">
      <c r="A560" s="105" t="s">
        <v>1001</v>
      </c>
      <c r="B560" s="105" t="s">
        <v>406</v>
      </c>
      <c r="C560" s="106" t="s">
        <v>422</v>
      </c>
      <c r="D560" s="107" t="s">
        <v>423</v>
      </c>
      <c r="E560" s="108" t="s">
        <v>437</v>
      </c>
      <c r="F560" s="108">
        <v>0</v>
      </c>
      <c r="G560" s="108"/>
      <c r="H560" s="109">
        <v>0</v>
      </c>
      <c r="I560" s="114">
        <v>0</v>
      </c>
      <c r="J560" s="110">
        <v>0</v>
      </c>
    </row>
    <row r="561" spans="1:10" ht="23.1" customHeight="1" x14ac:dyDescent="0.25">
      <c r="A561" s="105" t="s">
        <v>1002</v>
      </c>
      <c r="B561" s="105" t="s">
        <v>406</v>
      </c>
      <c r="C561" s="106" t="s">
        <v>424</v>
      </c>
      <c r="D561" s="107" t="s">
        <v>425</v>
      </c>
      <c r="E561" s="108" t="s">
        <v>437</v>
      </c>
      <c r="F561" s="108">
        <v>0</v>
      </c>
      <c r="G561" s="108"/>
      <c r="H561" s="109">
        <v>10.71774716956233</v>
      </c>
      <c r="I561" s="114">
        <v>0</v>
      </c>
      <c r="J561" s="110">
        <v>0</v>
      </c>
    </row>
    <row r="562" spans="1:10" ht="23.1" customHeight="1" x14ac:dyDescent="0.25">
      <c r="A562" s="105" t="s">
        <v>1003</v>
      </c>
      <c r="B562" s="105" t="s">
        <v>406</v>
      </c>
      <c r="C562" s="106" t="s">
        <v>426</v>
      </c>
      <c r="D562" s="107" t="s">
        <v>427</v>
      </c>
      <c r="E562" s="108" t="s">
        <v>437</v>
      </c>
      <c r="F562" s="108">
        <v>775.5</v>
      </c>
      <c r="G562" s="108"/>
      <c r="H562" s="109">
        <v>140.62577432063242</v>
      </c>
      <c r="I562" s="114">
        <v>0</v>
      </c>
      <c r="J562" s="110">
        <v>0</v>
      </c>
    </row>
    <row r="563" spans="1:10" ht="23.1" customHeight="1" x14ac:dyDescent="0.25">
      <c r="A563" s="105" t="s">
        <v>1004</v>
      </c>
      <c r="B563" s="105" t="s">
        <v>406</v>
      </c>
      <c r="C563" s="106" t="s">
        <v>428</v>
      </c>
      <c r="D563" s="107" t="s">
        <v>429</v>
      </c>
      <c r="E563" s="108" t="s">
        <v>437</v>
      </c>
      <c r="F563" s="108">
        <v>0</v>
      </c>
      <c r="G563" s="108"/>
      <c r="H563" s="109">
        <v>980.67386601495321</v>
      </c>
      <c r="I563" s="114">
        <v>0</v>
      </c>
      <c r="J563" s="110">
        <v>1</v>
      </c>
    </row>
    <row r="564" spans="1:10" ht="23.1" customHeight="1" x14ac:dyDescent="0.25">
      <c r="A564" s="105" t="s">
        <v>1005</v>
      </c>
      <c r="B564" s="105" t="s">
        <v>406</v>
      </c>
      <c r="C564" s="106" t="s">
        <v>430</v>
      </c>
      <c r="D564" s="107" t="s">
        <v>431</v>
      </c>
      <c r="E564" s="108" t="s">
        <v>437</v>
      </c>
      <c r="F564" s="108">
        <v>0</v>
      </c>
      <c r="G564" s="108"/>
      <c r="H564" s="109">
        <v>3.274867190699601</v>
      </c>
      <c r="I564" s="114">
        <v>0</v>
      </c>
      <c r="J564" s="110">
        <v>0</v>
      </c>
    </row>
    <row r="565" spans="1:10" ht="23.1" customHeight="1" x14ac:dyDescent="0.25">
      <c r="A565" s="105" t="s">
        <v>1006</v>
      </c>
      <c r="B565" s="105" t="s">
        <v>406</v>
      </c>
      <c r="C565" s="106" t="s">
        <v>432</v>
      </c>
      <c r="D565" s="107" t="s">
        <v>433</v>
      </c>
      <c r="E565" s="108" t="s">
        <v>437</v>
      </c>
      <c r="F565" s="108">
        <v>0</v>
      </c>
      <c r="G565" s="108"/>
      <c r="H565" s="109">
        <v>0</v>
      </c>
      <c r="I565" s="114">
        <v>0</v>
      </c>
      <c r="J565" s="110">
        <v>0</v>
      </c>
    </row>
    <row r="566" spans="1:10" ht="23.1" customHeight="1" x14ac:dyDescent="0.25">
      <c r="A566" s="105" t="s">
        <v>1007</v>
      </c>
      <c r="B566" s="105" t="s">
        <v>406</v>
      </c>
      <c r="C566" s="106" t="s">
        <v>434</v>
      </c>
      <c r="D566" s="107" t="s">
        <v>435</v>
      </c>
      <c r="E566" s="108" t="s">
        <v>437</v>
      </c>
      <c r="F566" s="108">
        <v>0</v>
      </c>
      <c r="G566" s="108"/>
      <c r="H566" s="109">
        <v>0.22328639936588188</v>
      </c>
      <c r="I566" s="114">
        <v>0</v>
      </c>
      <c r="J566" s="110">
        <v>0</v>
      </c>
    </row>
  </sheetData>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4CB8-619E-472F-A5B7-C134A5D2CA2D}">
  <dimension ref="A1:G11"/>
  <sheetViews>
    <sheetView workbookViewId="0">
      <selection activeCell="E8" sqref="E8"/>
    </sheetView>
  </sheetViews>
  <sheetFormatPr defaultRowHeight="15" x14ac:dyDescent="0.25"/>
  <cols>
    <col min="1" max="1" width="28.42578125" customWidth="1"/>
    <col min="2" max="2" width="47.85546875" bestFit="1" customWidth="1"/>
    <col min="3" max="3" width="20.85546875" customWidth="1"/>
    <col min="4" max="4" width="15.85546875" customWidth="1"/>
    <col min="5" max="5" width="34" customWidth="1"/>
    <col min="6" max="6" width="35.140625" bestFit="1" customWidth="1"/>
    <col min="7" max="7" width="14.42578125" bestFit="1" customWidth="1"/>
  </cols>
  <sheetData>
    <row r="1" spans="1:7" x14ac:dyDescent="0.25">
      <c r="A1" s="27"/>
      <c r="B1" s="27"/>
      <c r="C1" s="140" t="s">
        <v>1024</v>
      </c>
      <c r="D1" s="140"/>
      <c r="E1" s="140"/>
      <c r="F1" s="140"/>
      <c r="G1" s="27"/>
    </row>
    <row r="2" spans="1:7" x14ac:dyDescent="0.25">
      <c r="A2" s="27"/>
      <c r="B2" s="27"/>
      <c r="C2" s="27"/>
      <c r="D2" s="27"/>
      <c r="E2" s="27"/>
      <c r="F2" s="27"/>
      <c r="G2" s="27"/>
    </row>
    <row r="3" spans="1:7" x14ac:dyDescent="0.25">
      <c r="A3" s="27"/>
      <c r="B3" s="27"/>
      <c r="C3" s="140" t="s">
        <v>1025</v>
      </c>
      <c r="D3" s="140"/>
      <c r="E3" s="140"/>
      <c r="F3" s="140"/>
      <c r="G3" s="27"/>
    </row>
    <row r="4" spans="1:7" x14ac:dyDescent="0.25">
      <c r="A4" s="27"/>
      <c r="B4" s="27"/>
      <c r="C4" s="27"/>
      <c r="D4" s="27"/>
      <c r="E4" s="27"/>
      <c r="F4" s="27"/>
      <c r="G4" s="27"/>
    </row>
    <row r="5" spans="1:7" x14ac:dyDescent="0.25">
      <c r="A5" s="27"/>
      <c r="B5" s="34" t="s">
        <v>1030</v>
      </c>
      <c r="C5" s="34"/>
      <c r="D5" s="27"/>
      <c r="E5" s="27"/>
      <c r="F5" s="27"/>
      <c r="G5" s="27"/>
    </row>
    <row r="6" spans="1:7" ht="23.1" customHeight="1" x14ac:dyDescent="0.25">
      <c r="A6" s="38" t="s">
        <v>1026</v>
      </c>
      <c r="B6" s="39" t="s">
        <v>1027</v>
      </c>
      <c r="C6" s="40" t="s">
        <v>1033</v>
      </c>
      <c r="D6" s="41" t="s">
        <v>1034</v>
      </c>
      <c r="E6" s="39" t="s">
        <v>1028</v>
      </c>
      <c r="F6" s="42" t="s">
        <v>1029</v>
      </c>
      <c r="G6" s="27"/>
    </row>
    <row r="7" spans="1:7" ht="23.1" customHeight="1" x14ac:dyDescent="0.25">
      <c r="A7" s="35" t="s">
        <v>1038</v>
      </c>
      <c r="B7" s="32" t="s">
        <v>1041</v>
      </c>
      <c r="C7" s="33">
        <v>1</v>
      </c>
      <c r="D7" s="28"/>
      <c r="E7" s="28"/>
      <c r="F7" s="36"/>
      <c r="G7" s="30"/>
    </row>
    <row r="8" spans="1:7" ht="23.1" customHeight="1" x14ac:dyDescent="0.25">
      <c r="A8" s="43" t="s">
        <v>1037</v>
      </c>
      <c r="B8" s="43" t="s">
        <v>1036</v>
      </c>
      <c r="C8" s="44">
        <v>1</v>
      </c>
      <c r="D8" s="28" t="s">
        <v>1101</v>
      </c>
      <c r="E8" s="84" t="s">
        <v>1102</v>
      </c>
      <c r="F8" s="37" t="s">
        <v>1050</v>
      </c>
      <c r="G8" s="30"/>
    </row>
    <row r="9" spans="1:7" ht="23.1" customHeight="1" x14ac:dyDescent="0.25">
      <c r="A9" s="35" t="s">
        <v>1039</v>
      </c>
      <c r="B9" s="29" t="s">
        <v>1031</v>
      </c>
      <c r="C9" s="33">
        <v>0.3</v>
      </c>
      <c r="D9" s="33"/>
      <c r="E9" s="32" t="s">
        <v>1103</v>
      </c>
      <c r="F9" s="37" t="s">
        <v>1050</v>
      </c>
      <c r="G9" s="27"/>
    </row>
    <row r="10" spans="1:7" ht="23.1" customHeight="1" x14ac:dyDescent="0.25">
      <c r="A10" s="35" t="s">
        <v>1040</v>
      </c>
      <c r="B10" s="29" t="s">
        <v>1032</v>
      </c>
      <c r="C10" s="33">
        <v>0.1</v>
      </c>
      <c r="D10" s="33"/>
      <c r="E10" s="32" t="s">
        <v>1103</v>
      </c>
      <c r="F10" s="37" t="s">
        <v>1050</v>
      </c>
      <c r="G10" s="27"/>
    </row>
    <row r="11" spans="1:7" ht="23.1" customHeight="1" x14ac:dyDescent="0.25">
      <c r="A11" s="35" t="s">
        <v>1035</v>
      </c>
      <c r="B11" s="32" t="s">
        <v>1049</v>
      </c>
      <c r="C11" s="33"/>
      <c r="D11" s="31"/>
      <c r="E11" s="31"/>
      <c r="F11" s="37" t="s">
        <v>1051</v>
      </c>
      <c r="G11" s="27"/>
    </row>
  </sheetData>
  <mergeCells count="2">
    <mergeCell ref="C1:F1"/>
    <mergeCell ref="C3:F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4227c6-2611-435d-8858-021be0fb62a5" xsi:nil="true"/>
    <lcf76f155ced4ddcb4097134ff3c332f xmlns="95d4bb91-23c8-4156-aa9a-0bdbd6f27c3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5A04E84A262440A8D0D12A4F2865C3" ma:contentTypeVersion="22" ma:contentTypeDescription="Create a new document." ma:contentTypeScope="" ma:versionID="3c0fdb1eee4956830757f63b5384eb54">
  <xsd:schema xmlns:xsd="http://www.w3.org/2001/XMLSchema" xmlns:xs="http://www.w3.org/2001/XMLSchema" xmlns:p="http://schemas.microsoft.com/office/2006/metadata/properties" xmlns:ns2="95d4bb91-23c8-4156-aa9a-0bdbd6f27c39" xmlns:ns3="eb4227c6-2611-435d-8858-021be0fb62a5" targetNamespace="http://schemas.microsoft.com/office/2006/metadata/properties" ma:root="true" ma:fieldsID="6c1d151375d02a3062a1171b5bb88ee3" ns2:_="" ns3:_="">
    <xsd:import namespace="95d4bb91-23c8-4156-aa9a-0bdbd6f27c39"/>
    <xsd:import namespace="eb4227c6-2611-435d-8858-021be0fb62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4bb91-23c8-4156-aa9a-0bdbd6f27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227c6-2611-435d-8858-021be0fb62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44d518e-b721-47d3-a29f-4a6bdc05903a}" ma:internalName="TaxCatchAll" ma:showField="CatchAllData" ma:web="eb4227c6-2611-435d-8858-021be0fb62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07F0E-2681-4B4A-B8A7-8DF555894E20}">
  <ds:schemaRefs>
    <ds:schemaRef ds:uri="http://schemas.microsoft.com/office/2006/metadata/properties"/>
    <ds:schemaRef ds:uri="http://schemas.microsoft.com/office/infopath/2007/PartnerControls"/>
    <ds:schemaRef ds:uri="985ec44e-1bab-4c0b-9df0-6ba128686fc9"/>
    <ds:schemaRef ds:uri="54319f82-ed47-4ad7-8494-e45e7b8a4807"/>
    <ds:schemaRef ds:uri="eb4227c6-2611-435d-8858-021be0fb62a5"/>
    <ds:schemaRef ds:uri="95d4bb91-23c8-4156-aa9a-0bdbd6f27c39"/>
  </ds:schemaRefs>
</ds:datastoreItem>
</file>

<file path=customXml/itemProps2.xml><?xml version="1.0" encoding="utf-8"?>
<ds:datastoreItem xmlns:ds="http://schemas.openxmlformats.org/officeDocument/2006/customXml" ds:itemID="{C40DA372-E335-4079-A9BE-473C9766C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4bb91-23c8-4156-aa9a-0bdbd6f27c39"/>
    <ds:schemaRef ds:uri="eb4227c6-2611-435d-8858-021be0fb62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265569-4C6C-48DE-BBA1-0A298348E051}">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Readme</vt:lpstr>
      <vt:lpstr>SO_Reference</vt:lpstr>
      <vt:lpstr>Activities and requirements</vt:lpstr>
      <vt:lpstr>Funding by state</vt:lpstr>
      <vt:lpstr>Cluter Target</vt:lpstr>
      <vt:lpstr>2024 Response Performance</vt:lpstr>
      <vt:lpstr>Threshold</vt:lpstr>
      <vt:lpstr>Diff_severity3</vt:lpstr>
      <vt:lpstr>Diff_severity4</vt:lpstr>
      <vt:lpstr>Targ_severity5</vt:lpstr>
      <vt:lpstr>Targ_vs_PiN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Rahel Getachew</dc:creator>
  <cp:lastModifiedBy>Kadjo Modeste Kouassi</cp:lastModifiedBy>
  <dcterms:created xsi:type="dcterms:W3CDTF">2024-09-25T08:03:13Z</dcterms:created>
  <dcterms:modified xsi:type="dcterms:W3CDTF">2025-01-08T09:42:34Z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0x010100E35A04E84A262440A8D0D12A4F2865C3</vt:lpwstr>
  </property>
  <property fmtid="{D5CDD505-2E9C-101B-9397-08002B2CF9AE}" pid="3" name="MediaServiceImageTags">
    <vt:lpwstr/>
  </property>
</Properties>
</file>